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ylercry\Desktop\"/>
    </mc:Choice>
  </mc:AlternateContent>
  <bookViews>
    <workbookView xWindow="0" yWindow="0" windowWidth="28800" windowHeight="12300" activeTab="2"/>
  </bookViews>
  <sheets>
    <sheet name="ORIGINAL COPY" sheetId="1" r:id="rId1"/>
    <sheet name="UPDATED OP COPY" sheetId="2" r:id="rId2"/>
    <sheet name="UPDATED SEPT." sheetId="3" r:id="rId3"/>
  </sheets>
  <definedNames>
    <definedName name="_xlnm.Print_Area" localSheetId="2">'UPDATED SEPT.'!$A$1:$C$751</definedName>
    <definedName name="_xlnm.Print_Titles" localSheetId="2">'UPDATED SEPT.'!$1:$3</definedName>
  </definedNames>
  <calcPr calcId="162913"/>
</workbook>
</file>

<file path=xl/calcChain.xml><?xml version="1.0" encoding="utf-8"?>
<calcChain xmlns="http://schemas.openxmlformats.org/spreadsheetml/2006/main">
  <c r="N1326" i="2" l="1"/>
  <c r="Y1326" i="2"/>
  <c r="Y1598" i="2" l="1"/>
  <c r="N1598" i="2"/>
  <c r="Y1597" i="2"/>
  <c r="N1597" i="2"/>
  <c r="Y1596" i="2"/>
  <c r="N1596" i="2"/>
  <c r="Y1595" i="2"/>
  <c r="N1595" i="2"/>
  <c r="Y1594" i="2"/>
  <c r="N1594" i="2"/>
  <c r="Y1593" i="2"/>
  <c r="N1593" i="2"/>
  <c r="Y1592" i="2"/>
  <c r="N1592" i="2"/>
  <c r="Y1591" i="2"/>
  <c r="N1591" i="2"/>
  <c r="Y1590" i="2"/>
  <c r="N1590" i="2"/>
  <c r="Y1589" i="2"/>
  <c r="N1589" i="2"/>
  <c r="Y1588" i="2"/>
  <c r="N1588" i="2"/>
  <c r="Y1587" i="2"/>
  <c r="N1587" i="2"/>
  <c r="Y1586" i="2"/>
  <c r="N1586" i="2"/>
  <c r="Y1585" i="2"/>
  <c r="N1585" i="2"/>
  <c r="Y1584" i="2"/>
  <c r="N1584" i="2"/>
  <c r="Y1583" i="2"/>
  <c r="N1583" i="2"/>
  <c r="Y1582" i="2"/>
  <c r="N1582" i="2"/>
  <c r="Y1581" i="2"/>
  <c r="N1581" i="2"/>
  <c r="Y1580" i="2"/>
  <c r="N1580" i="2"/>
  <c r="Y1579" i="2"/>
  <c r="N1579" i="2"/>
  <c r="Y1578" i="2"/>
  <c r="N1578" i="2"/>
  <c r="Y1577" i="2"/>
  <c r="N1577" i="2"/>
  <c r="Y1576" i="2"/>
  <c r="N1576" i="2"/>
  <c r="Y1575" i="2"/>
  <c r="N1575" i="2"/>
  <c r="Y1574" i="2"/>
  <c r="N1574" i="2"/>
  <c r="Y1573" i="2"/>
  <c r="N1573" i="2"/>
  <c r="Y1572" i="2"/>
  <c r="N1572" i="2"/>
  <c r="Y1571" i="2"/>
  <c r="N1571" i="2"/>
  <c r="Y1570" i="2"/>
  <c r="N1570" i="2"/>
  <c r="Y1569" i="2"/>
  <c r="N1569" i="2"/>
  <c r="Y1568" i="2"/>
  <c r="N1568" i="2"/>
  <c r="Y1567" i="2"/>
  <c r="N1567" i="2"/>
  <c r="Y1566" i="2"/>
  <c r="N1566" i="2"/>
  <c r="Y1565" i="2"/>
  <c r="N1565" i="2"/>
  <c r="Y1564" i="2"/>
  <c r="N1564" i="2"/>
  <c r="Y1563" i="2"/>
  <c r="N1563" i="2"/>
  <c r="Y1562" i="2"/>
  <c r="N1562" i="2"/>
  <c r="Y1561" i="2"/>
  <c r="N1561" i="2"/>
  <c r="Y1560" i="2"/>
  <c r="N1560" i="2"/>
  <c r="Y1559" i="2"/>
  <c r="N1559" i="2"/>
  <c r="Y1558" i="2"/>
  <c r="N1558" i="2"/>
  <c r="Y1557" i="2"/>
  <c r="N1557" i="2"/>
  <c r="Y1556" i="2"/>
  <c r="N1556" i="2"/>
  <c r="Y1555" i="2"/>
  <c r="N1555" i="2"/>
  <c r="Y1554" i="2"/>
  <c r="N1554" i="2"/>
  <c r="Y1553" i="2"/>
  <c r="N1553" i="2"/>
  <c r="Y1552" i="2"/>
  <c r="N1552" i="2"/>
  <c r="Y1551" i="2"/>
  <c r="N1551" i="2"/>
  <c r="Y1550" i="2"/>
  <c r="N1550" i="2"/>
  <c r="Y1549" i="2"/>
  <c r="N1549" i="2"/>
  <c r="Y1548" i="2"/>
  <c r="N1548" i="2"/>
  <c r="Y1547" i="2"/>
  <c r="N1547" i="2"/>
  <c r="Y1546" i="2"/>
  <c r="N1546" i="2"/>
  <c r="Y1545" i="2"/>
  <c r="N1545" i="2"/>
  <c r="Y1544" i="2"/>
  <c r="N1544" i="2"/>
  <c r="Y1543" i="2"/>
  <c r="N1543" i="2"/>
  <c r="Y1542" i="2"/>
  <c r="N1542" i="2"/>
  <c r="Y1541" i="2"/>
  <c r="N1541" i="2"/>
  <c r="Y1540" i="2"/>
  <c r="N1540" i="2"/>
  <c r="Y1539" i="2"/>
  <c r="N1539" i="2"/>
  <c r="Y1538" i="2"/>
  <c r="N1538" i="2"/>
  <c r="Y1537" i="2"/>
  <c r="N1537" i="2"/>
  <c r="Y1536" i="2"/>
  <c r="N1536" i="2"/>
  <c r="Y1535" i="2"/>
  <c r="N1535" i="2"/>
  <c r="Y1534" i="2"/>
  <c r="N1534" i="2"/>
  <c r="Y1533" i="2"/>
  <c r="N1533" i="2"/>
  <c r="Y1532" i="2"/>
  <c r="N1532" i="2"/>
  <c r="Y1531" i="2"/>
  <c r="N1531" i="2"/>
  <c r="Y1530" i="2"/>
  <c r="N1530" i="2"/>
  <c r="Y1529" i="2"/>
  <c r="N1529" i="2"/>
  <c r="Y1528" i="2"/>
  <c r="N1528" i="2"/>
  <c r="Y1527" i="2"/>
  <c r="N1527" i="2"/>
  <c r="Y1526" i="2"/>
  <c r="N1526" i="2"/>
  <c r="Y1525" i="2"/>
  <c r="N1525" i="2"/>
  <c r="Y1524" i="2"/>
  <c r="N1524" i="2"/>
  <c r="Y1523" i="2"/>
  <c r="N1523" i="2"/>
  <c r="Y1522" i="2"/>
  <c r="N1522" i="2"/>
  <c r="Y1521" i="2"/>
  <c r="N1521" i="2"/>
  <c r="Y1520" i="2"/>
  <c r="N1520" i="2"/>
  <c r="Y1519" i="2"/>
  <c r="N1519" i="2"/>
  <c r="Y1518" i="2"/>
  <c r="N1518" i="2"/>
  <c r="Y1517" i="2"/>
  <c r="N1517" i="2"/>
  <c r="Y1516" i="2"/>
  <c r="N1516" i="2"/>
  <c r="Y1515" i="2"/>
  <c r="N1515" i="2"/>
  <c r="Y1514" i="2"/>
  <c r="N1514" i="2"/>
  <c r="Y1513" i="2"/>
  <c r="N1513" i="2"/>
  <c r="Y1512" i="2"/>
  <c r="N1512" i="2"/>
  <c r="Y1511" i="2"/>
  <c r="N1511" i="2"/>
  <c r="Y1510" i="2"/>
  <c r="N1510" i="2"/>
  <c r="Y1509" i="2"/>
  <c r="N1509" i="2"/>
  <c r="Y1508" i="2"/>
  <c r="N1508" i="2"/>
  <c r="Y1507" i="2"/>
  <c r="N1507" i="2"/>
  <c r="Y1506" i="2"/>
  <c r="N1506" i="2"/>
  <c r="Y1505" i="2"/>
  <c r="N1505" i="2"/>
  <c r="Y1504" i="2"/>
  <c r="N1504" i="2"/>
  <c r="Y1503" i="2"/>
  <c r="N1503" i="2"/>
  <c r="Y1502" i="2"/>
  <c r="N1502" i="2"/>
  <c r="Y1501" i="2"/>
  <c r="N1501" i="2"/>
  <c r="Y1500" i="2"/>
  <c r="N1500" i="2"/>
  <c r="Y1499" i="2"/>
  <c r="N1499" i="2"/>
  <c r="Y1498" i="2"/>
  <c r="N1498" i="2"/>
  <c r="Y1497" i="2"/>
  <c r="N1497" i="2"/>
  <c r="Y1496" i="2"/>
  <c r="N1496" i="2"/>
  <c r="Y1495" i="2"/>
  <c r="N1495" i="2"/>
  <c r="Y1494" i="2"/>
  <c r="N1494" i="2"/>
  <c r="Y1493" i="2"/>
  <c r="N1493" i="2"/>
  <c r="Y1492" i="2"/>
  <c r="N1492" i="2"/>
  <c r="Y1491" i="2"/>
  <c r="N1491" i="2"/>
  <c r="Y1490" i="2"/>
  <c r="N1490" i="2"/>
  <c r="Y1489" i="2"/>
  <c r="N1489" i="2"/>
  <c r="Y1488" i="2"/>
  <c r="N1488" i="2"/>
  <c r="Y1487" i="2"/>
  <c r="N1487" i="2"/>
  <c r="Y1486" i="2"/>
  <c r="N1486" i="2"/>
  <c r="Y1485" i="2"/>
  <c r="N1485" i="2"/>
  <c r="Y1484" i="2"/>
  <c r="N1484" i="2"/>
  <c r="Y1483" i="2"/>
  <c r="N1483" i="2"/>
  <c r="Y1482" i="2"/>
  <c r="N1482" i="2"/>
  <c r="Y1481" i="2"/>
  <c r="N1481" i="2"/>
  <c r="Y1480" i="2"/>
  <c r="N1480" i="2"/>
  <c r="Y1479" i="2"/>
  <c r="N1479" i="2"/>
  <c r="Y1478" i="2"/>
  <c r="N1478" i="2"/>
  <c r="Y1477" i="2"/>
  <c r="N1477" i="2"/>
  <c r="Y1476" i="2"/>
  <c r="N1476" i="2"/>
  <c r="Y1475" i="2"/>
  <c r="N1475" i="2"/>
  <c r="Y1474" i="2"/>
  <c r="N1474" i="2"/>
  <c r="Y1473" i="2"/>
  <c r="N1473" i="2"/>
  <c r="Y1472" i="2"/>
  <c r="N1472" i="2"/>
  <c r="Y1471" i="2"/>
  <c r="N1471" i="2"/>
  <c r="Y1470" i="2"/>
  <c r="N1470" i="2"/>
  <c r="Y1469" i="2"/>
  <c r="N1469" i="2"/>
  <c r="Y1468" i="2"/>
  <c r="N1468" i="2"/>
  <c r="Y1467" i="2"/>
  <c r="N1467" i="2"/>
  <c r="Y1466" i="2"/>
  <c r="N1466" i="2"/>
  <c r="Y1465" i="2"/>
  <c r="N1465" i="2"/>
  <c r="Y1464" i="2"/>
  <c r="N1464" i="2"/>
  <c r="Y1463" i="2"/>
  <c r="N1463" i="2"/>
  <c r="Y1462" i="2"/>
  <c r="N1462" i="2"/>
  <c r="Y1461" i="2"/>
  <c r="N1461" i="2"/>
  <c r="Y1460" i="2"/>
  <c r="N1460" i="2"/>
  <c r="Y1459" i="2"/>
  <c r="N1459" i="2"/>
  <c r="Y1458" i="2"/>
  <c r="N1458" i="2"/>
  <c r="Y1457" i="2"/>
  <c r="N1457" i="2"/>
  <c r="Y1456" i="2"/>
  <c r="N1456" i="2"/>
  <c r="Y1455" i="2"/>
  <c r="N1455" i="2"/>
  <c r="Y1454" i="2"/>
  <c r="N1454" i="2"/>
  <c r="Y1453" i="2"/>
  <c r="N1453" i="2"/>
  <c r="Y1452" i="2"/>
  <c r="N1452" i="2"/>
  <c r="Y1451" i="2"/>
  <c r="N1451" i="2"/>
  <c r="Y1450" i="2"/>
  <c r="N1450" i="2"/>
  <c r="Y1449" i="2"/>
  <c r="N1449" i="2"/>
  <c r="Y1448" i="2"/>
  <c r="N1448" i="2"/>
  <c r="Y1447" i="2"/>
  <c r="N1447" i="2"/>
  <c r="Y1446" i="2"/>
  <c r="N1446" i="2"/>
  <c r="Y1445" i="2"/>
  <c r="N1445" i="2"/>
  <c r="Y1444" i="2"/>
  <c r="N1444" i="2"/>
  <c r="Y1443" i="2"/>
  <c r="N1443" i="2"/>
  <c r="Y1442" i="2"/>
  <c r="N1442" i="2"/>
  <c r="Y1441" i="2"/>
  <c r="N1441" i="2"/>
  <c r="Y1440" i="2"/>
  <c r="N1440" i="2"/>
  <c r="Y1439" i="2"/>
  <c r="N1439" i="2"/>
  <c r="Y1438" i="2"/>
  <c r="N1438" i="2"/>
  <c r="Y1437" i="2"/>
  <c r="N1437" i="2"/>
  <c r="Y1436" i="2"/>
  <c r="N1436" i="2"/>
  <c r="Y1435" i="2"/>
  <c r="N1435" i="2"/>
  <c r="Y1434" i="2"/>
  <c r="N1434" i="2"/>
  <c r="Y1433" i="2"/>
  <c r="N1433" i="2"/>
  <c r="Y1432" i="2"/>
  <c r="N1432" i="2"/>
  <c r="Y1431" i="2"/>
  <c r="N1431" i="2"/>
  <c r="Y1430" i="2"/>
  <c r="N1430" i="2"/>
  <c r="Y1429" i="2"/>
  <c r="N1429" i="2"/>
  <c r="Y1428" i="2"/>
  <c r="N1428" i="2"/>
  <c r="Y1427" i="2"/>
  <c r="N1427" i="2"/>
  <c r="Y1426" i="2"/>
  <c r="N1426" i="2"/>
  <c r="Y1425" i="2"/>
  <c r="N1425" i="2"/>
  <c r="Y1424" i="2"/>
  <c r="N1424" i="2"/>
  <c r="Y1423" i="2"/>
  <c r="N1423" i="2"/>
  <c r="Y1422" i="2"/>
  <c r="N1422" i="2"/>
  <c r="Y1421" i="2"/>
  <c r="N1421" i="2"/>
  <c r="Y1420" i="2"/>
  <c r="N1420" i="2"/>
  <c r="Y1419" i="2"/>
  <c r="N1419" i="2"/>
  <c r="Y1418" i="2"/>
  <c r="N1418" i="2"/>
  <c r="Y1417" i="2"/>
  <c r="N1417" i="2"/>
  <c r="Y1416" i="2"/>
  <c r="N1416" i="2"/>
  <c r="Y1415" i="2"/>
  <c r="N1415" i="2"/>
  <c r="Y1414" i="2"/>
  <c r="N1414" i="2"/>
  <c r="Y1413" i="2"/>
  <c r="N1413" i="2"/>
  <c r="Y1412" i="2"/>
  <c r="N1412" i="2"/>
  <c r="Y1411" i="2"/>
  <c r="N1411" i="2"/>
  <c r="Y1410" i="2"/>
  <c r="N1410" i="2"/>
  <c r="Y1409" i="2"/>
  <c r="N1409" i="2"/>
  <c r="Y1408" i="2"/>
  <c r="N1408" i="2"/>
  <c r="Y1407" i="2"/>
  <c r="N1407" i="2"/>
  <c r="Y1406" i="2"/>
  <c r="N1406" i="2"/>
  <c r="Y1405" i="2"/>
  <c r="N1405" i="2"/>
  <c r="Y1404" i="2"/>
  <c r="N1404" i="2"/>
  <c r="Y1403" i="2"/>
  <c r="N1403" i="2"/>
  <c r="Y1402" i="2"/>
  <c r="N1402" i="2"/>
  <c r="Y1401" i="2"/>
  <c r="N1401" i="2"/>
  <c r="Y1400" i="2"/>
  <c r="N1400" i="2"/>
  <c r="Y1399" i="2"/>
  <c r="N1399" i="2"/>
  <c r="Y1398" i="2"/>
  <c r="N1398" i="2"/>
  <c r="Y1397" i="2"/>
  <c r="N1397" i="2"/>
  <c r="Y1396" i="2"/>
  <c r="N1396" i="2"/>
  <c r="Y1395" i="2"/>
  <c r="N1395" i="2"/>
  <c r="Y1394" i="2"/>
  <c r="N1394" i="2"/>
  <c r="Y1393" i="2"/>
  <c r="N1393" i="2"/>
  <c r="Y1392" i="2"/>
  <c r="N1392" i="2"/>
  <c r="Y1391" i="2"/>
  <c r="N1391" i="2"/>
  <c r="Y1390" i="2"/>
  <c r="N1390" i="2"/>
  <c r="Y1389" i="2"/>
  <c r="N1389" i="2"/>
  <c r="Y1388" i="2"/>
  <c r="N1388" i="2"/>
  <c r="Y1387" i="2"/>
  <c r="N1387" i="2"/>
  <c r="Y1386" i="2"/>
  <c r="N1386" i="2"/>
  <c r="Y1385" i="2"/>
  <c r="N1385" i="2"/>
  <c r="Y1384" i="2"/>
  <c r="N1384" i="2"/>
  <c r="Y1383" i="2"/>
  <c r="N1383" i="2"/>
  <c r="Y1382" i="2"/>
  <c r="N1382" i="2"/>
  <c r="Y1381" i="2"/>
  <c r="N1381" i="2"/>
  <c r="Y1380" i="2"/>
  <c r="N1380" i="2"/>
  <c r="Y1379" i="2"/>
  <c r="N1379" i="2"/>
  <c r="Y1378" i="2"/>
  <c r="N1378" i="2"/>
  <c r="Y1377" i="2"/>
  <c r="N1377" i="2"/>
  <c r="Y1376" i="2"/>
  <c r="N1376" i="2"/>
  <c r="Y1375" i="2"/>
  <c r="N1375" i="2"/>
  <c r="Y1374" i="2"/>
  <c r="N1374" i="2"/>
  <c r="Y1373" i="2"/>
  <c r="N1373" i="2"/>
  <c r="Y1372" i="2"/>
  <c r="N1372" i="2"/>
  <c r="Y1371" i="2"/>
  <c r="N1371" i="2"/>
  <c r="Y1370" i="2"/>
  <c r="N1370" i="2"/>
  <c r="Y1369" i="2"/>
  <c r="N1369" i="2"/>
  <c r="Y1368" i="2"/>
  <c r="N1368" i="2"/>
  <c r="Y1367" i="2"/>
  <c r="N1367" i="2"/>
  <c r="Y1366" i="2"/>
  <c r="N1366" i="2"/>
  <c r="Y1365" i="2"/>
  <c r="N1365" i="2"/>
  <c r="Y1364" i="2"/>
  <c r="N1364" i="2"/>
  <c r="Y1363" i="2"/>
  <c r="N1363" i="2"/>
  <c r="Y1362" i="2"/>
  <c r="N1362" i="2"/>
  <c r="Y1361" i="2"/>
  <c r="N1361" i="2"/>
  <c r="Y1360" i="2"/>
  <c r="N1360" i="2"/>
  <c r="Y1359" i="2"/>
  <c r="N1359" i="2"/>
  <c r="Y1358" i="2"/>
  <c r="N1358" i="2"/>
  <c r="Y1357" i="2"/>
  <c r="N1357" i="2"/>
  <c r="Y1356" i="2"/>
  <c r="N1356" i="2"/>
  <c r="Y1355" i="2"/>
  <c r="N1355" i="2"/>
  <c r="Y1354" i="2"/>
  <c r="N1354" i="2"/>
  <c r="Y1353" i="2"/>
  <c r="N1353" i="2"/>
  <c r="Y1352" i="2"/>
  <c r="N1352" i="2"/>
  <c r="Y1351" i="2"/>
  <c r="N1351" i="2"/>
  <c r="Y1350" i="2"/>
  <c r="N1350" i="2"/>
  <c r="Y1349" i="2"/>
  <c r="N1349" i="2"/>
  <c r="Y1348" i="2"/>
  <c r="N1348" i="2"/>
  <c r="Y1347" i="2"/>
  <c r="N1347" i="2"/>
  <c r="Y1346" i="2"/>
  <c r="N1346" i="2"/>
  <c r="Y1345" i="2"/>
  <c r="N1345" i="2"/>
  <c r="Y1344" i="2"/>
  <c r="N1344" i="2"/>
  <c r="Y1343" i="2"/>
  <c r="N1343" i="2"/>
  <c r="Y1342" i="2"/>
  <c r="N1342" i="2"/>
  <c r="Y1341" i="2"/>
  <c r="N1341" i="2"/>
  <c r="Y1340" i="2"/>
  <c r="N1340" i="2"/>
  <c r="Y1339" i="2"/>
  <c r="N1339" i="2"/>
  <c r="Y1338" i="2"/>
  <c r="N1338" i="2"/>
  <c r="Y1337" i="2"/>
  <c r="N1337" i="2"/>
  <c r="Y1336" i="2"/>
  <c r="N1336" i="2"/>
  <c r="Y1335" i="2"/>
  <c r="N1335" i="2"/>
  <c r="Y1334" i="2"/>
  <c r="N1334" i="2"/>
  <c r="Y1333" i="2"/>
  <c r="N1333" i="2"/>
  <c r="Y1332" i="2"/>
  <c r="N1332" i="2"/>
  <c r="Y1331" i="2"/>
  <c r="N1331" i="2"/>
  <c r="Y1330" i="2"/>
  <c r="N1330" i="2"/>
  <c r="Y1329" i="2"/>
  <c r="N1329" i="2"/>
  <c r="Y1328" i="2"/>
  <c r="N1328" i="2"/>
  <c r="Y1327" i="2"/>
  <c r="N1327" i="2"/>
  <c r="Y1325" i="2"/>
  <c r="N1325" i="2"/>
  <c r="Y1324" i="2"/>
  <c r="N1324" i="2"/>
  <c r="Y1323" i="2"/>
  <c r="N1323" i="2"/>
  <c r="Y1322" i="2"/>
  <c r="N1322" i="2"/>
  <c r="Y1321" i="2"/>
  <c r="N1321" i="2"/>
  <c r="Y1320" i="2"/>
  <c r="N1320" i="2"/>
  <c r="Y1319" i="2"/>
  <c r="N1319" i="2"/>
  <c r="Y1318" i="2"/>
  <c r="N1318" i="2"/>
  <c r="Y1317" i="2"/>
  <c r="N1317" i="2"/>
  <c r="Y1316" i="2"/>
  <c r="N1316" i="2"/>
  <c r="Y1315" i="2"/>
  <c r="N1315" i="2"/>
  <c r="Y1314" i="2"/>
  <c r="N1314" i="2"/>
  <c r="Y1313" i="2"/>
  <c r="N1313" i="2"/>
  <c r="Y1312" i="2"/>
  <c r="N1312" i="2"/>
  <c r="Y1311" i="2"/>
  <c r="N1311" i="2"/>
  <c r="Y1310" i="2"/>
  <c r="N1310" i="2"/>
  <c r="Y1309" i="2"/>
  <c r="N1309" i="2"/>
  <c r="Y1308" i="2"/>
  <c r="N1308" i="2"/>
  <c r="Y1307" i="2"/>
  <c r="N1307" i="2"/>
  <c r="Y1306" i="2"/>
  <c r="N1306" i="2"/>
  <c r="Y1305" i="2"/>
  <c r="N1305" i="2"/>
  <c r="Y1304" i="2"/>
  <c r="N1304" i="2"/>
  <c r="Y1303" i="2"/>
  <c r="N1303" i="2"/>
  <c r="Y1302" i="2"/>
  <c r="N1302" i="2"/>
  <c r="Y1301" i="2"/>
  <c r="N1301" i="2"/>
  <c r="Y1300" i="2"/>
  <c r="N1300" i="2"/>
  <c r="Y1299" i="2"/>
  <c r="N1299" i="2"/>
  <c r="Y1298" i="2"/>
  <c r="N1298" i="2"/>
  <c r="Y1297" i="2"/>
  <c r="N1297" i="2"/>
  <c r="Y1296" i="2"/>
  <c r="N1296" i="2"/>
  <c r="Y1295" i="2"/>
  <c r="N1295" i="2"/>
  <c r="Y1294" i="2"/>
  <c r="N1294" i="2"/>
  <c r="Y1293" i="2"/>
  <c r="N1293" i="2"/>
  <c r="Y1292" i="2"/>
  <c r="N1292" i="2"/>
  <c r="Y1291" i="2"/>
  <c r="N1291" i="2"/>
  <c r="Y1290" i="2"/>
  <c r="N1290" i="2"/>
  <c r="Y1289" i="2"/>
  <c r="N1289" i="2"/>
  <c r="Y1288" i="2"/>
  <c r="N1288" i="2"/>
  <c r="Y1287" i="2"/>
  <c r="N1287" i="2"/>
  <c r="Y1286" i="2"/>
  <c r="N1286" i="2"/>
  <c r="Y1285" i="2"/>
  <c r="N1285" i="2"/>
  <c r="Y1284" i="2"/>
  <c r="N1284" i="2"/>
  <c r="Y1283" i="2"/>
  <c r="N1283" i="2"/>
  <c r="Y1282" i="2"/>
  <c r="N1282" i="2"/>
  <c r="Y1281" i="2"/>
  <c r="N1281" i="2"/>
  <c r="Y1280" i="2"/>
  <c r="N1280" i="2"/>
  <c r="Y1279" i="2"/>
  <c r="N1279" i="2"/>
  <c r="Y1278" i="2"/>
  <c r="N1278" i="2"/>
  <c r="Y1277" i="2"/>
  <c r="N1277" i="2"/>
  <c r="Y1276" i="2"/>
  <c r="N1276" i="2"/>
  <c r="Y1275" i="2"/>
  <c r="N1275" i="2"/>
  <c r="Y1274" i="2"/>
  <c r="N1274" i="2"/>
  <c r="Y1273" i="2"/>
  <c r="N1273" i="2"/>
  <c r="Y1272" i="2"/>
  <c r="N1272" i="2"/>
  <c r="Y1271" i="2"/>
  <c r="N1271" i="2"/>
  <c r="Y1270" i="2"/>
  <c r="N1270" i="2"/>
  <c r="Y1269" i="2"/>
  <c r="N1269" i="2"/>
  <c r="Y1268" i="2"/>
  <c r="N1268" i="2"/>
  <c r="Y1267" i="2"/>
  <c r="N1267" i="2"/>
  <c r="Y1266" i="2"/>
  <c r="N1266" i="2"/>
  <c r="Y1265" i="2"/>
  <c r="N1265" i="2"/>
  <c r="Y1264" i="2"/>
  <c r="N1264" i="2"/>
  <c r="Y1263" i="2"/>
  <c r="N1263" i="2"/>
  <c r="Y1262" i="2"/>
  <c r="N1262" i="2"/>
  <c r="Y1261" i="2"/>
  <c r="N1261" i="2"/>
  <c r="Y1260" i="2"/>
  <c r="N1260" i="2"/>
  <c r="Y1259" i="2"/>
  <c r="N1259" i="2"/>
  <c r="Y1258" i="2"/>
  <c r="N1258" i="2"/>
  <c r="Y1257" i="2"/>
  <c r="N1257" i="2"/>
  <c r="Y1256" i="2"/>
  <c r="N1256" i="2"/>
  <c r="Y1255" i="2"/>
  <c r="N1255" i="2"/>
  <c r="Y1254" i="2"/>
  <c r="N1254" i="2"/>
  <c r="Y1253" i="2"/>
  <c r="N1253" i="2"/>
  <c r="Y1252" i="2"/>
  <c r="N1252" i="2"/>
  <c r="Y1251" i="2"/>
  <c r="N1251" i="2"/>
  <c r="Y1250" i="2"/>
  <c r="N1250" i="2"/>
  <c r="Y1249" i="2"/>
  <c r="N1249" i="2"/>
  <c r="Y1248" i="2"/>
  <c r="N1248" i="2"/>
  <c r="Y1247" i="2"/>
  <c r="N1247" i="2"/>
  <c r="Y1246" i="2"/>
  <c r="N1246" i="2"/>
  <c r="Y1245" i="2"/>
  <c r="N1245" i="2"/>
  <c r="Y1244" i="2"/>
  <c r="N1244" i="2"/>
  <c r="Y1243" i="2"/>
  <c r="N1243" i="2"/>
  <c r="Y1242" i="2"/>
  <c r="N1242" i="2"/>
  <c r="Y1241" i="2"/>
  <c r="N1241" i="2"/>
  <c r="Y1240" i="2"/>
  <c r="N1240" i="2"/>
  <c r="Y1239" i="2"/>
  <c r="N1239" i="2"/>
  <c r="Y1238" i="2"/>
  <c r="N1238" i="2"/>
  <c r="Y1237" i="2"/>
  <c r="N1237" i="2"/>
  <c r="Y1236" i="2"/>
  <c r="N1236" i="2"/>
  <c r="Y1235" i="2"/>
  <c r="N1235" i="2"/>
  <c r="Y1234" i="2"/>
  <c r="N1234" i="2"/>
  <c r="Y1233" i="2"/>
  <c r="N1233" i="2"/>
  <c r="Y1232" i="2"/>
  <c r="N1232" i="2"/>
  <c r="Y1231" i="2"/>
  <c r="N1231" i="2"/>
  <c r="Y1230" i="2"/>
  <c r="N1230" i="2"/>
  <c r="Y1229" i="2"/>
  <c r="N1229" i="2"/>
  <c r="Y1228" i="2"/>
  <c r="N1228" i="2"/>
  <c r="Y1227" i="2"/>
  <c r="N1227" i="2"/>
  <c r="Y1226" i="2"/>
  <c r="N1226" i="2"/>
  <c r="Y1225" i="2"/>
  <c r="N1225" i="2"/>
  <c r="Y1224" i="2"/>
  <c r="N1224" i="2"/>
  <c r="Y1223" i="2"/>
  <c r="N1223" i="2"/>
  <c r="Y1222" i="2"/>
  <c r="N1222" i="2"/>
  <c r="Y1221" i="2"/>
  <c r="N1221" i="2"/>
  <c r="Y1220" i="2"/>
  <c r="N1220" i="2"/>
  <c r="Y1219" i="2"/>
  <c r="N1219" i="2"/>
  <c r="Y1218" i="2"/>
  <c r="N1218" i="2"/>
  <c r="Y1217" i="2"/>
  <c r="N1217" i="2"/>
  <c r="Y1216" i="2"/>
  <c r="N1216" i="2"/>
  <c r="Y1215" i="2"/>
  <c r="N1215" i="2"/>
  <c r="Y1214" i="2"/>
  <c r="N1214" i="2"/>
  <c r="Y1213" i="2"/>
  <c r="N1213" i="2"/>
  <c r="Y1212" i="2"/>
  <c r="N1212" i="2"/>
  <c r="Y1211" i="2"/>
  <c r="N1211" i="2"/>
  <c r="Y1210" i="2"/>
  <c r="N1210" i="2"/>
  <c r="Y1209" i="2"/>
  <c r="N1209" i="2"/>
  <c r="Y1208" i="2"/>
  <c r="N1208" i="2"/>
  <c r="Y1207" i="2"/>
  <c r="N1207" i="2"/>
  <c r="Y1206" i="2"/>
  <c r="N1206" i="2"/>
  <c r="Y1205" i="2"/>
  <c r="N1205" i="2"/>
  <c r="Y1204" i="2"/>
  <c r="N1204" i="2"/>
  <c r="Y1203" i="2"/>
  <c r="N1203" i="2"/>
  <c r="Y1202" i="2"/>
  <c r="N1202" i="2"/>
  <c r="Y1201" i="2"/>
  <c r="N1201" i="2"/>
  <c r="Y1200" i="2"/>
  <c r="N1200" i="2"/>
  <c r="Y1199" i="2"/>
  <c r="N1199" i="2"/>
  <c r="Y1198" i="2"/>
  <c r="N1198" i="2"/>
  <c r="Y1197" i="2"/>
  <c r="N1197" i="2"/>
  <c r="Y1196" i="2"/>
  <c r="N1196" i="2"/>
  <c r="Y1195" i="2"/>
  <c r="N1195" i="2"/>
  <c r="Y1194" i="2"/>
  <c r="N1194" i="2"/>
  <c r="Y1193" i="2"/>
  <c r="N1193" i="2"/>
  <c r="Y1192" i="2"/>
  <c r="N1192" i="2"/>
  <c r="Y1191" i="2"/>
  <c r="N1191" i="2"/>
  <c r="Y1190" i="2"/>
  <c r="N1190" i="2"/>
  <c r="Y1189" i="2"/>
  <c r="N1189" i="2"/>
  <c r="Y1188" i="2"/>
  <c r="N1188" i="2"/>
  <c r="Y1187" i="2"/>
  <c r="N1187" i="2"/>
  <c r="Y1186" i="2"/>
  <c r="N1186" i="2"/>
  <c r="Y1185" i="2"/>
  <c r="N1185" i="2"/>
  <c r="Y1184" i="2"/>
  <c r="N1184" i="2"/>
  <c r="Y1183" i="2"/>
  <c r="N1183" i="2"/>
  <c r="Y1182" i="2"/>
  <c r="N1182" i="2"/>
  <c r="Y1181" i="2"/>
  <c r="N1181" i="2"/>
  <c r="Y1180" i="2"/>
  <c r="N1180" i="2"/>
  <c r="Y1179" i="2"/>
  <c r="N1179" i="2"/>
  <c r="Y1178" i="2"/>
  <c r="N1178" i="2"/>
  <c r="Y1177" i="2"/>
  <c r="N1177" i="2"/>
  <c r="Y1176" i="2"/>
  <c r="N1176" i="2"/>
  <c r="Y1175" i="2"/>
  <c r="N1175" i="2"/>
  <c r="Y1174" i="2"/>
  <c r="N1174" i="2"/>
  <c r="Y1173" i="2"/>
  <c r="N1173" i="2"/>
  <c r="Y1172" i="2"/>
  <c r="N1172" i="2"/>
  <c r="Y1171" i="2"/>
  <c r="N1171" i="2"/>
  <c r="Y1170" i="2"/>
  <c r="N1170" i="2"/>
  <c r="Y1169" i="2"/>
  <c r="N1169" i="2"/>
  <c r="Y1168" i="2"/>
  <c r="N1168" i="2"/>
  <c r="Y1167" i="2"/>
  <c r="N1167" i="2"/>
  <c r="Y1166" i="2"/>
  <c r="N1166" i="2"/>
  <c r="Y1165" i="2"/>
  <c r="N1165" i="2"/>
  <c r="Y1164" i="2"/>
  <c r="N1164" i="2"/>
  <c r="Y1163" i="2"/>
  <c r="N1163" i="2"/>
  <c r="Y1162" i="2"/>
  <c r="N1162" i="2"/>
  <c r="Y1161" i="2"/>
  <c r="N1161" i="2"/>
  <c r="Y1160" i="2"/>
  <c r="N1160" i="2"/>
  <c r="Y1159" i="2"/>
  <c r="N1159" i="2"/>
  <c r="Y1158" i="2"/>
  <c r="N1158" i="2"/>
  <c r="Y1157" i="2"/>
  <c r="N1157" i="2"/>
  <c r="Y1156" i="2"/>
  <c r="N1156" i="2"/>
  <c r="Y1155" i="2"/>
  <c r="N1155" i="2"/>
  <c r="Y1154" i="2"/>
  <c r="N1154" i="2"/>
  <c r="Y1153" i="2"/>
  <c r="N1153" i="2"/>
  <c r="Y1152" i="2"/>
  <c r="N1152" i="2"/>
  <c r="Y1151" i="2"/>
  <c r="N1151" i="2"/>
  <c r="Y1150" i="2"/>
  <c r="N1150" i="2"/>
  <c r="Y1149" i="2"/>
  <c r="N1149" i="2"/>
  <c r="Y1148" i="2"/>
  <c r="N1148" i="2"/>
  <c r="Y1147" i="2"/>
  <c r="N1147" i="2"/>
  <c r="Y1146" i="2"/>
  <c r="N1146" i="2"/>
  <c r="Y1145" i="2"/>
  <c r="N1145" i="2"/>
  <c r="Y1144" i="2"/>
  <c r="N1144" i="2"/>
  <c r="Y1143" i="2"/>
  <c r="N1143" i="2"/>
  <c r="Y1142" i="2"/>
  <c r="N1142" i="2"/>
  <c r="Y1141" i="2"/>
  <c r="N1141" i="2"/>
  <c r="Y1140" i="2"/>
  <c r="N1140" i="2"/>
  <c r="Y1139" i="2"/>
  <c r="N1139" i="2"/>
  <c r="Y1138" i="2"/>
  <c r="N1138" i="2"/>
  <c r="Y1137" i="2"/>
  <c r="N1137" i="2"/>
  <c r="Y1136" i="2"/>
  <c r="N1136" i="2"/>
  <c r="Y1135" i="2"/>
  <c r="N1135" i="2"/>
  <c r="Y1134" i="2"/>
  <c r="N1134" i="2"/>
  <c r="Y1133" i="2"/>
  <c r="N1133" i="2"/>
  <c r="Y1132" i="2"/>
  <c r="N1132" i="2"/>
  <c r="Y1131" i="2"/>
  <c r="N1131" i="2"/>
  <c r="Y1130" i="2"/>
  <c r="N1130" i="2"/>
  <c r="Y1129" i="2"/>
  <c r="N1129" i="2"/>
  <c r="Y1128" i="2"/>
  <c r="N1128" i="2"/>
  <c r="Y1127" i="2"/>
  <c r="N1127" i="2"/>
  <c r="Y1126" i="2"/>
  <c r="N1126" i="2"/>
  <c r="Y1125" i="2"/>
  <c r="N1125" i="2"/>
  <c r="Y1124" i="2"/>
  <c r="N1124" i="2"/>
  <c r="Y1123" i="2"/>
  <c r="N1123" i="2"/>
  <c r="Y1122" i="2"/>
  <c r="N1122" i="2"/>
  <c r="Y1121" i="2"/>
  <c r="N1121" i="2"/>
  <c r="Y1120" i="2"/>
  <c r="N1120" i="2"/>
  <c r="Y1119" i="2"/>
  <c r="N1119" i="2"/>
  <c r="Y1118" i="2"/>
  <c r="N1118" i="2"/>
  <c r="Y1117" i="2"/>
  <c r="N1117" i="2"/>
  <c r="Y1116" i="2"/>
  <c r="N1116" i="2"/>
  <c r="Y1115" i="2"/>
  <c r="N1115" i="2"/>
  <c r="Y1114" i="2"/>
  <c r="N1114" i="2"/>
  <c r="Y1113" i="2"/>
  <c r="N1113" i="2"/>
  <c r="Y1112" i="2"/>
  <c r="N1112" i="2"/>
  <c r="Y1111" i="2"/>
  <c r="N1111" i="2"/>
  <c r="Y1110" i="2"/>
  <c r="N1110" i="2"/>
  <c r="Y1109" i="2"/>
  <c r="N1109" i="2"/>
  <c r="Y1108" i="2"/>
  <c r="N1108" i="2"/>
  <c r="Y1107" i="2"/>
  <c r="N1107" i="2"/>
  <c r="Y1106" i="2"/>
  <c r="N1106" i="2"/>
  <c r="Y1105" i="2"/>
  <c r="N1105" i="2"/>
  <c r="Y1104" i="2"/>
  <c r="N1104" i="2"/>
  <c r="Y1103" i="2"/>
  <c r="N1103" i="2"/>
  <c r="Y1102" i="2"/>
  <c r="N1102" i="2"/>
  <c r="Y1101" i="2"/>
  <c r="N1101" i="2"/>
  <c r="Y1100" i="2"/>
  <c r="N1100" i="2"/>
  <c r="Y1099" i="2"/>
  <c r="N1099" i="2"/>
  <c r="Y1098" i="2"/>
  <c r="N1098" i="2"/>
  <c r="Y1097" i="2"/>
  <c r="N1097" i="2"/>
  <c r="Y1096" i="2"/>
  <c r="N1096" i="2"/>
  <c r="Y1095" i="2"/>
  <c r="N1095" i="2"/>
  <c r="Y1094" i="2"/>
  <c r="N1094" i="2"/>
  <c r="Y1093" i="2"/>
  <c r="N1093" i="2"/>
  <c r="Y1092" i="2"/>
  <c r="N1092" i="2"/>
  <c r="Y1091" i="2"/>
  <c r="N1091" i="2"/>
  <c r="Y1090" i="2"/>
  <c r="N1090" i="2"/>
  <c r="Y1089" i="2"/>
  <c r="N1089" i="2"/>
  <c r="Y1088" i="2"/>
  <c r="N1088" i="2"/>
  <c r="Y1087" i="2"/>
  <c r="N1087" i="2"/>
  <c r="Y1086" i="2"/>
  <c r="N1086" i="2"/>
  <c r="Y1085" i="2"/>
  <c r="N1085" i="2"/>
  <c r="Y1084" i="2"/>
  <c r="N1084" i="2"/>
  <c r="Y1083" i="2"/>
  <c r="N1083" i="2"/>
  <c r="Y1082" i="2"/>
  <c r="N1082" i="2"/>
  <c r="Y1081" i="2"/>
  <c r="N1081" i="2"/>
  <c r="Y1080" i="2"/>
  <c r="N1080" i="2"/>
  <c r="Y1079" i="2"/>
  <c r="N1079" i="2"/>
  <c r="Y1078" i="2"/>
  <c r="N1078" i="2"/>
  <c r="Y1077" i="2"/>
  <c r="N1077" i="2"/>
  <c r="Y1076" i="2"/>
  <c r="N1076" i="2"/>
  <c r="Y1075" i="2"/>
  <c r="N1075" i="2"/>
  <c r="Y1074" i="2"/>
  <c r="N1074" i="2"/>
  <c r="Y1073" i="2"/>
  <c r="N1073" i="2"/>
  <c r="Y1072" i="2"/>
  <c r="N1072" i="2"/>
  <c r="Y1071" i="2"/>
  <c r="N1071" i="2"/>
  <c r="Y1070" i="2"/>
  <c r="N1070" i="2"/>
  <c r="Y1069" i="2"/>
  <c r="N1069" i="2"/>
  <c r="Y1068" i="2"/>
  <c r="N1068" i="2"/>
  <c r="Y1067" i="2"/>
  <c r="N1067" i="2"/>
  <c r="Y1066" i="2"/>
  <c r="N1066" i="2"/>
  <c r="Y1065" i="2"/>
  <c r="N1065" i="2"/>
  <c r="Y1064" i="2"/>
  <c r="N1064" i="2"/>
  <c r="Y1063" i="2"/>
  <c r="N1063" i="2"/>
  <c r="Y1062" i="2"/>
  <c r="N1062" i="2"/>
  <c r="Y1061" i="2"/>
  <c r="N1061" i="2"/>
  <c r="Y1060" i="2"/>
  <c r="N1060" i="2"/>
  <c r="Y1059" i="2"/>
  <c r="N1059" i="2"/>
  <c r="Y1058" i="2"/>
  <c r="N1058" i="2"/>
  <c r="Y1057" i="2"/>
  <c r="N1057" i="2"/>
  <c r="Y1056" i="2"/>
  <c r="N1056" i="2"/>
  <c r="Y1055" i="2"/>
  <c r="N1055" i="2"/>
  <c r="Y1054" i="2"/>
  <c r="N1054" i="2"/>
  <c r="Y1053" i="2"/>
  <c r="N1053" i="2"/>
  <c r="Y1052" i="2"/>
  <c r="N1052" i="2"/>
  <c r="Y1051" i="2"/>
  <c r="N1051" i="2"/>
  <c r="Y1050" i="2"/>
  <c r="N1050" i="2"/>
  <c r="Y1049" i="2"/>
  <c r="N1049" i="2"/>
  <c r="Y1048" i="2"/>
  <c r="N1048" i="2"/>
  <c r="Y1047" i="2"/>
  <c r="N1047" i="2"/>
  <c r="Y1046" i="2"/>
  <c r="N1046" i="2"/>
  <c r="Y1045" i="2"/>
  <c r="N1045" i="2"/>
  <c r="Y1044" i="2"/>
  <c r="N1044" i="2"/>
  <c r="Y1043" i="2"/>
  <c r="N1043" i="2"/>
  <c r="Y1042" i="2"/>
  <c r="N1042" i="2"/>
  <c r="Y1041" i="2"/>
  <c r="N1041" i="2"/>
  <c r="Y1040" i="2"/>
  <c r="N1040" i="2"/>
  <c r="Y1039" i="2"/>
  <c r="N1039" i="2"/>
  <c r="Y1038" i="2"/>
  <c r="N1038" i="2"/>
  <c r="Y1037" i="2"/>
  <c r="N1037" i="2"/>
  <c r="Y1036" i="2"/>
  <c r="N1036" i="2"/>
  <c r="Y1035" i="2"/>
  <c r="N1035" i="2"/>
  <c r="Y1034" i="2"/>
  <c r="N1034" i="2"/>
  <c r="Y1033" i="2"/>
  <c r="N1033" i="2"/>
  <c r="Y1032" i="2"/>
  <c r="N1032" i="2"/>
  <c r="Y1031" i="2"/>
  <c r="N1031" i="2"/>
  <c r="Y1030" i="2"/>
  <c r="N1030" i="2"/>
  <c r="Y1029" i="2"/>
  <c r="N1029" i="2"/>
  <c r="Y1028" i="2"/>
  <c r="N1028" i="2"/>
  <c r="Y1027" i="2"/>
  <c r="N1027" i="2"/>
  <c r="Y1026" i="2"/>
  <c r="N1026" i="2"/>
  <c r="Y1025" i="2"/>
  <c r="N1025" i="2"/>
  <c r="Y1024" i="2"/>
  <c r="N1024" i="2"/>
  <c r="Y1023" i="2"/>
  <c r="N1023" i="2"/>
  <c r="Y1022" i="2"/>
  <c r="N1022" i="2"/>
  <c r="Y1021" i="2"/>
  <c r="N1021" i="2"/>
  <c r="Y1020" i="2"/>
  <c r="N1020" i="2"/>
  <c r="Y1019" i="2"/>
  <c r="N1019" i="2"/>
  <c r="Y1018" i="2"/>
  <c r="N1018" i="2"/>
  <c r="Y1017" i="2"/>
  <c r="N1017" i="2"/>
  <c r="Y1016" i="2"/>
  <c r="N1016" i="2"/>
  <c r="Y1015" i="2"/>
  <c r="N1015" i="2"/>
  <c r="Y1014" i="2"/>
  <c r="N1014" i="2"/>
  <c r="Y1013" i="2"/>
  <c r="N1013" i="2"/>
  <c r="Y1012" i="2"/>
  <c r="N1012" i="2"/>
  <c r="Y1011" i="2"/>
  <c r="N1011" i="2"/>
  <c r="Y1010" i="2"/>
  <c r="N1010" i="2"/>
  <c r="Y1009" i="2"/>
  <c r="N1009" i="2"/>
  <c r="Y1008" i="2"/>
  <c r="N1008" i="2"/>
  <c r="Y1007" i="2"/>
  <c r="N1007" i="2"/>
  <c r="Y1006" i="2"/>
  <c r="N1006" i="2"/>
  <c r="Y1005" i="2"/>
  <c r="N1005" i="2"/>
  <c r="Y1004" i="2"/>
  <c r="N1004" i="2"/>
  <c r="Y1003" i="2"/>
  <c r="N1003" i="2"/>
  <c r="Y1002" i="2"/>
  <c r="N1002" i="2"/>
  <c r="Y1001" i="2"/>
  <c r="N1001" i="2"/>
  <c r="Y1000" i="2"/>
  <c r="N1000" i="2"/>
  <c r="Y999" i="2"/>
  <c r="N999" i="2"/>
  <c r="Y998" i="2"/>
  <c r="N998" i="2"/>
  <c r="Y997" i="2"/>
  <c r="N997" i="2"/>
  <c r="Y996" i="2"/>
  <c r="N996" i="2"/>
  <c r="Y995" i="2"/>
  <c r="N995" i="2"/>
  <c r="Y994" i="2"/>
  <c r="N994" i="2"/>
  <c r="Y993" i="2"/>
  <c r="N993" i="2"/>
  <c r="Y992" i="2"/>
  <c r="N992" i="2"/>
  <c r="Y991" i="2"/>
  <c r="N991" i="2"/>
  <c r="Y990" i="2"/>
  <c r="N990" i="2"/>
  <c r="Y989" i="2"/>
  <c r="N989" i="2"/>
  <c r="Y988" i="2"/>
  <c r="N988" i="2"/>
  <c r="Y987" i="2"/>
  <c r="N987" i="2"/>
  <c r="Y986" i="2"/>
  <c r="N986" i="2"/>
  <c r="Y985" i="2"/>
  <c r="N985" i="2"/>
  <c r="Y984" i="2"/>
  <c r="N984" i="2"/>
  <c r="Y983" i="2"/>
  <c r="N983" i="2"/>
  <c r="Y982" i="2"/>
  <c r="N982" i="2"/>
  <c r="Y981" i="2"/>
  <c r="N981" i="2"/>
  <c r="Y980" i="2"/>
  <c r="N980" i="2"/>
  <c r="Y979" i="2"/>
  <c r="N979" i="2"/>
  <c r="Y978" i="2"/>
  <c r="N978" i="2"/>
  <c r="Y977" i="2"/>
  <c r="N977" i="2"/>
  <c r="Y976" i="2"/>
  <c r="N976" i="2"/>
  <c r="Y975" i="2"/>
  <c r="N975" i="2"/>
  <c r="Y974" i="2"/>
  <c r="N974" i="2"/>
  <c r="Y973" i="2"/>
  <c r="N973" i="2"/>
  <c r="Y972" i="2"/>
  <c r="N972" i="2"/>
  <c r="Y971" i="2"/>
  <c r="N971" i="2"/>
  <c r="Y970" i="2"/>
  <c r="N970" i="2"/>
  <c r="Y969" i="2"/>
  <c r="N969" i="2"/>
  <c r="Y968" i="2"/>
  <c r="N968" i="2"/>
  <c r="Y967" i="2"/>
  <c r="N967" i="2"/>
  <c r="Y966" i="2"/>
  <c r="N966" i="2"/>
  <c r="Y965" i="2"/>
  <c r="N965" i="2"/>
  <c r="Y964" i="2"/>
  <c r="N964" i="2"/>
  <c r="Y963" i="2"/>
  <c r="N963" i="2"/>
  <c r="Y962" i="2"/>
  <c r="N962" i="2"/>
  <c r="Y961" i="2"/>
  <c r="N961" i="2"/>
  <c r="Y960" i="2"/>
  <c r="N960" i="2"/>
  <c r="Y959" i="2"/>
  <c r="N959" i="2"/>
  <c r="Y958" i="2"/>
  <c r="N958" i="2"/>
  <c r="Y957" i="2"/>
  <c r="N957" i="2"/>
  <c r="Y956" i="2"/>
  <c r="N956" i="2"/>
  <c r="Y955" i="2"/>
  <c r="N955" i="2"/>
  <c r="Y954" i="2"/>
  <c r="N954" i="2"/>
  <c r="Y953" i="2"/>
  <c r="N953" i="2"/>
  <c r="Y952" i="2"/>
  <c r="N952" i="2"/>
  <c r="Y951" i="2"/>
  <c r="N951" i="2"/>
  <c r="Y950" i="2"/>
  <c r="N950" i="2"/>
  <c r="Y949" i="2"/>
  <c r="N949" i="2"/>
  <c r="Y948" i="2"/>
  <c r="N948" i="2"/>
  <c r="Y947" i="2"/>
  <c r="N947" i="2"/>
  <c r="Y946" i="2"/>
  <c r="N946" i="2"/>
  <c r="Y945" i="2"/>
  <c r="N945" i="2"/>
  <c r="Y944" i="2"/>
  <c r="N944" i="2"/>
  <c r="Y943" i="2"/>
  <c r="N943" i="2"/>
  <c r="Y942" i="2"/>
  <c r="N942" i="2"/>
  <c r="Y941" i="2"/>
  <c r="N941" i="2"/>
  <c r="Y940" i="2"/>
  <c r="N940" i="2"/>
  <c r="Y939" i="2"/>
  <c r="N939" i="2"/>
  <c r="Y938" i="2"/>
  <c r="N938" i="2"/>
  <c r="Y937" i="2"/>
  <c r="N937" i="2"/>
  <c r="Y936" i="2"/>
  <c r="N936" i="2"/>
  <c r="Y935" i="2"/>
  <c r="N935" i="2"/>
  <c r="Y934" i="2"/>
  <c r="N934" i="2"/>
  <c r="Y933" i="2"/>
  <c r="N933" i="2"/>
  <c r="Y932" i="2"/>
  <c r="N932" i="2"/>
  <c r="Y931" i="2"/>
  <c r="N931" i="2"/>
  <c r="Y930" i="2"/>
  <c r="N930" i="2"/>
  <c r="Y929" i="2"/>
  <c r="N929" i="2"/>
  <c r="Y928" i="2"/>
  <c r="N928" i="2"/>
  <c r="Y927" i="2"/>
  <c r="N927" i="2"/>
  <c r="Y926" i="2"/>
  <c r="N926" i="2"/>
  <c r="Y925" i="2"/>
  <c r="N925" i="2"/>
  <c r="Y924" i="2"/>
  <c r="N924" i="2"/>
  <c r="Y923" i="2"/>
  <c r="N923" i="2"/>
  <c r="Y922" i="2"/>
  <c r="N922" i="2"/>
  <c r="Y921" i="2"/>
  <c r="N921" i="2"/>
  <c r="Y920" i="2"/>
  <c r="N920" i="2"/>
  <c r="Y919" i="2"/>
  <c r="N919" i="2"/>
  <c r="Y918" i="2"/>
  <c r="N918" i="2"/>
  <c r="Y917" i="2"/>
  <c r="N917" i="2"/>
  <c r="Y916" i="2"/>
  <c r="N916" i="2"/>
  <c r="Y915" i="2"/>
  <c r="N915" i="2"/>
  <c r="Y914" i="2"/>
  <c r="N914" i="2"/>
  <c r="Y913" i="2"/>
  <c r="N913" i="2"/>
  <c r="Y912" i="2"/>
  <c r="N912" i="2"/>
  <c r="Y911" i="2"/>
  <c r="N911" i="2"/>
  <c r="Y910" i="2"/>
  <c r="N910" i="2"/>
  <c r="Y909" i="2"/>
  <c r="N909" i="2"/>
  <c r="Y908" i="2"/>
  <c r="N908" i="2"/>
  <c r="Y907" i="2"/>
  <c r="N907" i="2"/>
  <c r="Y906" i="2"/>
  <c r="N906" i="2"/>
  <c r="Y905" i="2"/>
  <c r="N905" i="2"/>
  <c r="Y904" i="2"/>
  <c r="N904" i="2"/>
  <c r="Y903" i="2"/>
  <c r="N903" i="2"/>
  <c r="Y902" i="2"/>
  <c r="N902" i="2"/>
  <c r="Y901" i="2"/>
  <c r="N901" i="2"/>
  <c r="Y900" i="2"/>
  <c r="N900" i="2"/>
  <c r="Y899" i="2"/>
  <c r="N899" i="2"/>
  <c r="Y898" i="2"/>
  <c r="N898" i="2"/>
  <c r="Y897" i="2"/>
  <c r="N897" i="2"/>
  <c r="Y896" i="2"/>
  <c r="N896" i="2"/>
  <c r="Y895" i="2"/>
  <c r="N895" i="2"/>
  <c r="Y894" i="2"/>
  <c r="N894" i="2"/>
  <c r="Y893" i="2"/>
  <c r="N893" i="2"/>
  <c r="Y892" i="2"/>
  <c r="N892" i="2"/>
  <c r="Y891" i="2"/>
  <c r="N891" i="2"/>
  <c r="Y890" i="2"/>
  <c r="N890" i="2"/>
  <c r="Y889" i="2"/>
  <c r="N889" i="2"/>
  <c r="Y888" i="2"/>
  <c r="N888" i="2"/>
  <c r="Y887" i="2"/>
  <c r="N887" i="2"/>
  <c r="Y886" i="2"/>
  <c r="N886" i="2"/>
  <c r="Y885" i="2"/>
  <c r="N885" i="2"/>
  <c r="Y884" i="2"/>
  <c r="N884" i="2"/>
  <c r="Y883" i="2"/>
  <c r="N883" i="2"/>
  <c r="Y882" i="2"/>
  <c r="N882" i="2"/>
  <c r="Y881" i="2"/>
  <c r="N881" i="2"/>
  <c r="Y880" i="2"/>
  <c r="N880" i="2"/>
  <c r="Y879" i="2"/>
  <c r="N879" i="2"/>
  <c r="Y878" i="2"/>
  <c r="N878" i="2"/>
  <c r="Y877" i="2"/>
  <c r="N877" i="2"/>
  <c r="Y876" i="2"/>
  <c r="N876" i="2"/>
  <c r="Y875" i="2"/>
  <c r="N875" i="2"/>
  <c r="Y874" i="2"/>
  <c r="N874" i="2"/>
  <c r="Y873" i="2"/>
  <c r="N873" i="2"/>
  <c r="Y872" i="2"/>
  <c r="N872" i="2"/>
  <c r="Y871" i="2"/>
  <c r="N871" i="2"/>
  <c r="Y870" i="2"/>
  <c r="N870" i="2"/>
  <c r="Y869" i="2"/>
  <c r="N869" i="2"/>
  <c r="Y868" i="2"/>
  <c r="N868" i="2"/>
  <c r="Y867" i="2"/>
  <c r="N867" i="2"/>
  <c r="Y866" i="2"/>
  <c r="N866" i="2"/>
  <c r="Y865" i="2"/>
  <c r="N865" i="2"/>
  <c r="Y864" i="2"/>
  <c r="N864" i="2"/>
  <c r="Y863" i="2"/>
  <c r="N863" i="2"/>
  <c r="Y862" i="2"/>
  <c r="N862" i="2"/>
  <c r="Y861" i="2"/>
  <c r="N861" i="2"/>
  <c r="Y860" i="2"/>
  <c r="N860" i="2"/>
  <c r="Y859" i="2"/>
  <c r="N859" i="2"/>
  <c r="Y858" i="2"/>
  <c r="N858" i="2"/>
  <c r="Y857" i="2"/>
  <c r="N857" i="2"/>
  <c r="Y856" i="2"/>
  <c r="N856" i="2"/>
  <c r="Y855" i="2"/>
  <c r="N855" i="2"/>
  <c r="Y854" i="2"/>
  <c r="N854" i="2"/>
  <c r="Y853" i="2"/>
  <c r="N853" i="2"/>
  <c r="Y852" i="2"/>
  <c r="N852" i="2"/>
  <c r="Y851" i="2"/>
  <c r="N851" i="2"/>
  <c r="Y850" i="2"/>
  <c r="N850" i="2"/>
  <c r="Y849" i="2"/>
  <c r="N849" i="2"/>
  <c r="Y848" i="2"/>
  <c r="N848" i="2"/>
  <c r="Y847" i="2"/>
  <c r="N847" i="2"/>
  <c r="Y846" i="2"/>
  <c r="N846" i="2"/>
  <c r="Y845" i="2"/>
  <c r="N845" i="2"/>
  <c r="Y844" i="2"/>
  <c r="N844" i="2"/>
  <c r="Y843" i="2"/>
  <c r="N843" i="2"/>
  <c r="Y842" i="2"/>
  <c r="N842" i="2"/>
  <c r="Y841" i="2"/>
  <c r="N841" i="2"/>
  <c r="Y840" i="2"/>
  <c r="N840" i="2"/>
  <c r="Y839" i="2"/>
  <c r="N839" i="2"/>
  <c r="Y838" i="2"/>
  <c r="N838" i="2"/>
  <c r="Y837" i="2"/>
  <c r="N837" i="2"/>
  <c r="Y836" i="2"/>
  <c r="N836" i="2"/>
  <c r="Y835" i="2"/>
  <c r="N835" i="2"/>
  <c r="Y834" i="2"/>
  <c r="N834" i="2"/>
  <c r="Y833" i="2"/>
  <c r="N833" i="2"/>
  <c r="Y832" i="2"/>
  <c r="N832" i="2"/>
  <c r="Y831" i="2"/>
  <c r="N831" i="2"/>
  <c r="Y830" i="2"/>
  <c r="N830" i="2"/>
  <c r="Y829" i="2"/>
  <c r="N829" i="2"/>
  <c r="Y828" i="2"/>
  <c r="N828" i="2"/>
  <c r="Y827" i="2"/>
  <c r="N827" i="2"/>
  <c r="Y826" i="2"/>
  <c r="N826" i="2"/>
  <c r="Y825" i="2"/>
  <c r="N825" i="2"/>
  <c r="Y824" i="2"/>
  <c r="N824" i="2"/>
  <c r="Y823" i="2"/>
  <c r="N823" i="2"/>
  <c r="Y822" i="2"/>
  <c r="N822" i="2"/>
  <c r="Y821" i="2"/>
  <c r="N821" i="2"/>
  <c r="Y820" i="2"/>
  <c r="N820" i="2"/>
  <c r="Y819" i="2"/>
  <c r="N819" i="2"/>
  <c r="Y818" i="2"/>
  <c r="N818" i="2"/>
  <c r="Y817" i="2"/>
  <c r="N817" i="2"/>
  <c r="Y816" i="2"/>
  <c r="N816" i="2"/>
  <c r="Y815" i="2"/>
  <c r="N815" i="2"/>
  <c r="Y814" i="2"/>
  <c r="N814" i="2"/>
  <c r="Y813" i="2"/>
  <c r="N813" i="2"/>
  <c r="Y812" i="2"/>
  <c r="N812" i="2"/>
  <c r="Y811" i="2"/>
  <c r="N811" i="2"/>
  <c r="Y810" i="2"/>
  <c r="N810" i="2"/>
  <c r="Y809" i="2"/>
  <c r="N809" i="2"/>
  <c r="Y808" i="2"/>
  <c r="N808" i="2"/>
  <c r="Y807" i="2"/>
  <c r="N807" i="2"/>
  <c r="Y806" i="2"/>
  <c r="N806" i="2"/>
  <c r="Y805" i="2"/>
  <c r="N805" i="2"/>
  <c r="Y804" i="2"/>
  <c r="N804" i="2"/>
  <c r="Y803" i="2"/>
  <c r="N803" i="2"/>
  <c r="Y802" i="2"/>
  <c r="N802" i="2"/>
  <c r="Y801" i="2"/>
  <c r="N801" i="2"/>
  <c r="Y800" i="2"/>
  <c r="N800" i="2"/>
  <c r="Y799" i="2"/>
  <c r="N799" i="2"/>
  <c r="Y798" i="2"/>
  <c r="N798" i="2"/>
  <c r="Y797" i="2"/>
  <c r="N797" i="2"/>
  <c r="Y796" i="2"/>
  <c r="N796" i="2"/>
  <c r="Y795" i="2"/>
  <c r="N795" i="2"/>
  <c r="Y794" i="2"/>
  <c r="N794" i="2"/>
  <c r="Y793" i="2"/>
  <c r="N793" i="2"/>
  <c r="Y792" i="2"/>
  <c r="N792" i="2"/>
  <c r="Y791" i="2"/>
  <c r="N791" i="2"/>
  <c r="Y790" i="2"/>
  <c r="N790" i="2"/>
  <c r="Y789" i="2"/>
  <c r="N789" i="2"/>
  <c r="Y788" i="2"/>
  <c r="N788" i="2"/>
  <c r="Y787" i="2"/>
  <c r="N787" i="2"/>
  <c r="Y786" i="2"/>
  <c r="N786" i="2"/>
  <c r="Y785" i="2"/>
  <c r="N785" i="2"/>
  <c r="Y784" i="2"/>
  <c r="N784" i="2"/>
  <c r="Y783" i="2"/>
  <c r="N783" i="2"/>
  <c r="Y782" i="2"/>
  <c r="N782" i="2"/>
  <c r="Y781" i="2"/>
  <c r="N781" i="2"/>
  <c r="Y780" i="2"/>
  <c r="N780" i="2"/>
  <c r="Y779" i="2"/>
  <c r="N779" i="2"/>
  <c r="Y778" i="2"/>
  <c r="N778" i="2"/>
  <c r="Y777" i="2"/>
  <c r="N777" i="2"/>
  <c r="Y776" i="2"/>
  <c r="N776" i="2"/>
  <c r="Y775" i="2"/>
  <c r="N775" i="2"/>
  <c r="Y774" i="2"/>
  <c r="N774" i="2"/>
  <c r="Y773" i="2"/>
  <c r="N773" i="2"/>
  <c r="Y772" i="2"/>
  <c r="N772" i="2"/>
  <c r="Y771" i="2"/>
  <c r="N771" i="2"/>
  <c r="Y770" i="2"/>
  <c r="N770" i="2"/>
  <c r="Y769" i="2"/>
  <c r="N769" i="2"/>
  <c r="Y768" i="2"/>
  <c r="N768" i="2"/>
  <c r="Y767" i="2"/>
  <c r="N767" i="2"/>
  <c r="Y766" i="2"/>
  <c r="N766" i="2"/>
  <c r="Y765" i="2"/>
  <c r="N765" i="2"/>
  <c r="Y764" i="2"/>
  <c r="N764" i="2"/>
  <c r="Y763" i="2"/>
  <c r="N763" i="2"/>
  <c r="Y762" i="2"/>
  <c r="N762" i="2"/>
  <c r="Y761" i="2"/>
  <c r="N761" i="2"/>
  <c r="Y760" i="2"/>
  <c r="N760" i="2"/>
  <c r="Y759" i="2"/>
  <c r="N759" i="2"/>
  <c r="Y758" i="2"/>
  <c r="N758" i="2"/>
  <c r="Y757" i="2"/>
  <c r="N757" i="2"/>
  <c r="Y756" i="2"/>
  <c r="N756" i="2"/>
  <c r="Y755" i="2"/>
  <c r="N755" i="2"/>
  <c r="Y754" i="2"/>
  <c r="N754" i="2"/>
  <c r="Y753" i="2"/>
  <c r="N753" i="2"/>
  <c r="Y752" i="2"/>
  <c r="N752" i="2"/>
  <c r="Y751" i="2"/>
  <c r="N751" i="2"/>
  <c r="Y750" i="2"/>
  <c r="N750" i="2"/>
  <c r="Y749" i="2"/>
  <c r="N749" i="2"/>
  <c r="Y748" i="2"/>
  <c r="N748" i="2"/>
  <c r="Y747" i="2"/>
  <c r="N747" i="2"/>
  <c r="Y746" i="2"/>
  <c r="N746" i="2"/>
  <c r="Y745" i="2"/>
  <c r="N745" i="2"/>
  <c r="Y744" i="2"/>
  <c r="N744" i="2"/>
  <c r="Y743" i="2"/>
  <c r="N743" i="2"/>
  <c r="Y742" i="2"/>
  <c r="N742" i="2"/>
  <c r="Y741" i="2"/>
  <c r="N741" i="2"/>
  <c r="Y740" i="2"/>
  <c r="N740" i="2"/>
  <c r="Y739" i="2"/>
  <c r="N739" i="2"/>
  <c r="Y738" i="2"/>
  <c r="N738" i="2"/>
  <c r="Y737" i="2"/>
  <c r="N737" i="2"/>
  <c r="Y736" i="2"/>
  <c r="N736" i="2"/>
  <c r="Y735" i="2"/>
  <c r="N735" i="2"/>
  <c r="Y734" i="2"/>
  <c r="N734" i="2"/>
  <c r="Y733" i="2"/>
  <c r="N733" i="2"/>
  <c r="Y732" i="2"/>
  <c r="N732" i="2"/>
  <c r="Y731" i="2"/>
  <c r="N731" i="2"/>
  <c r="Y730" i="2"/>
  <c r="N730" i="2"/>
  <c r="Y729" i="2"/>
  <c r="N729" i="2"/>
  <c r="Y728" i="2"/>
  <c r="N728" i="2"/>
  <c r="Y727" i="2"/>
  <c r="N727" i="2"/>
  <c r="Y726" i="2"/>
  <c r="N726" i="2"/>
  <c r="Y725" i="2"/>
  <c r="N725" i="2"/>
  <c r="Y724" i="2"/>
  <c r="N724" i="2"/>
  <c r="Y723" i="2"/>
  <c r="N723" i="2"/>
  <c r="Y722" i="2"/>
  <c r="N722" i="2"/>
  <c r="Y721" i="2"/>
  <c r="N721" i="2"/>
  <c r="Y720" i="2"/>
  <c r="N720" i="2"/>
  <c r="Y719" i="2"/>
  <c r="N719" i="2"/>
  <c r="Y718" i="2"/>
  <c r="N718" i="2"/>
  <c r="Y717" i="2"/>
  <c r="N717" i="2"/>
  <c r="Y716" i="2"/>
  <c r="N716" i="2"/>
  <c r="Y715" i="2"/>
  <c r="N715" i="2"/>
  <c r="Y714" i="2"/>
  <c r="N714" i="2"/>
  <c r="Y713" i="2"/>
  <c r="N713" i="2"/>
  <c r="Y712" i="2"/>
  <c r="N712" i="2"/>
  <c r="Y711" i="2"/>
  <c r="N711" i="2"/>
  <c r="Y710" i="2"/>
  <c r="N710" i="2"/>
  <c r="Y709" i="2"/>
  <c r="N709" i="2"/>
  <c r="Y708" i="2"/>
  <c r="N708" i="2"/>
  <c r="Y707" i="2"/>
  <c r="N707" i="2"/>
  <c r="Y706" i="2"/>
  <c r="N706" i="2"/>
  <c r="Y705" i="2"/>
  <c r="N705" i="2"/>
  <c r="Y704" i="2"/>
  <c r="N704" i="2"/>
  <c r="Y703" i="2"/>
  <c r="N703" i="2"/>
  <c r="Y702" i="2"/>
  <c r="N702" i="2"/>
  <c r="Y701" i="2"/>
  <c r="N701" i="2"/>
  <c r="Y700" i="2"/>
  <c r="N700" i="2"/>
  <c r="Y699" i="2"/>
  <c r="N699" i="2"/>
  <c r="Y698" i="2"/>
  <c r="N698" i="2"/>
  <c r="Y697" i="2"/>
  <c r="N697" i="2"/>
  <c r="Y696" i="2"/>
  <c r="N696" i="2"/>
  <c r="Y695" i="2"/>
  <c r="N695" i="2"/>
  <c r="Y694" i="2"/>
  <c r="N694" i="2"/>
  <c r="Y693" i="2"/>
  <c r="N693" i="2"/>
  <c r="Y692" i="2"/>
  <c r="N692" i="2"/>
  <c r="Y691" i="2"/>
  <c r="N691" i="2"/>
  <c r="Y690" i="2"/>
  <c r="N690" i="2"/>
  <c r="Y689" i="2"/>
  <c r="N689" i="2"/>
  <c r="Y688" i="2"/>
  <c r="N688" i="2"/>
  <c r="Y687" i="2"/>
  <c r="N687" i="2"/>
  <c r="Y686" i="2"/>
  <c r="N686" i="2"/>
  <c r="Y685" i="2"/>
  <c r="N685" i="2"/>
  <c r="Y684" i="2"/>
  <c r="N684" i="2"/>
  <c r="Y683" i="2"/>
  <c r="N683" i="2"/>
  <c r="Y682" i="2"/>
  <c r="N682" i="2"/>
  <c r="Y681" i="2"/>
  <c r="N681" i="2"/>
  <c r="Y680" i="2"/>
  <c r="N680" i="2"/>
  <c r="Y679" i="2"/>
  <c r="N679" i="2"/>
  <c r="Y678" i="2"/>
  <c r="N678" i="2"/>
  <c r="Y677" i="2"/>
  <c r="N677" i="2"/>
  <c r="Y676" i="2"/>
  <c r="N676" i="2"/>
  <c r="Y675" i="2"/>
  <c r="N675" i="2"/>
  <c r="Y674" i="2"/>
  <c r="N674" i="2"/>
  <c r="Y673" i="2"/>
  <c r="N673" i="2"/>
  <c r="Y672" i="2"/>
  <c r="N672" i="2"/>
  <c r="Y671" i="2"/>
  <c r="N671" i="2"/>
  <c r="Y670" i="2"/>
  <c r="N670" i="2"/>
  <c r="Y669" i="2"/>
  <c r="N669" i="2"/>
  <c r="Y668" i="2"/>
  <c r="N668" i="2"/>
  <c r="Y667" i="2"/>
  <c r="N667" i="2"/>
  <c r="Y666" i="2"/>
  <c r="N666" i="2"/>
  <c r="Y665" i="2"/>
  <c r="N665" i="2"/>
  <c r="Y664" i="2"/>
  <c r="N664" i="2"/>
  <c r="Y663" i="2"/>
  <c r="N663" i="2"/>
  <c r="Y662" i="2"/>
  <c r="N662" i="2"/>
  <c r="Y661" i="2"/>
  <c r="N661" i="2"/>
  <c r="Y660" i="2"/>
  <c r="N660" i="2"/>
  <c r="Y659" i="2"/>
  <c r="N659" i="2"/>
  <c r="Y658" i="2"/>
  <c r="N658" i="2"/>
  <c r="Y657" i="2"/>
  <c r="N657" i="2"/>
  <c r="Y656" i="2"/>
  <c r="N656" i="2"/>
  <c r="Y655" i="2"/>
  <c r="N655" i="2"/>
  <c r="Y654" i="2"/>
  <c r="N654" i="2"/>
  <c r="Y653" i="2"/>
  <c r="N653" i="2"/>
  <c r="Y652" i="2"/>
  <c r="N652" i="2"/>
  <c r="Y651" i="2"/>
  <c r="N651" i="2"/>
  <c r="Y650" i="2"/>
  <c r="N650" i="2"/>
  <c r="Y649" i="2"/>
  <c r="N649" i="2"/>
  <c r="Y648" i="2"/>
  <c r="N648" i="2"/>
  <c r="Y647" i="2"/>
  <c r="N647" i="2"/>
  <c r="Y646" i="2"/>
  <c r="N646" i="2"/>
  <c r="Y645" i="2"/>
  <c r="N645" i="2"/>
  <c r="Y644" i="2"/>
  <c r="N644" i="2"/>
  <c r="Y643" i="2"/>
  <c r="N643" i="2"/>
  <c r="Y642" i="2"/>
  <c r="N642" i="2"/>
  <c r="Y641" i="2"/>
  <c r="N641" i="2"/>
  <c r="Y640" i="2"/>
  <c r="N640" i="2"/>
  <c r="Y639" i="2"/>
  <c r="N639" i="2"/>
  <c r="Y638" i="2"/>
  <c r="N638" i="2"/>
  <c r="Y637" i="2"/>
  <c r="N637" i="2"/>
  <c r="Y636" i="2"/>
  <c r="N636" i="2"/>
  <c r="Y635" i="2"/>
  <c r="N635" i="2"/>
  <c r="Y634" i="2"/>
  <c r="N634" i="2"/>
  <c r="Y633" i="2"/>
  <c r="N633" i="2"/>
  <c r="Y632" i="2"/>
  <c r="N632" i="2"/>
  <c r="Y631" i="2"/>
  <c r="N631" i="2"/>
  <c r="Y630" i="2"/>
  <c r="N630" i="2"/>
  <c r="Y629" i="2"/>
  <c r="N629" i="2"/>
  <c r="Y628" i="2"/>
  <c r="N628" i="2"/>
  <c r="Y627" i="2"/>
  <c r="N627" i="2"/>
  <c r="Y626" i="2"/>
  <c r="N626" i="2"/>
  <c r="Y625" i="2"/>
  <c r="N625" i="2"/>
  <c r="Y624" i="2"/>
  <c r="N624" i="2"/>
  <c r="Y623" i="2"/>
  <c r="N623" i="2"/>
  <c r="Y622" i="2"/>
  <c r="N622" i="2"/>
  <c r="Y621" i="2"/>
  <c r="N621" i="2"/>
  <c r="Y620" i="2"/>
  <c r="N620" i="2"/>
  <c r="Y619" i="2"/>
  <c r="N619" i="2"/>
  <c r="Y618" i="2"/>
  <c r="N618" i="2"/>
  <c r="Y617" i="2"/>
  <c r="N617" i="2"/>
  <c r="Y616" i="2"/>
  <c r="N616" i="2"/>
  <c r="Y615" i="2"/>
  <c r="N615" i="2"/>
  <c r="Y614" i="2"/>
  <c r="N614" i="2"/>
  <c r="Y613" i="2"/>
  <c r="N613" i="2"/>
  <c r="Y612" i="2"/>
  <c r="N612" i="2"/>
  <c r="Y611" i="2"/>
  <c r="N611" i="2"/>
  <c r="Y610" i="2"/>
  <c r="N610" i="2"/>
  <c r="Y609" i="2"/>
  <c r="N609" i="2"/>
  <c r="Y608" i="2"/>
  <c r="N608" i="2"/>
  <c r="Y607" i="2"/>
  <c r="N607" i="2"/>
  <c r="Y606" i="2"/>
  <c r="N606" i="2"/>
  <c r="Y605" i="2"/>
  <c r="N605" i="2"/>
  <c r="Y604" i="2"/>
  <c r="N604" i="2"/>
  <c r="Y603" i="2"/>
  <c r="N603" i="2"/>
  <c r="Y602" i="2"/>
  <c r="N602" i="2"/>
  <c r="Y601" i="2"/>
  <c r="N601" i="2"/>
  <c r="Y600" i="2"/>
  <c r="N600" i="2"/>
  <c r="Y599" i="2"/>
  <c r="N599" i="2"/>
  <c r="Y598" i="2"/>
  <c r="N598" i="2"/>
  <c r="Y597" i="2"/>
  <c r="N597" i="2"/>
  <c r="Y596" i="2"/>
  <c r="N596" i="2"/>
  <c r="Y595" i="2"/>
  <c r="N595" i="2"/>
  <c r="Y594" i="2"/>
  <c r="N594" i="2"/>
  <c r="Y593" i="2"/>
  <c r="N593" i="2"/>
  <c r="Y592" i="2"/>
  <c r="N592" i="2"/>
  <c r="Y591" i="2"/>
  <c r="N591" i="2"/>
  <c r="Y590" i="2"/>
  <c r="N590" i="2"/>
  <c r="Y589" i="2"/>
  <c r="N589" i="2"/>
  <c r="Y588" i="2"/>
  <c r="N588" i="2"/>
  <c r="Y587" i="2"/>
  <c r="N587" i="2"/>
  <c r="Y586" i="2"/>
  <c r="N586" i="2"/>
  <c r="Y585" i="2"/>
  <c r="N585" i="2"/>
  <c r="Y584" i="2"/>
  <c r="N584" i="2"/>
  <c r="Y583" i="2"/>
  <c r="N583" i="2"/>
  <c r="Y582" i="2"/>
  <c r="N582" i="2"/>
  <c r="Y581" i="2"/>
  <c r="N581" i="2"/>
  <c r="Y580" i="2"/>
  <c r="N580" i="2"/>
  <c r="Y579" i="2"/>
  <c r="N579" i="2"/>
  <c r="Y578" i="2"/>
  <c r="N578" i="2"/>
  <c r="Y577" i="2"/>
  <c r="N577" i="2"/>
  <c r="Y576" i="2"/>
  <c r="N576" i="2"/>
  <c r="Y575" i="2"/>
  <c r="N575" i="2"/>
  <c r="Y574" i="2"/>
  <c r="N574" i="2"/>
  <c r="Y573" i="2"/>
  <c r="N573" i="2"/>
  <c r="Y572" i="2"/>
  <c r="N572" i="2"/>
  <c r="Y571" i="2"/>
  <c r="N571" i="2"/>
  <c r="Y570" i="2"/>
  <c r="N570" i="2"/>
  <c r="Y569" i="2"/>
  <c r="N569" i="2"/>
  <c r="Y568" i="2"/>
  <c r="N568" i="2"/>
  <c r="Y567" i="2"/>
  <c r="N567" i="2"/>
  <c r="Y566" i="2"/>
  <c r="N566" i="2"/>
  <c r="Y565" i="2"/>
  <c r="N565" i="2"/>
  <c r="Y564" i="2"/>
  <c r="N564" i="2"/>
  <c r="Y563" i="2"/>
  <c r="N563" i="2"/>
  <c r="Y562" i="2"/>
  <c r="N562" i="2"/>
  <c r="Y561" i="2"/>
  <c r="N561" i="2"/>
  <c r="Y560" i="2"/>
  <c r="N560" i="2"/>
  <c r="Y559" i="2"/>
  <c r="N559" i="2"/>
  <c r="Y558" i="2"/>
  <c r="N558" i="2"/>
  <c r="Y557" i="2"/>
  <c r="N557" i="2"/>
  <c r="Y556" i="2"/>
  <c r="N556" i="2"/>
  <c r="Y555" i="2"/>
  <c r="N555" i="2"/>
  <c r="Y554" i="2"/>
  <c r="N554" i="2"/>
  <c r="Y553" i="2"/>
  <c r="N553" i="2"/>
  <c r="Y552" i="2"/>
  <c r="N552" i="2"/>
  <c r="Y551" i="2"/>
  <c r="N551" i="2"/>
  <c r="Y550" i="2"/>
  <c r="N550" i="2"/>
  <c r="Y549" i="2"/>
  <c r="N549" i="2"/>
  <c r="Y548" i="2"/>
  <c r="N548" i="2"/>
  <c r="Y547" i="2"/>
  <c r="N547" i="2"/>
  <c r="Y546" i="2"/>
  <c r="N546" i="2"/>
  <c r="Y545" i="2"/>
  <c r="N545" i="2"/>
  <c r="Y544" i="2"/>
  <c r="N544" i="2"/>
  <c r="Y543" i="2"/>
  <c r="N543" i="2"/>
  <c r="Y542" i="2"/>
  <c r="N542" i="2"/>
  <c r="Y541" i="2"/>
  <c r="N541" i="2"/>
  <c r="Y540" i="2"/>
  <c r="N540" i="2"/>
  <c r="Y539" i="2"/>
  <c r="N539" i="2"/>
  <c r="Y538" i="2"/>
  <c r="N538" i="2"/>
  <c r="Y537" i="2"/>
  <c r="N537" i="2"/>
  <c r="Y536" i="2"/>
  <c r="N536" i="2"/>
  <c r="Y535" i="2"/>
  <c r="N535" i="2"/>
  <c r="Y534" i="2"/>
  <c r="N534" i="2"/>
  <c r="Y533" i="2"/>
  <c r="N533" i="2"/>
  <c r="Y532" i="2"/>
  <c r="N532" i="2"/>
  <c r="Y531" i="2"/>
  <c r="N531" i="2"/>
  <c r="Y530" i="2"/>
  <c r="N530" i="2"/>
  <c r="Y529" i="2"/>
  <c r="N529" i="2"/>
  <c r="Y528" i="2"/>
  <c r="N528" i="2"/>
  <c r="Y527" i="2"/>
  <c r="N527" i="2"/>
  <c r="Y526" i="2"/>
  <c r="N526" i="2"/>
  <c r="Y525" i="2"/>
  <c r="N525" i="2"/>
  <c r="Y524" i="2"/>
  <c r="N524" i="2"/>
  <c r="Y523" i="2"/>
  <c r="N523" i="2"/>
  <c r="Y522" i="2"/>
  <c r="N522" i="2"/>
  <c r="Y521" i="2"/>
  <c r="N521" i="2"/>
  <c r="Y520" i="2"/>
  <c r="N520" i="2"/>
  <c r="Y519" i="2"/>
  <c r="N519" i="2"/>
  <c r="Y518" i="2"/>
  <c r="N518" i="2"/>
  <c r="Y517" i="2"/>
  <c r="N517" i="2"/>
  <c r="Y516" i="2"/>
  <c r="N516" i="2"/>
  <c r="Y515" i="2"/>
  <c r="N515" i="2"/>
  <c r="Y514" i="2"/>
  <c r="N514" i="2"/>
  <c r="Y513" i="2"/>
  <c r="N513" i="2"/>
  <c r="Y512" i="2"/>
  <c r="N512" i="2"/>
  <c r="Y511" i="2"/>
  <c r="N511" i="2"/>
  <c r="Y510" i="2"/>
  <c r="N510" i="2"/>
  <c r="Y509" i="2"/>
  <c r="N509" i="2"/>
  <c r="Y508" i="2"/>
  <c r="N508" i="2"/>
  <c r="Y507" i="2"/>
  <c r="N507" i="2"/>
  <c r="Y506" i="2"/>
  <c r="N506" i="2"/>
  <c r="Y505" i="2"/>
  <c r="N505" i="2"/>
  <c r="Y504" i="2"/>
  <c r="N504" i="2"/>
  <c r="Y503" i="2"/>
  <c r="N503" i="2"/>
  <c r="Y502" i="2"/>
  <c r="N502" i="2"/>
  <c r="Y501" i="2"/>
  <c r="N501" i="2"/>
  <c r="Y500" i="2"/>
  <c r="N500" i="2"/>
  <c r="Y499" i="2"/>
  <c r="N499" i="2"/>
  <c r="Y498" i="2"/>
  <c r="N498" i="2"/>
  <c r="Y497" i="2"/>
  <c r="N497" i="2"/>
  <c r="Y496" i="2"/>
  <c r="N496" i="2"/>
  <c r="Y495" i="2"/>
  <c r="N495" i="2"/>
  <c r="Y494" i="2"/>
  <c r="N494" i="2"/>
  <c r="Y493" i="2"/>
  <c r="N493" i="2"/>
  <c r="Y492" i="2"/>
  <c r="N492" i="2"/>
  <c r="Y491" i="2"/>
  <c r="N491" i="2"/>
  <c r="Y490" i="2"/>
  <c r="N490" i="2"/>
  <c r="Y489" i="2"/>
  <c r="N489" i="2"/>
  <c r="Y488" i="2"/>
  <c r="N488" i="2"/>
  <c r="Y487" i="2"/>
  <c r="N487" i="2"/>
  <c r="Y486" i="2"/>
  <c r="N486" i="2"/>
  <c r="Y485" i="2"/>
  <c r="N485" i="2"/>
  <c r="Y484" i="2"/>
  <c r="N484" i="2"/>
  <c r="Y483" i="2"/>
  <c r="N483" i="2"/>
  <c r="Y482" i="2"/>
  <c r="N482" i="2"/>
  <c r="Y481" i="2"/>
  <c r="N481" i="2"/>
  <c r="Y480" i="2"/>
  <c r="N480" i="2"/>
  <c r="Y479" i="2"/>
  <c r="N479" i="2"/>
  <c r="Y478" i="2"/>
  <c r="N478" i="2"/>
  <c r="Y477" i="2"/>
  <c r="N477" i="2"/>
  <c r="Y476" i="2"/>
  <c r="N476" i="2"/>
  <c r="Y475" i="2"/>
  <c r="N475" i="2"/>
  <c r="Y474" i="2"/>
  <c r="N474" i="2"/>
  <c r="Y473" i="2"/>
  <c r="N473" i="2"/>
  <c r="Y472" i="2"/>
  <c r="N472" i="2"/>
  <c r="Y471" i="2"/>
  <c r="N471" i="2"/>
  <c r="Y470" i="2"/>
  <c r="N470" i="2"/>
  <c r="Y469" i="2"/>
  <c r="N469" i="2"/>
  <c r="Y468" i="2"/>
  <c r="N468" i="2"/>
  <c r="Y467" i="2"/>
  <c r="N467" i="2"/>
  <c r="Y466" i="2"/>
  <c r="N466" i="2"/>
  <c r="Y465" i="2"/>
  <c r="N465" i="2"/>
  <c r="Y464" i="2"/>
  <c r="N464" i="2"/>
  <c r="Y463" i="2"/>
  <c r="N463" i="2"/>
  <c r="Y462" i="2"/>
  <c r="N462" i="2"/>
  <c r="Y461" i="2"/>
  <c r="N461" i="2"/>
  <c r="Y460" i="2"/>
  <c r="N460" i="2"/>
  <c r="Y459" i="2"/>
  <c r="N459" i="2"/>
  <c r="Y458" i="2"/>
  <c r="N458" i="2"/>
  <c r="Y457" i="2"/>
  <c r="N457" i="2"/>
  <c r="Y456" i="2"/>
  <c r="N456" i="2"/>
  <c r="Y455" i="2"/>
  <c r="N455" i="2"/>
  <c r="Y454" i="2"/>
  <c r="N454" i="2"/>
  <c r="Y453" i="2"/>
  <c r="N453" i="2"/>
  <c r="Y452" i="2"/>
  <c r="N452" i="2"/>
  <c r="Y451" i="2"/>
  <c r="N451" i="2"/>
  <c r="Y450" i="2"/>
  <c r="N450" i="2"/>
  <c r="Y449" i="2"/>
  <c r="N449" i="2"/>
  <c r="Y448" i="2"/>
  <c r="N448" i="2"/>
  <c r="Y447" i="2"/>
  <c r="N447" i="2"/>
  <c r="Y446" i="2"/>
  <c r="N446" i="2"/>
  <c r="Y445" i="2"/>
  <c r="N445" i="2"/>
  <c r="Y444" i="2"/>
  <c r="N444" i="2"/>
  <c r="Y443" i="2"/>
  <c r="N443" i="2"/>
  <c r="Y442" i="2"/>
  <c r="N442" i="2"/>
  <c r="Y441" i="2"/>
  <c r="N441" i="2"/>
  <c r="Y440" i="2"/>
  <c r="N440" i="2"/>
  <c r="Y439" i="2"/>
  <c r="N439" i="2"/>
  <c r="Y438" i="2"/>
  <c r="N438" i="2"/>
  <c r="Y437" i="2"/>
  <c r="N437" i="2"/>
  <c r="Y436" i="2"/>
  <c r="N436" i="2"/>
  <c r="Y435" i="2"/>
  <c r="N435" i="2"/>
  <c r="Y434" i="2"/>
  <c r="N434" i="2"/>
  <c r="Y433" i="2"/>
  <c r="N433" i="2"/>
  <c r="Y432" i="2"/>
  <c r="N432" i="2"/>
  <c r="Y431" i="2"/>
  <c r="N431" i="2"/>
  <c r="Y430" i="2"/>
  <c r="N430" i="2"/>
  <c r="Y429" i="2"/>
  <c r="N429" i="2"/>
  <c r="Y428" i="2"/>
  <c r="N428" i="2"/>
  <c r="Y427" i="2"/>
  <c r="N427" i="2"/>
  <c r="Y426" i="2"/>
  <c r="N426" i="2"/>
  <c r="Y425" i="2"/>
  <c r="N425" i="2"/>
  <c r="Y424" i="2"/>
  <c r="N424" i="2"/>
  <c r="Y423" i="2"/>
  <c r="N423" i="2"/>
  <c r="Y422" i="2"/>
  <c r="N422" i="2"/>
  <c r="Y421" i="2"/>
  <c r="N421" i="2"/>
  <c r="Y420" i="2"/>
  <c r="N420" i="2"/>
  <c r="Y419" i="2"/>
  <c r="N419" i="2"/>
  <c r="Y418" i="2"/>
  <c r="N418" i="2"/>
  <c r="Y417" i="2"/>
  <c r="N417" i="2"/>
  <c r="Y416" i="2"/>
  <c r="N416" i="2"/>
  <c r="Y415" i="2"/>
  <c r="N415" i="2"/>
  <c r="Y414" i="2"/>
  <c r="N414" i="2"/>
  <c r="Y413" i="2"/>
  <c r="N413" i="2"/>
  <c r="Y412" i="2"/>
  <c r="N412" i="2"/>
  <c r="Y411" i="2"/>
  <c r="N411" i="2"/>
  <c r="Y410" i="2"/>
  <c r="N410" i="2"/>
  <c r="Y409" i="2"/>
  <c r="N409" i="2"/>
  <c r="Y408" i="2"/>
  <c r="N408" i="2"/>
  <c r="Y407" i="2"/>
  <c r="N407" i="2"/>
  <c r="Y406" i="2"/>
  <c r="N406" i="2"/>
  <c r="Y405" i="2"/>
  <c r="N405" i="2"/>
  <c r="Y404" i="2"/>
  <c r="N404" i="2"/>
  <c r="Y403" i="2"/>
  <c r="N403" i="2"/>
  <c r="Y402" i="2"/>
  <c r="N402" i="2"/>
  <c r="Y401" i="2"/>
  <c r="N401" i="2"/>
  <c r="Y400" i="2"/>
  <c r="N400" i="2"/>
  <c r="Y399" i="2"/>
  <c r="N399" i="2"/>
  <c r="Y398" i="2"/>
  <c r="N398" i="2"/>
  <c r="Y397" i="2"/>
  <c r="N397" i="2"/>
  <c r="Y396" i="2"/>
  <c r="N396" i="2"/>
  <c r="Y395" i="2"/>
  <c r="N395" i="2"/>
  <c r="Y394" i="2"/>
  <c r="N394" i="2"/>
  <c r="Y393" i="2"/>
  <c r="N393" i="2"/>
  <c r="Y392" i="2"/>
  <c r="N392" i="2"/>
  <c r="Y391" i="2"/>
  <c r="N391" i="2"/>
  <c r="Y390" i="2"/>
  <c r="N390" i="2"/>
  <c r="Y389" i="2"/>
  <c r="N389" i="2"/>
  <c r="Y388" i="2"/>
  <c r="N388" i="2"/>
  <c r="Y387" i="2"/>
  <c r="N387" i="2"/>
  <c r="Y386" i="2"/>
  <c r="N386" i="2"/>
  <c r="Y385" i="2"/>
  <c r="N385" i="2"/>
  <c r="Y384" i="2"/>
  <c r="N384" i="2"/>
  <c r="Y383" i="2"/>
  <c r="N383" i="2"/>
  <c r="Y382" i="2"/>
  <c r="N382" i="2"/>
  <c r="Y381" i="2"/>
  <c r="N381" i="2"/>
  <c r="Y380" i="2"/>
  <c r="N380" i="2"/>
  <c r="Y379" i="2"/>
  <c r="N379" i="2"/>
  <c r="Y378" i="2"/>
  <c r="N378" i="2"/>
  <c r="Y377" i="2"/>
  <c r="N377" i="2"/>
  <c r="Y376" i="2"/>
  <c r="N376" i="2"/>
  <c r="Y375" i="2"/>
  <c r="N375" i="2"/>
  <c r="Y374" i="2"/>
  <c r="N374" i="2"/>
  <c r="Y373" i="2"/>
  <c r="N373" i="2"/>
  <c r="Y372" i="2"/>
  <c r="N372" i="2"/>
  <c r="Y371" i="2"/>
  <c r="N371" i="2"/>
  <c r="Y370" i="2"/>
  <c r="N370" i="2"/>
  <c r="Y369" i="2"/>
  <c r="N369" i="2"/>
  <c r="Y368" i="2"/>
  <c r="N368" i="2"/>
  <c r="Y367" i="2"/>
  <c r="N367" i="2"/>
  <c r="Y366" i="2"/>
  <c r="N366" i="2"/>
  <c r="Y365" i="2"/>
  <c r="N365" i="2"/>
  <c r="Y364" i="2"/>
  <c r="N364" i="2"/>
  <c r="Y363" i="2"/>
  <c r="N363" i="2"/>
  <c r="Y362" i="2"/>
  <c r="N362" i="2"/>
  <c r="Y361" i="2"/>
  <c r="N361" i="2"/>
  <c r="Y360" i="2"/>
  <c r="N360" i="2"/>
  <c r="Y359" i="2"/>
  <c r="N359" i="2"/>
  <c r="Y358" i="2"/>
  <c r="N358" i="2"/>
  <c r="Y357" i="2"/>
  <c r="N357" i="2"/>
  <c r="Y356" i="2"/>
  <c r="N356" i="2"/>
  <c r="Y355" i="2"/>
  <c r="N355" i="2"/>
  <c r="Y354" i="2"/>
  <c r="N354" i="2"/>
  <c r="Y353" i="2"/>
  <c r="N353" i="2"/>
  <c r="Y352" i="2"/>
  <c r="N352" i="2"/>
  <c r="Y351" i="2"/>
  <c r="N351" i="2"/>
  <c r="Y350" i="2"/>
  <c r="N350" i="2"/>
  <c r="Y349" i="2"/>
  <c r="N349" i="2"/>
  <c r="Y348" i="2"/>
  <c r="N348" i="2"/>
  <c r="Y347" i="2"/>
  <c r="N347" i="2"/>
  <c r="Y346" i="2"/>
  <c r="N346" i="2"/>
  <c r="Y345" i="2"/>
  <c r="N345" i="2"/>
  <c r="Y344" i="2"/>
  <c r="N344" i="2"/>
  <c r="Y343" i="2"/>
  <c r="N343" i="2"/>
  <c r="Y342" i="2"/>
  <c r="N342" i="2"/>
  <c r="Y341" i="2"/>
  <c r="N341" i="2"/>
  <c r="Y340" i="2"/>
  <c r="N340" i="2"/>
  <c r="Y339" i="2"/>
  <c r="N339" i="2"/>
  <c r="Y338" i="2"/>
  <c r="N338" i="2"/>
  <c r="Y337" i="2"/>
  <c r="N337" i="2"/>
  <c r="Y336" i="2"/>
  <c r="N336" i="2"/>
  <c r="Y335" i="2"/>
  <c r="N335" i="2"/>
  <c r="Y334" i="2"/>
  <c r="N334" i="2"/>
  <c r="Y333" i="2"/>
  <c r="N333" i="2"/>
  <c r="Y332" i="2"/>
  <c r="N332" i="2"/>
  <c r="Y331" i="2"/>
  <c r="N331" i="2"/>
  <c r="Y330" i="2"/>
  <c r="N330" i="2"/>
  <c r="Y329" i="2"/>
  <c r="N329" i="2"/>
  <c r="Y328" i="2"/>
  <c r="N328" i="2"/>
  <c r="Y327" i="2"/>
  <c r="N327" i="2"/>
  <c r="Y326" i="2"/>
  <c r="N326" i="2"/>
  <c r="Y325" i="2"/>
  <c r="N325" i="2"/>
  <c r="Y324" i="2"/>
  <c r="N324" i="2"/>
  <c r="Y323" i="2"/>
  <c r="N323" i="2"/>
  <c r="Y322" i="2"/>
  <c r="N322" i="2"/>
  <c r="Y321" i="2"/>
  <c r="N321" i="2"/>
  <c r="Y320" i="2"/>
  <c r="N320" i="2"/>
  <c r="Y319" i="2"/>
  <c r="N319" i="2"/>
  <c r="Y318" i="2"/>
  <c r="N318" i="2"/>
  <c r="Y317" i="2"/>
  <c r="N317" i="2"/>
  <c r="Y316" i="2"/>
  <c r="N316" i="2"/>
  <c r="Y315" i="2"/>
  <c r="N315" i="2"/>
  <c r="Y314" i="2"/>
  <c r="N314" i="2"/>
  <c r="Y313" i="2"/>
  <c r="N313" i="2"/>
  <c r="Y312" i="2"/>
  <c r="N312" i="2"/>
  <c r="Y311" i="2"/>
  <c r="N311" i="2"/>
  <c r="Y310" i="2"/>
  <c r="N310" i="2"/>
  <c r="Y309" i="2"/>
  <c r="N309" i="2"/>
  <c r="Y308" i="2"/>
  <c r="N308" i="2"/>
  <c r="Y307" i="2"/>
  <c r="N307" i="2"/>
  <c r="Y306" i="2"/>
  <c r="N306" i="2"/>
  <c r="Y305" i="2"/>
  <c r="N305" i="2"/>
  <c r="Y304" i="2"/>
  <c r="N304" i="2"/>
  <c r="Y303" i="2"/>
  <c r="N303" i="2"/>
  <c r="Y302" i="2"/>
  <c r="N302" i="2"/>
  <c r="Y301" i="2"/>
  <c r="N301" i="2"/>
  <c r="Y300" i="2"/>
  <c r="N300" i="2"/>
  <c r="Y299" i="2"/>
  <c r="N299" i="2"/>
  <c r="Y298" i="2"/>
  <c r="N298" i="2"/>
  <c r="Y297" i="2"/>
  <c r="N297" i="2"/>
  <c r="Y296" i="2"/>
  <c r="N296" i="2"/>
  <c r="Y295" i="2"/>
  <c r="N295" i="2"/>
  <c r="Y294" i="2"/>
  <c r="N294" i="2"/>
  <c r="Y293" i="2"/>
  <c r="N293" i="2"/>
  <c r="Y292" i="2"/>
  <c r="N292" i="2"/>
  <c r="Y291" i="2"/>
  <c r="N291" i="2"/>
  <c r="Y290" i="2"/>
  <c r="N290" i="2"/>
  <c r="Y289" i="2"/>
  <c r="N289" i="2"/>
  <c r="Y288" i="2"/>
  <c r="N288" i="2"/>
  <c r="Y287" i="2"/>
  <c r="N287" i="2"/>
  <c r="Y286" i="2"/>
  <c r="N286" i="2"/>
  <c r="Y285" i="2"/>
  <c r="N285" i="2"/>
  <c r="Y284" i="2"/>
  <c r="N284" i="2"/>
  <c r="Y283" i="2"/>
  <c r="N283" i="2"/>
  <c r="Y282" i="2"/>
  <c r="N282" i="2"/>
  <c r="Y281" i="2"/>
  <c r="N281" i="2"/>
  <c r="Y280" i="2"/>
  <c r="N280" i="2"/>
  <c r="Y279" i="2"/>
  <c r="N279" i="2"/>
  <c r="Y278" i="2"/>
  <c r="N278" i="2"/>
  <c r="Y277" i="2"/>
  <c r="N277" i="2"/>
  <c r="Y276" i="2"/>
  <c r="N276" i="2"/>
  <c r="Y275" i="2"/>
  <c r="N275" i="2"/>
  <c r="Y274" i="2"/>
  <c r="N274" i="2"/>
  <c r="Y273" i="2"/>
  <c r="N273" i="2"/>
  <c r="Y272" i="2"/>
  <c r="N272" i="2"/>
  <c r="Y271" i="2"/>
  <c r="N271" i="2"/>
  <c r="Y270" i="2"/>
  <c r="N270" i="2"/>
  <c r="Y269" i="2"/>
  <c r="N269" i="2"/>
  <c r="Y268" i="2"/>
  <c r="N268" i="2"/>
  <c r="Y267" i="2"/>
  <c r="N267" i="2"/>
  <c r="Y266" i="2"/>
  <c r="N266" i="2"/>
  <c r="Y265" i="2"/>
  <c r="N265" i="2"/>
  <c r="Y264" i="2"/>
  <c r="N264" i="2"/>
  <c r="Y263" i="2"/>
  <c r="N263" i="2"/>
  <c r="Y262" i="2"/>
  <c r="N262" i="2"/>
  <c r="Y261" i="2"/>
  <c r="N261" i="2"/>
  <c r="Y260" i="2"/>
  <c r="N260" i="2"/>
  <c r="Y259" i="2"/>
  <c r="N259" i="2"/>
  <c r="Y258" i="2"/>
  <c r="N258" i="2"/>
  <c r="Y257" i="2"/>
  <c r="N257" i="2"/>
  <c r="Y256" i="2"/>
  <c r="N256" i="2"/>
  <c r="Y255" i="2"/>
  <c r="N255" i="2"/>
  <c r="Y254" i="2"/>
  <c r="N254" i="2"/>
  <c r="Y253" i="2"/>
  <c r="N253" i="2"/>
  <c r="Y252" i="2"/>
  <c r="N252" i="2"/>
  <c r="Y251" i="2"/>
  <c r="N251" i="2"/>
  <c r="Y250" i="2"/>
  <c r="N250" i="2"/>
  <c r="Y249" i="2"/>
  <c r="N249" i="2"/>
  <c r="Y248" i="2"/>
  <c r="N248" i="2"/>
  <c r="Y247" i="2"/>
  <c r="N247" i="2"/>
  <c r="Y246" i="2"/>
  <c r="N246" i="2"/>
  <c r="Y245" i="2"/>
  <c r="N245" i="2"/>
  <c r="Y244" i="2"/>
  <c r="N244" i="2"/>
  <c r="Y243" i="2"/>
  <c r="N243" i="2"/>
  <c r="Y242" i="2"/>
  <c r="N242" i="2"/>
  <c r="Y241" i="2"/>
  <c r="N241" i="2"/>
  <c r="Y240" i="2"/>
  <c r="N240" i="2"/>
  <c r="Y239" i="2"/>
  <c r="N239" i="2"/>
  <c r="Y238" i="2"/>
  <c r="N238" i="2"/>
  <c r="Y237" i="2"/>
  <c r="N237" i="2"/>
  <c r="Y236" i="2"/>
  <c r="N236" i="2"/>
  <c r="Y235" i="2"/>
  <c r="N235" i="2"/>
  <c r="Y234" i="2"/>
  <c r="N234" i="2"/>
  <c r="Y233" i="2"/>
  <c r="N233" i="2"/>
  <c r="Y232" i="2"/>
  <c r="N232" i="2"/>
  <c r="Y231" i="2"/>
  <c r="N231" i="2"/>
  <c r="Y230" i="2"/>
  <c r="N230" i="2"/>
  <c r="Y229" i="2"/>
  <c r="N229" i="2"/>
  <c r="Y228" i="2"/>
  <c r="N228" i="2"/>
  <c r="Y227" i="2"/>
  <c r="N227" i="2"/>
  <c r="Y226" i="2"/>
  <c r="N226" i="2"/>
  <c r="Y225" i="2"/>
  <c r="N225" i="2"/>
  <c r="Y224" i="2"/>
  <c r="N224" i="2"/>
  <c r="Y223" i="2"/>
  <c r="N223" i="2"/>
  <c r="Y222" i="2"/>
  <c r="N222" i="2"/>
  <c r="Y221" i="2"/>
  <c r="N221" i="2"/>
  <c r="Y220" i="2"/>
  <c r="N220" i="2"/>
  <c r="Y219" i="2"/>
  <c r="N219" i="2"/>
  <c r="Y218" i="2"/>
  <c r="N218" i="2"/>
  <c r="Y217" i="2"/>
  <c r="N217" i="2"/>
  <c r="Y216" i="2"/>
  <c r="N216" i="2"/>
  <c r="Y215" i="2"/>
  <c r="N215" i="2"/>
  <c r="Y214" i="2"/>
  <c r="N214" i="2"/>
  <c r="Y213" i="2"/>
  <c r="N213" i="2"/>
  <c r="Y212" i="2"/>
  <c r="N212" i="2"/>
  <c r="Y211" i="2"/>
  <c r="N211" i="2"/>
  <c r="Y210" i="2"/>
  <c r="N210" i="2"/>
  <c r="Y209" i="2"/>
  <c r="N209" i="2"/>
  <c r="Y208" i="2"/>
  <c r="N208" i="2"/>
  <c r="Y207" i="2"/>
  <c r="N207" i="2"/>
  <c r="Y206" i="2"/>
  <c r="N206" i="2"/>
  <c r="Y205" i="2"/>
  <c r="N205" i="2"/>
  <c r="Y204" i="2"/>
  <c r="N204" i="2"/>
  <c r="Y203" i="2"/>
  <c r="N203" i="2"/>
  <c r="Y202" i="2"/>
  <c r="N202" i="2"/>
  <c r="Y201" i="2"/>
  <c r="N201" i="2"/>
  <c r="Y200" i="2"/>
  <c r="N200" i="2"/>
  <c r="Y199" i="2"/>
  <c r="N199" i="2"/>
  <c r="Y198" i="2"/>
  <c r="N198" i="2"/>
  <c r="Y197" i="2"/>
  <c r="N197" i="2"/>
  <c r="Y196" i="2"/>
  <c r="N196" i="2"/>
  <c r="Y195" i="2"/>
  <c r="N195" i="2"/>
  <c r="Y194" i="2"/>
  <c r="N194" i="2"/>
  <c r="Y193" i="2"/>
  <c r="N193" i="2"/>
  <c r="Y192" i="2"/>
  <c r="N192" i="2"/>
  <c r="Y191" i="2"/>
  <c r="N191" i="2"/>
  <c r="Y190" i="2"/>
  <c r="N190" i="2"/>
  <c r="Y189" i="2"/>
  <c r="N189" i="2"/>
  <c r="Y188" i="2"/>
  <c r="N188" i="2"/>
  <c r="Y187" i="2"/>
  <c r="N187" i="2"/>
  <c r="Y186" i="2"/>
  <c r="N186" i="2"/>
  <c r="Y185" i="2"/>
  <c r="N185" i="2"/>
  <c r="Y184" i="2"/>
  <c r="N184" i="2"/>
  <c r="Y183" i="2"/>
  <c r="N183" i="2"/>
  <c r="Y182" i="2"/>
  <c r="N182" i="2"/>
  <c r="Y181" i="2"/>
  <c r="N181" i="2"/>
  <c r="Y180" i="2"/>
  <c r="N180" i="2"/>
  <c r="Y179" i="2"/>
  <c r="N179" i="2"/>
  <c r="Y178" i="2"/>
  <c r="N178" i="2"/>
  <c r="Y177" i="2"/>
  <c r="N177" i="2"/>
  <c r="Y176" i="2"/>
  <c r="N176" i="2"/>
  <c r="Y175" i="2"/>
  <c r="N175" i="2"/>
  <c r="Y174" i="2"/>
  <c r="N174" i="2"/>
  <c r="Y173" i="2"/>
  <c r="N173" i="2"/>
  <c r="Y172" i="2"/>
  <c r="N172" i="2"/>
  <c r="Y171" i="2"/>
  <c r="N171" i="2"/>
  <c r="Y170" i="2"/>
  <c r="N170" i="2"/>
  <c r="Y169" i="2"/>
  <c r="N169" i="2"/>
  <c r="Y168" i="2"/>
  <c r="N168" i="2"/>
  <c r="Y167" i="2"/>
  <c r="N167" i="2"/>
  <c r="Y166" i="2"/>
  <c r="N166" i="2"/>
  <c r="Y165" i="2"/>
  <c r="N165" i="2"/>
  <c r="Y164" i="2"/>
  <c r="N164" i="2"/>
  <c r="Y163" i="2"/>
  <c r="N163" i="2"/>
  <c r="Y162" i="2"/>
  <c r="N162" i="2"/>
  <c r="Y161" i="2"/>
  <c r="N161" i="2"/>
  <c r="Y160" i="2"/>
  <c r="N160" i="2"/>
  <c r="Y159" i="2"/>
  <c r="N159" i="2"/>
  <c r="Y158" i="2"/>
  <c r="N158" i="2"/>
  <c r="Y157" i="2"/>
  <c r="N157" i="2"/>
  <c r="Y156" i="2"/>
  <c r="N156" i="2"/>
  <c r="Y155" i="2"/>
  <c r="N155" i="2"/>
  <c r="Y154" i="2"/>
  <c r="N154" i="2"/>
  <c r="Y153" i="2"/>
  <c r="N153" i="2"/>
  <c r="Y152" i="2"/>
  <c r="N152" i="2"/>
  <c r="Y151" i="2"/>
  <c r="N151" i="2"/>
  <c r="Y150" i="2"/>
  <c r="N150" i="2"/>
  <c r="Y149" i="2"/>
  <c r="N149" i="2"/>
  <c r="Y148" i="2"/>
  <c r="N148" i="2"/>
  <c r="Y147" i="2"/>
  <c r="N147" i="2"/>
  <c r="Y146" i="2"/>
  <c r="N146" i="2"/>
  <c r="Y145" i="2"/>
  <c r="N145" i="2"/>
  <c r="Y144" i="2"/>
  <c r="N144" i="2"/>
  <c r="Y143" i="2"/>
  <c r="N143" i="2"/>
  <c r="Y142" i="2"/>
  <c r="N142" i="2"/>
  <c r="Y141" i="2"/>
  <c r="N141" i="2"/>
  <c r="Y140" i="2"/>
  <c r="N140" i="2"/>
  <c r="Y139" i="2"/>
  <c r="N139" i="2"/>
  <c r="Y138" i="2"/>
  <c r="N138" i="2"/>
  <c r="Y137" i="2"/>
  <c r="N137" i="2"/>
  <c r="Y136" i="2"/>
  <c r="N136" i="2"/>
  <c r="Y135" i="2"/>
  <c r="N135" i="2"/>
  <c r="Y134" i="2"/>
  <c r="N134" i="2"/>
  <c r="Y133" i="2"/>
  <c r="N133" i="2"/>
  <c r="Y132" i="2"/>
  <c r="N132" i="2"/>
  <c r="Y131" i="2"/>
  <c r="N131" i="2"/>
  <c r="Y130" i="2"/>
  <c r="N130" i="2"/>
  <c r="Y129" i="2"/>
  <c r="N129" i="2"/>
  <c r="Y128" i="2"/>
  <c r="N128" i="2"/>
  <c r="Y127" i="2"/>
  <c r="N127" i="2"/>
  <c r="Y126" i="2"/>
  <c r="N126" i="2"/>
  <c r="Y125" i="2"/>
  <c r="N125" i="2"/>
  <c r="Y124" i="2"/>
  <c r="N124" i="2"/>
  <c r="Y123" i="2"/>
  <c r="N123" i="2"/>
  <c r="Y122" i="2"/>
  <c r="N122" i="2"/>
  <c r="Y121" i="2"/>
  <c r="N121" i="2"/>
  <c r="Y120" i="2"/>
  <c r="N120" i="2"/>
  <c r="Y119" i="2"/>
  <c r="N119" i="2"/>
  <c r="Y118" i="2"/>
  <c r="N118" i="2"/>
  <c r="Y117" i="2"/>
  <c r="N117" i="2"/>
  <c r="Y116" i="2"/>
  <c r="N116" i="2"/>
  <c r="Y115" i="2"/>
  <c r="N115" i="2"/>
  <c r="Y114" i="2"/>
  <c r="N114" i="2"/>
  <c r="Y113" i="2"/>
  <c r="N113" i="2"/>
  <c r="Y112" i="2"/>
  <c r="N112" i="2"/>
  <c r="Y111" i="2"/>
  <c r="N111" i="2"/>
  <c r="Y110" i="2"/>
  <c r="N110" i="2"/>
  <c r="Y109" i="2"/>
  <c r="N109" i="2"/>
  <c r="Y108" i="2"/>
  <c r="N108" i="2"/>
  <c r="Y107" i="2"/>
  <c r="N107" i="2"/>
  <c r="Y106" i="2"/>
  <c r="N106" i="2"/>
  <c r="Y105" i="2"/>
  <c r="N105" i="2"/>
  <c r="Y104" i="2"/>
  <c r="N104" i="2"/>
  <c r="Y103" i="2"/>
  <c r="N103" i="2"/>
  <c r="Y102" i="2"/>
  <c r="N102" i="2"/>
  <c r="Y101" i="2"/>
  <c r="N101" i="2"/>
  <c r="Y100" i="2"/>
  <c r="N100" i="2"/>
  <c r="Y99" i="2"/>
  <c r="N99" i="2"/>
  <c r="Y98" i="2"/>
  <c r="N98" i="2"/>
  <c r="Y97" i="2"/>
  <c r="N97" i="2"/>
  <c r="Y96" i="2"/>
  <c r="N96" i="2"/>
  <c r="Y95" i="2"/>
  <c r="N95" i="2"/>
  <c r="Y94" i="2"/>
  <c r="N94" i="2"/>
  <c r="Y93" i="2"/>
  <c r="N93" i="2"/>
  <c r="Y92" i="2"/>
  <c r="N92" i="2"/>
  <c r="Y91" i="2"/>
  <c r="N91" i="2"/>
  <c r="Y90" i="2"/>
  <c r="N90" i="2"/>
  <c r="Y89" i="2"/>
  <c r="N89" i="2"/>
  <c r="Y88" i="2"/>
  <c r="N88" i="2"/>
  <c r="Y87" i="2"/>
  <c r="N87" i="2"/>
  <c r="Y86" i="2"/>
  <c r="N86" i="2"/>
  <c r="Y85" i="2"/>
  <c r="N85" i="2"/>
  <c r="Y84" i="2"/>
  <c r="N84" i="2"/>
  <c r="Y83" i="2"/>
  <c r="N83" i="2"/>
  <c r="Y82" i="2"/>
  <c r="N82" i="2"/>
  <c r="Y81" i="2"/>
  <c r="N81" i="2"/>
  <c r="Y80" i="2"/>
  <c r="N80" i="2"/>
  <c r="Y79" i="2"/>
  <c r="N79" i="2"/>
  <c r="Y78" i="2"/>
  <c r="N78" i="2"/>
  <c r="Y77" i="2"/>
  <c r="N77" i="2"/>
  <c r="Y76" i="2"/>
  <c r="N76" i="2"/>
  <c r="Y75" i="2"/>
  <c r="N75" i="2"/>
  <c r="Y74" i="2"/>
  <c r="N74" i="2"/>
  <c r="Y73" i="2"/>
  <c r="N73" i="2"/>
  <c r="Y72" i="2"/>
  <c r="N72" i="2"/>
  <c r="Y71" i="2"/>
  <c r="N71" i="2"/>
  <c r="Y70" i="2"/>
  <c r="N70" i="2"/>
  <c r="Y69" i="2"/>
  <c r="N69" i="2"/>
  <c r="Y68" i="2"/>
  <c r="N68" i="2"/>
  <c r="Y67" i="2"/>
  <c r="N67" i="2"/>
  <c r="Y66" i="2"/>
  <c r="N66" i="2"/>
  <c r="Y65" i="2"/>
  <c r="N65" i="2"/>
  <c r="Y64" i="2"/>
  <c r="N64" i="2"/>
  <c r="Y63" i="2"/>
  <c r="N63" i="2"/>
  <c r="Y62" i="2"/>
  <c r="N62" i="2"/>
  <c r="Y61" i="2"/>
  <c r="N61" i="2"/>
  <c r="Y60" i="2"/>
  <c r="N60" i="2"/>
  <c r="Y59" i="2"/>
  <c r="N59" i="2"/>
  <c r="Y58" i="2"/>
  <c r="N58" i="2"/>
  <c r="Y57" i="2"/>
  <c r="N57" i="2"/>
  <c r="Y56" i="2"/>
  <c r="N56" i="2"/>
  <c r="Y55" i="2"/>
  <c r="N55" i="2"/>
  <c r="Y54" i="2"/>
  <c r="N54" i="2"/>
  <c r="Y53" i="2"/>
  <c r="N53" i="2"/>
  <c r="Y52" i="2"/>
  <c r="N52" i="2"/>
  <c r="Y51" i="2"/>
  <c r="N51" i="2"/>
  <c r="Y50" i="2"/>
  <c r="N50" i="2"/>
  <c r="Y49" i="2"/>
  <c r="N49" i="2"/>
  <c r="Y48" i="2"/>
  <c r="N48" i="2"/>
  <c r="Y47" i="2"/>
  <c r="N47" i="2"/>
  <c r="Y46" i="2"/>
  <c r="N46" i="2"/>
  <c r="Y45" i="2"/>
  <c r="N45" i="2"/>
  <c r="Y44" i="2"/>
  <c r="N44" i="2"/>
  <c r="Y43" i="2"/>
  <c r="N43" i="2"/>
  <c r="Y42" i="2"/>
  <c r="N42" i="2"/>
  <c r="Y41" i="2"/>
  <c r="N41" i="2"/>
  <c r="Y40" i="2"/>
  <c r="N40" i="2"/>
  <c r="Y39" i="2"/>
  <c r="N39" i="2"/>
  <c r="Y38" i="2"/>
  <c r="N38" i="2"/>
  <c r="Y37" i="2"/>
  <c r="N37" i="2"/>
  <c r="Y36" i="2"/>
  <c r="N36" i="2"/>
  <c r="Y35" i="2"/>
  <c r="N35" i="2"/>
  <c r="Y34" i="2"/>
  <c r="N34" i="2"/>
  <c r="Y33" i="2"/>
  <c r="N33" i="2"/>
  <c r="Y32" i="2"/>
  <c r="N32" i="2"/>
  <c r="Y31" i="2"/>
  <c r="N31" i="2"/>
  <c r="Y30" i="2"/>
  <c r="N30" i="2"/>
  <c r="Y29" i="2"/>
  <c r="N29" i="2"/>
  <c r="Y28" i="2"/>
  <c r="N28" i="2"/>
  <c r="Y27" i="2"/>
  <c r="N27" i="2"/>
  <c r="Y26" i="2"/>
  <c r="N26" i="2"/>
  <c r="Y25" i="2"/>
  <c r="N25" i="2"/>
  <c r="Y24" i="2"/>
  <c r="N24" i="2"/>
  <c r="Y23" i="2"/>
  <c r="N23" i="2"/>
  <c r="Y22" i="2"/>
  <c r="N22" i="2"/>
  <c r="Y21" i="2"/>
  <c r="N21" i="2"/>
  <c r="Y20" i="2"/>
  <c r="N20" i="2"/>
  <c r="Y19" i="2"/>
  <c r="N19" i="2"/>
  <c r="Y18" i="2"/>
  <c r="N18" i="2"/>
  <c r="Y17" i="2"/>
  <c r="N17" i="2"/>
  <c r="Y16" i="2"/>
  <c r="N16" i="2"/>
  <c r="Y15" i="2"/>
  <c r="N15" i="2"/>
  <c r="Y14" i="2"/>
  <c r="N14" i="2"/>
  <c r="Y13" i="2"/>
  <c r="N13" i="2"/>
  <c r="Y12" i="2"/>
  <c r="N12" i="2"/>
  <c r="Y11" i="2"/>
  <c r="N11" i="2"/>
  <c r="Y10" i="2"/>
  <c r="N10" i="2"/>
  <c r="Y9" i="2"/>
  <c r="N9" i="2"/>
  <c r="Y8" i="2"/>
  <c r="N8" i="2"/>
  <c r="Y7" i="2"/>
  <c r="N7" i="2"/>
  <c r="Y6" i="2"/>
  <c r="N6" i="2"/>
  <c r="Y5" i="2"/>
  <c r="N5" i="2"/>
  <c r="Y4" i="2"/>
  <c r="N4" i="2"/>
  <c r="Y3" i="2"/>
  <c r="N3" i="2"/>
  <c r="Y2" i="2"/>
  <c r="N2" i="2"/>
  <c r="N2" i="1" l="1"/>
  <c r="Y2" i="1"/>
  <c r="N3" i="1"/>
  <c r="Y3" i="1"/>
  <c r="N4" i="1"/>
  <c r="Y4" i="1"/>
  <c r="N5" i="1"/>
  <c r="Y5" i="1"/>
  <c r="N6" i="1"/>
  <c r="Y6" i="1"/>
  <c r="N7" i="1"/>
  <c r="Y7" i="1"/>
  <c r="N8" i="1"/>
  <c r="Y8" i="1"/>
  <c r="N9" i="1"/>
  <c r="Y9" i="1"/>
  <c r="N10" i="1"/>
  <c r="Y10" i="1"/>
  <c r="N11" i="1"/>
  <c r="Y11" i="1"/>
  <c r="N12" i="1"/>
  <c r="Y12" i="1"/>
  <c r="N13" i="1"/>
  <c r="Y13" i="1"/>
  <c r="N14" i="1"/>
  <c r="Y14" i="1"/>
  <c r="N15" i="1"/>
  <c r="Y15" i="1"/>
  <c r="N16" i="1"/>
  <c r="Y16" i="1"/>
  <c r="N17" i="1"/>
  <c r="Y17" i="1"/>
  <c r="N18" i="1"/>
  <c r="Y18" i="1"/>
  <c r="N19" i="1"/>
  <c r="Y19" i="1"/>
  <c r="N20" i="1"/>
  <c r="Y20" i="1"/>
  <c r="N21" i="1"/>
  <c r="Y21" i="1"/>
  <c r="N22" i="1"/>
  <c r="Y22" i="1"/>
  <c r="N23" i="1"/>
  <c r="Y23" i="1"/>
  <c r="N24" i="1"/>
  <c r="Y24" i="1"/>
  <c r="N25" i="1"/>
  <c r="Y25" i="1"/>
  <c r="N26" i="1"/>
  <c r="Y26" i="1"/>
  <c r="N27" i="1"/>
  <c r="Y27" i="1"/>
  <c r="N28" i="1"/>
  <c r="Y28" i="1"/>
  <c r="N29" i="1"/>
  <c r="Y29" i="1"/>
  <c r="N30" i="1"/>
  <c r="Y30" i="1"/>
  <c r="N31" i="1"/>
  <c r="Y31" i="1"/>
  <c r="N32" i="1"/>
  <c r="Y32" i="1"/>
  <c r="N33" i="1"/>
  <c r="Y33" i="1"/>
  <c r="N34" i="1"/>
  <c r="Y34" i="1"/>
  <c r="N35" i="1"/>
  <c r="Y35" i="1"/>
  <c r="N36" i="1"/>
  <c r="Y36" i="1"/>
  <c r="N37" i="1"/>
  <c r="Y37" i="1"/>
  <c r="N38" i="1"/>
  <c r="Y38" i="1"/>
  <c r="N39" i="1"/>
  <c r="Y39" i="1"/>
  <c r="N40" i="1"/>
  <c r="Y40" i="1"/>
  <c r="N41" i="1"/>
  <c r="Y41" i="1"/>
  <c r="N42" i="1"/>
  <c r="Y42" i="1"/>
  <c r="N43" i="1"/>
  <c r="Y43" i="1"/>
  <c r="N44" i="1"/>
  <c r="Y44" i="1"/>
  <c r="N45" i="1"/>
  <c r="Y45" i="1"/>
  <c r="N46" i="1"/>
  <c r="Y46" i="1"/>
  <c r="N47" i="1"/>
  <c r="Y47" i="1"/>
  <c r="N48" i="1"/>
  <c r="Y48" i="1"/>
  <c r="N49" i="1"/>
  <c r="Y49" i="1"/>
  <c r="N50" i="1"/>
  <c r="Y50" i="1"/>
  <c r="N51" i="1"/>
  <c r="Y51" i="1"/>
  <c r="N52" i="1"/>
  <c r="Y52" i="1"/>
  <c r="N53" i="1"/>
  <c r="Y53" i="1"/>
  <c r="N54" i="1"/>
  <c r="Y54" i="1"/>
  <c r="N55" i="1"/>
  <c r="Y55" i="1"/>
  <c r="N56" i="1"/>
  <c r="Y56" i="1"/>
  <c r="N57" i="1"/>
  <c r="Y57" i="1"/>
  <c r="N58" i="1"/>
  <c r="Y58" i="1"/>
  <c r="N59" i="1"/>
  <c r="Y59" i="1"/>
  <c r="N60" i="1"/>
  <c r="Y60" i="1"/>
  <c r="N61" i="1"/>
  <c r="Y61" i="1"/>
  <c r="N62" i="1"/>
  <c r="Y62" i="1"/>
  <c r="N63" i="1"/>
  <c r="Y63" i="1"/>
  <c r="N64" i="1"/>
  <c r="Y64" i="1"/>
  <c r="N65" i="1"/>
  <c r="Y65" i="1"/>
  <c r="N66" i="1"/>
  <c r="Y66" i="1"/>
  <c r="N67" i="1"/>
  <c r="Y67" i="1"/>
  <c r="N68" i="1"/>
  <c r="Y68" i="1"/>
  <c r="N69" i="1"/>
  <c r="Y69" i="1"/>
  <c r="N70" i="1"/>
  <c r="Y70" i="1"/>
  <c r="N71" i="1"/>
  <c r="Y71" i="1"/>
  <c r="N72" i="1"/>
  <c r="Y72" i="1"/>
  <c r="N73" i="1"/>
  <c r="Y73" i="1"/>
  <c r="N74" i="1"/>
  <c r="Y74" i="1"/>
  <c r="N75" i="1"/>
  <c r="Y75" i="1"/>
  <c r="N76" i="1"/>
  <c r="Y76" i="1"/>
  <c r="N77" i="1"/>
  <c r="Y77" i="1"/>
  <c r="N78" i="1"/>
  <c r="Y78" i="1"/>
  <c r="N79" i="1"/>
  <c r="Y79" i="1"/>
  <c r="N80" i="1"/>
  <c r="Y80" i="1"/>
  <c r="N81" i="1"/>
  <c r="Y81" i="1"/>
  <c r="N82" i="1"/>
  <c r="Y82" i="1"/>
  <c r="N83" i="1"/>
  <c r="Y83" i="1"/>
  <c r="N84" i="1"/>
  <c r="Y84" i="1"/>
  <c r="N85" i="1"/>
  <c r="Y85" i="1"/>
  <c r="N86" i="1"/>
  <c r="Y86" i="1"/>
  <c r="N87" i="1"/>
  <c r="Y87" i="1"/>
  <c r="N88" i="1"/>
  <c r="Y88" i="1"/>
  <c r="N89" i="1"/>
  <c r="Y89" i="1"/>
  <c r="N90" i="1"/>
  <c r="Y90" i="1"/>
  <c r="N91" i="1"/>
  <c r="Y91" i="1"/>
  <c r="N92" i="1"/>
  <c r="Y92" i="1"/>
  <c r="N93" i="1"/>
  <c r="Y93" i="1"/>
  <c r="N94" i="1"/>
  <c r="Y94" i="1"/>
  <c r="N95" i="1"/>
  <c r="Y95" i="1"/>
  <c r="N96" i="1"/>
  <c r="Y96" i="1"/>
  <c r="N97" i="1"/>
  <c r="Y97" i="1"/>
  <c r="N98" i="1"/>
  <c r="Y98" i="1"/>
  <c r="N99" i="1"/>
  <c r="Y99" i="1"/>
  <c r="N100" i="1"/>
  <c r="Y100" i="1"/>
  <c r="N101" i="1"/>
  <c r="Y101" i="1"/>
  <c r="N102" i="1"/>
  <c r="Y102" i="1"/>
  <c r="N103" i="1"/>
  <c r="Y103" i="1"/>
  <c r="N104" i="1"/>
  <c r="Y104" i="1"/>
  <c r="N105" i="1"/>
  <c r="Y105" i="1"/>
  <c r="N106" i="1"/>
  <c r="Y106" i="1"/>
  <c r="N107" i="1"/>
  <c r="Y107" i="1"/>
  <c r="N108" i="1"/>
  <c r="Y108" i="1"/>
  <c r="N109" i="1"/>
  <c r="Y109" i="1"/>
  <c r="N110" i="1"/>
  <c r="Y110" i="1"/>
  <c r="N111" i="1"/>
  <c r="Y111" i="1"/>
  <c r="N112" i="1"/>
  <c r="Y112" i="1"/>
  <c r="N113" i="1"/>
  <c r="Y113" i="1"/>
  <c r="N114" i="1"/>
  <c r="Y114" i="1"/>
  <c r="N115" i="1"/>
  <c r="Y115" i="1"/>
  <c r="N116" i="1"/>
  <c r="Y116" i="1"/>
  <c r="N117" i="1"/>
  <c r="Y117" i="1"/>
  <c r="N118" i="1"/>
  <c r="Y118" i="1"/>
  <c r="N119" i="1"/>
  <c r="Y119" i="1"/>
  <c r="N120" i="1"/>
  <c r="Y120" i="1"/>
  <c r="N121" i="1"/>
  <c r="Y121" i="1"/>
  <c r="N122" i="1"/>
  <c r="Y122" i="1"/>
  <c r="N123" i="1"/>
  <c r="Y123" i="1"/>
  <c r="N124" i="1"/>
  <c r="Y124" i="1"/>
  <c r="N125" i="1"/>
  <c r="Y125" i="1"/>
  <c r="N126" i="1"/>
  <c r="Y126" i="1"/>
  <c r="N127" i="1"/>
  <c r="Y127" i="1"/>
  <c r="N128" i="1"/>
  <c r="Y128" i="1"/>
  <c r="N129" i="1"/>
  <c r="Y129" i="1"/>
  <c r="N130" i="1"/>
  <c r="Y130" i="1"/>
  <c r="N131" i="1"/>
  <c r="Y131" i="1"/>
  <c r="N132" i="1"/>
  <c r="Y132" i="1"/>
  <c r="N133" i="1"/>
  <c r="Y133" i="1"/>
  <c r="N134" i="1"/>
  <c r="Y134" i="1"/>
  <c r="N135" i="1"/>
  <c r="Y135" i="1"/>
  <c r="N136" i="1"/>
  <c r="Y136" i="1"/>
  <c r="N137" i="1"/>
  <c r="Y137" i="1"/>
  <c r="N138" i="1"/>
  <c r="Y138" i="1"/>
  <c r="N139" i="1"/>
  <c r="Y139" i="1"/>
  <c r="N140" i="1"/>
  <c r="Y140" i="1"/>
  <c r="N141" i="1"/>
  <c r="Y141" i="1"/>
  <c r="N142" i="1"/>
  <c r="Y142" i="1"/>
  <c r="N143" i="1"/>
  <c r="Y143" i="1"/>
  <c r="N144" i="1"/>
  <c r="Y144" i="1"/>
  <c r="N145" i="1"/>
  <c r="Y145" i="1"/>
  <c r="N146" i="1"/>
  <c r="Y146" i="1"/>
  <c r="N147" i="1"/>
  <c r="Y147" i="1"/>
  <c r="N148" i="1"/>
  <c r="Y148" i="1"/>
  <c r="N149" i="1"/>
  <c r="Y149" i="1"/>
  <c r="N150" i="1"/>
  <c r="Y150" i="1"/>
  <c r="N151" i="1"/>
  <c r="Y151" i="1"/>
  <c r="N152" i="1"/>
  <c r="Y152" i="1"/>
  <c r="N153" i="1"/>
  <c r="Y153" i="1"/>
  <c r="N154" i="1"/>
  <c r="Y154" i="1"/>
  <c r="N155" i="1"/>
  <c r="Y155" i="1"/>
  <c r="N156" i="1"/>
  <c r="Y156" i="1"/>
  <c r="N157" i="1"/>
  <c r="Y157" i="1"/>
  <c r="N158" i="1"/>
  <c r="Y158" i="1"/>
  <c r="N159" i="1"/>
  <c r="Y159" i="1"/>
  <c r="N160" i="1"/>
  <c r="Y160" i="1"/>
  <c r="N161" i="1"/>
  <c r="Y161" i="1"/>
  <c r="N162" i="1"/>
  <c r="Y162" i="1"/>
  <c r="N163" i="1"/>
  <c r="Y163" i="1"/>
  <c r="N164" i="1"/>
  <c r="Y164" i="1"/>
  <c r="N165" i="1"/>
  <c r="Y165" i="1"/>
  <c r="N166" i="1"/>
  <c r="Y166" i="1"/>
  <c r="N167" i="1"/>
  <c r="Y167" i="1"/>
  <c r="N168" i="1"/>
  <c r="Y168" i="1"/>
  <c r="N169" i="1"/>
  <c r="Y169" i="1"/>
  <c r="N170" i="1"/>
  <c r="Y170" i="1"/>
  <c r="N171" i="1"/>
  <c r="Y171" i="1"/>
  <c r="N172" i="1"/>
  <c r="Y172" i="1"/>
  <c r="N173" i="1"/>
  <c r="Y173" i="1"/>
  <c r="N174" i="1"/>
  <c r="Y174" i="1"/>
  <c r="N175" i="1"/>
  <c r="Y175" i="1"/>
  <c r="N176" i="1"/>
  <c r="Y176" i="1"/>
  <c r="N177" i="1"/>
  <c r="Y177" i="1"/>
  <c r="N178" i="1"/>
  <c r="Y178" i="1"/>
  <c r="N179" i="1"/>
  <c r="Y179" i="1"/>
  <c r="N180" i="1"/>
  <c r="Y180" i="1"/>
  <c r="N181" i="1"/>
  <c r="Y181" i="1"/>
  <c r="N182" i="1"/>
  <c r="Y182" i="1"/>
  <c r="N183" i="1"/>
  <c r="Y183" i="1"/>
  <c r="N184" i="1"/>
  <c r="Y184" i="1"/>
  <c r="N185" i="1"/>
  <c r="Y185" i="1"/>
  <c r="N186" i="1"/>
  <c r="Y186" i="1"/>
  <c r="N187" i="1"/>
  <c r="Y187" i="1"/>
  <c r="N188" i="1"/>
  <c r="Y188" i="1"/>
  <c r="N189" i="1"/>
  <c r="Y189" i="1"/>
  <c r="N190" i="1"/>
  <c r="Y190" i="1"/>
  <c r="N191" i="1"/>
  <c r="Y191" i="1"/>
  <c r="N192" i="1"/>
  <c r="Y192" i="1"/>
  <c r="N193" i="1"/>
  <c r="Y193" i="1"/>
  <c r="N194" i="1"/>
  <c r="Y194" i="1"/>
  <c r="N195" i="1"/>
  <c r="Y195" i="1"/>
  <c r="N196" i="1"/>
  <c r="Y196" i="1"/>
  <c r="N197" i="1"/>
  <c r="Y197" i="1"/>
  <c r="N198" i="1"/>
  <c r="Y198" i="1"/>
  <c r="N199" i="1"/>
  <c r="Y199" i="1"/>
  <c r="N200" i="1"/>
  <c r="Y200" i="1"/>
  <c r="N201" i="1"/>
  <c r="Y201" i="1"/>
  <c r="N202" i="1"/>
  <c r="Y202" i="1"/>
  <c r="N203" i="1"/>
  <c r="Y203" i="1"/>
  <c r="N204" i="1"/>
  <c r="Y204" i="1"/>
  <c r="N205" i="1"/>
  <c r="Y205" i="1"/>
  <c r="N206" i="1"/>
  <c r="Y206" i="1"/>
  <c r="N207" i="1"/>
  <c r="Y207" i="1"/>
  <c r="N208" i="1"/>
  <c r="Y208" i="1"/>
  <c r="N209" i="1"/>
  <c r="Y209" i="1"/>
  <c r="N210" i="1"/>
  <c r="Y210" i="1"/>
  <c r="N211" i="1"/>
  <c r="Y211" i="1"/>
  <c r="N212" i="1"/>
  <c r="Y212" i="1"/>
  <c r="N213" i="1"/>
  <c r="Y213" i="1"/>
  <c r="N214" i="1"/>
  <c r="Y214" i="1"/>
  <c r="N215" i="1"/>
  <c r="Y215" i="1"/>
  <c r="N216" i="1"/>
  <c r="Y216" i="1"/>
  <c r="N217" i="1"/>
  <c r="Y217" i="1"/>
  <c r="N218" i="1"/>
  <c r="Y218" i="1"/>
  <c r="N219" i="1"/>
  <c r="Y219" i="1"/>
  <c r="N220" i="1"/>
  <c r="Y220" i="1"/>
  <c r="N221" i="1"/>
  <c r="Y221" i="1"/>
  <c r="N222" i="1"/>
  <c r="Y222" i="1"/>
  <c r="N223" i="1"/>
  <c r="Y223" i="1"/>
  <c r="N224" i="1"/>
  <c r="Y224" i="1"/>
  <c r="N225" i="1"/>
  <c r="Y225" i="1"/>
  <c r="N226" i="1"/>
  <c r="Y226" i="1"/>
  <c r="N227" i="1"/>
  <c r="Y227" i="1"/>
  <c r="N228" i="1"/>
  <c r="Y228" i="1"/>
  <c r="N229" i="1"/>
  <c r="Y229" i="1"/>
  <c r="N230" i="1"/>
  <c r="Y230" i="1"/>
  <c r="N231" i="1"/>
  <c r="Y231" i="1"/>
  <c r="N232" i="1"/>
  <c r="Y232" i="1"/>
  <c r="N233" i="1"/>
  <c r="Y233" i="1"/>
  <c r="N234" i="1"/>
  <c r="Y234" i="1"/>
  <c r="N235" i="1"/>
  <c r="Y235" i="1"/>
  <c r="N236" i="1"/>
  <c r="Y236" i="1"/>
  <c r="N237" i="1"/>
  <c r="Y237" i="1"/>
  <c r="N238" i="1"/>
  <c r="Y238" i="1"/>
  <c r="N239" i="1"/>
  <c r="Y239" i="1"/>
  <c r="N240" i="1"/>
  <c r="Y240" i="1"/>
  <c r="N241" i="1"/>
  <c r="Y241" i="1"/>
  <c r="N242" i="1"/>
  <c r="Y242" i="1"/>
  <c r="N243" i="1"/>
  <c r="Y243" i="1"/>
  <c r="N244" i="1"/>
  <c r="Y244" i="1"/>
  <c r="N245" i="1"/>
  <c r="Y245" i="1"/>
  <c r="N246" i="1"/>
  <c r="Y246" i="1"/>
  <c r="N247" i="1"/>
  <c r="Y247" i="1"/>
  <c r="N248" i="1"/>
  <c r="Y248" i="1"/>
  <c r="N249" i="1"/>
  <c r="Y249" i="1"/>
  <c r="N250" i="1"/>
  <c r="Y250" i="1"/>
  <c r="N251" i="1"/>
  <c r="Y251" i="1"/>
  <c r="N252" i="1"/>
  <c r="Y252" i="1"/>
  <c r="N253" i="1"/>
  <c r="Y253" i="1"/>
  <c r="N254" i="1"/>
  <c r="Y254" i="1"/>
  <c r="N255" i="1"/>
  <c r="Y255" i="1"/>
  <c r="N256" i="1"/>
  <c r="Y256" i="1"/>
  <c r="N257" i="1"/>
  <c r="Y257" i="1"/>
  <c r="N258" i="1"/>
  <c r="Y258" i="1"/>
  <c r="N259" i="1"/>
  <c r="Y259" i="1"/>
  <c r="N260" i="1"/>
  <c r="Y260" i="1"/>
  <c r="N261" i="1"/>
  <c r="Y261" i="1"/>
  <c r="N262" i="1"/>
  <c r="Y262" i="1"/>
  <c r="N263" i="1"/>
  <c r="Y263" i="1"/>
  <c r="N264" i="1"/>
  <c r="Y264" i="1"/>
  <c r="N265" i="1"/>
  <c r="Y265" i="1"/>
  <c r="N266" i="1"/>
  <c r="Y266" i="1"/>
  <c r="N267" i="1"/>
  <c r="Y267" i="1"/>
  <c r="N268" i="1"/>
  <c r="Y268" i="1"/>
  <c r="N269" i="1"/>
  <c r="Y269" i="1"/>
  <c r="N270" i="1"/>
  <c r="Y270" i="1"/>
  <c r="N271" i="1"/>
  <c r="Y271" i="1"/>
  <c r="N272" i="1"/>
  <c r="Y272" i="1"/>
  <c r="N273" i="1"/>
  <c r="Y273" i="1"/>
  <c r="N274" i="1"/>
  <c r="Y274" i="1"/>
  <c r="N275" i="1"/>
  <c r="Y275" i="1"/>
  <c r="N276" i="1"/>
  <c r="Y276" i="1"/>
  <c r="N277" i="1"/>
  <c r="Y277" i="1"/>
  <c r="N278" i="1"/>
  <c r="Y278" i="1"/>
  <c r="N279" i="1"/>
  <c r="Y279" i="1"/>
  <c r="N280" i="1"/>
  <c r="Y280" i="1"/>
  <c r="N281" i="1"/>
  <c r="Y281" i="1"/>
  <c r="N282" i="1"/>
  <c r="Y282" i="1"/>
  <c r="N283" i="1"/>
  <c r="Y283" i="1"/>
  <c r="N284" i="1"/>
  <c r="Y284" i="1"/>
  <c r="N285" i="1"/>
  <c r="Y285" i="1"/>
  <c r="N286" i="1"/>
  <c r="Y286" i="1"/>
  <c r="N287" i="1"/>
  <c r="Y287" i="1"/>
  <c r="N288" i="1"/>
  <c r="Y288" i="1"/>
  <c r="N289" i="1"/>
  <c r="Y289" i="1"/>
  <c r="N290" i="1"/>
  <c r="Y290" i="1"/>
  <c r="N291" i="1"/>
  <c r="Y291" i="1"/>
  <c r="N292" i="1"/>
  <c r="Y292" i="1"/>
  <c r="N293" i="1"/>
  <c r="Y293" i="1"/>
  <c r="N294" i="1"/>
  <c r="Y294" i="1"/>
  <c r="N295" i="1"/>
  <c r="Y295" i="1"/>
  <c r="N296" i="1"/>
  <c r="Y296" i="1"/>
  <c r="N297" i="1"/>
  <c r="Y297" i="1"/>
  <c r="N298" i="1"/>
  <c r="Y298" i="1"/>
  <c r="N299" i="1"/>
  <c r="Y299" i="1"/>
  <c r="N300" i="1"/>
  <c r="Y300" i="1"/>
  <c r="N301" i="1"/>
  <c r="Y301" i="1"/>
  <c r="N302" i="1"/>
  <c r="Y302" i="1"/>
  <c r="N303" i="1"/>
  <c r="Y303" i="1"/>
  <c r="N304" i="1"/>
  <c r="Y304" i="1"/>
  <c r="N305" i="1"/>
  <c r="Y305" i="1"/>
  <c r="N306" i="1"/>
  <c r="Y306" i="1"/>
  <c r="N307" i="1"/>
  <c r="Y307" i="1"/>
  <c r="N308" i="1"/>
  <c r="Y308" i="1"/>
  <c r="N309" i="1"/>
  <c r="Y309" i="1"/>
  <c r="N310" i="1"/>
  <c r="Y310" i="1"/>
  <c r="N311" i="1"/>
  <c r="Y311" i="1"/>
  <c r="N312" i="1"/>
  <c r="Y312" i="1"/>
  <c r="N313" i="1"/>
  <c r="Y313" i="1"/>
  <c r="N314" i="1"/>
  <c r="Y314" i="1"/>
  <c r="N315" i="1"/>
  <c r="Y315" i="1"/>
  <c r="N316" i="1"/>
  <c r="Y316" i="1"/>
  <c r="N317" i="1"/>
  <c r="Y317" i="1"/>
  <c r="N318" i="1"/>
  <c r="Y318" i="1"/>
  <c r="N319" i="1"/>
  <c r="Y319" i="1"/>
  <c r="N320" i="1"/>
  <c r="Y320" i="1"/>
  <c r="N321" i="1"/>
  <c r="Y321" i="1"/>
  <c r="N322" i="1"/>
  <c r="Y322" i="1"/>
  <c r="N323" i="1"/>
  <c r="Y323" i="1"/>
  <c r="N324" i="1"/>
  <c r="Y324" i="1"/>
  <c r="N325" i="1"/>
  <c r="Y325" i="1"/>
  <c r="N326" i="1"/>
  <c r="Y326" i="1"/>
  <c r="N327" i="1"/>
  <c r="Y327" i="1"/>
  <c r="N328" i="1"/>
  <c r="Y328" i="1"/>
  <c r="N329" i="1"/>
  <c r="Y329" i="1"/>
  <c r="N330" i="1"/>
  <c r="Y330" i="1"/>
  <c r="N331" i="1"/>
  <c r="Y331" i="1"/>
  <c r="N332" i="1"/>
  <c r="Y332" i="1"/>
  <c r="N333" i="1"/>
  <c r="Y333" i="1"/>
  <c r="N334" i="1"/>
  <c r="Y334" i="1"/>
  <c r="N335" i="1"/>
  <c r="Y335" i="1"/>
  <c r="N336" i="1"/>
  <c r="Y336" i="1"/>
  <c r="N337" i="1"/>
  <c r="Y337" i="1"/>
  <c r="N338" i="1"/>
  <c r="Y338" i="1"/>
  <c r="N339" i="1"/>
  <c r="Y339" i="1"/>
  <c r="N340" i="1"/>
  <c r="Y340" i="1"/>
  <c r="N341" i="1"/>
  <c r="Y341" i="1"/>
  <c r="N342" i="1"/>
  <c r="Y342" i="1"/>
  <c r="N343" i="1"/>
  <c r="Y343" i="1"/>
  <c r="N344" i="1"/>
  <c r="Y344" i="1"/>
  <c r="N345" i="1"/>
  <c r="Y345" i="1"/>
  <c r="N346" i="1"/>
  <c r="Y346" i="1"/>
  <c r="N347" i="1"/>
  <c r="Y347" i="1"/>
  <c r="N348" i="1"/>
  <c r="Y348" i="1"/>
  <c r="N349" i="1"/>
  <c r="Y349" i="1"/>
  <c r="N350" i="1"/>
  <c r="Y350" i="1"/>
  <c r="N351" i="1"/>
  <c r="Y351" i="1"/>
  <c r="N352" i="1"/>
  <c r="Y352" i="1"/>
  <c r="N353" i="1"/>
  <c r="Y353" i="1"/>
  <c r="N354" i="1"/>
  <c r="Y354" i="1"/>
  <c r="N355" i="1"/>
  <c r="Y355" i="1"/>
  <c r="N356" i="1"/>
  <c r="Y356" i="1"/>
  <c r="N357" i="1"/>
  <c r="Y357" i="1"/>
  <c r="N358" i="1"/>
  <c r="Y358" i="1"/>
  <c r="N359" i="1"/>
  <c r="Y359" i="1"/>
  <c r="N360" i="1"/>
  <c r="Y360" i="1"/>
  <c r="N361" i="1"/>
  <c r="Y361" i="1"/>
  <c r="N362" i="1"/>
  <c r="Y362" i="1"/>
  <c r="N363" i="1"/>
  <c r="Y363" i="1"/>
  <c r="N364" i="1"/>
  <c r="Y364" i="1"/>
  <c r="N365" i="1"/>
  <c r="Y365" i="1"/>
  <c r="N366" i="1"/>
  <c r="Y366" i="1"/>
  <c r="N367" i="1"/>
  <c r="Y367" i="1"/>
  <c r="N368" i="1"/>
  <c r="Y368" i="1"/>
  <c r="N369" i="1"/>
  <c r="Y369" i="1"/>
  <c r="N370" i="1"/>
  <c r="Y370" i="1"/>
  <c r="N371" i="1"/>
  <c r="Y371" i="1"/>
  <c r="N372" i="1"/>
  <c r="Y372" i="1"/>
  <c r="N373" i="1"/>
  <c r="Y373" i="1"/>
  <c r="N374" i="1"/>
  <c r="Y374" i="1"/>
  <c r="N375" i="1"/>
  <c r="Y375" i="1"/>
  <c r="N376" i="1"/>
  <c r="Y376" i="1"/>
  <c r="N377" i="1"/>
  <c r="Y377" i="1"/>
  <c r="N378" i="1"/>
  <c r="Y378" i="1"/>
  <c r="N379" i="1"/>
  <c r="Y379" i="1"/>
  <c r="N380" i="1"/>
  <c r="Y380" i="1"/>
  <c r="N381" i="1"/>
  <c r="Y381" i="1"/>
  <c r="N382" i="1"/>
  <c r="Y382" i="1"/>
  <c r="N383" i="1"/>
  <c r="Y383" i="1"/>
  <c r="N384" i="1"/>
  <c r="Y384" i="1"/>
  <c r="N385" i="1"/>
  <c r="Y385" i="1"/>
  <c r="N386" i="1"/>
  <c r="Y386" i="1"/>
  <c r="N387" i="1"/>
  <c r="Y387" i="1"/>
  <c r="N388" i="1"/>
  <c r="Y388" i="1"/>
  <c r="N389" i="1"/>
  <c r="Y389" i="1"/>
  <c r="N390" i="1"/>
  <c r="Y390" i="1"/>
  <c r="N391" i="1"/>
  <c r="Y391" i="1"/>
  <c r="N392" i="1"/>
  <c r="Y392" i="1"/>
  <c r="N393" i="1"/>
  <c r="Y393" i="1"/>
  <c r="N394" i="1"/>
  <c r="Y394" i="1"/>
  <c r="N395" i="1"/>
  <c r="Y395" i="1"/>
  <c r="N396" i="1"/>
  <c r="Y396" i="1"/>
  <c r="N397" i="1"/>
  <c r="Y397" i="1"/>
  <c r="N398" i="1"/>
  <c r="Y398" i="1"/>
  <c r="N399" i="1"/>
  <c r="Y399" i="1"/>
  <c r="N400" i="1"/>
  <c r="Y400" i="1"/>
  <c r="N401" i="1"/>
  <c r="Y401" i="1"/>
  <c r="N402" i="1"/>
  <c r="Y402" i="1"/>
  <c r="N403" i="1"/>
  <c r="Y403" i="1"/>
  <c r="N404" i="1"/>
  <c r="Y404" i="1"/>
  <c r="N405" i="1"/>
  <c r="Y405" i="1"/>
  <c r="N406" i="1"/>
  <c r="Y406" i="1"/>
  <c r="N407" i="1"/>
  <c r="Y407" i="1"/>
  <c r="N408" i="1"/>
  <c r="Y408" i="1"/>
  <c r="N409" i="1"/>
  <c r="Y409" i="1"/>
  <c r="N410" i="1"/>
  <c r="Y410" i="1"/>
  <c r="N411" i="1"/>
  <c r="Y411" i="1"/>
  <c r="N412" i="1"/>
  <c r="Y412" i="1"/>
  <c r="N413" i="1"/>
  <c r="Y413" i="1"/>
  <c r="N414" i="1"/>
  <c r="Y414" i="1"/>
  <c r="N415" i="1"/>
  <c r="Y415" i="1"/>
  <c r="N416" i="1"/>
  <c r="Y416" i="1"/>
  <c r="N417" i="1"/>
  <c r="Y417" i="1"/>
  <c r="N418" i="1"/>
  <c r="Y418" i="1"/>
  <c r="N419" i="1"/>
  <c r="Y419" i="1"/>
  <c r="N420" i="1"/>
  <c r="Y420" i="1"/>
  <c r="N421" i="1"/>
  <c r="Y421" i="1"/>
  <c r="N422" i="1"/>
  <c r="Y422" i="1"/>
  <c r="N423" i="1"/>
  <c r="Y423" i="1"/>
  <c r="N424" i="1"/>
  <c r="Y424" i="1"/>
  <c r="N425" i="1"/>
  <c r="Y425" i="1"/>
  <c r="N426" i="1"/>
  <c r="Y426" i="1"/>
  <c r="N427" i="1"/>
  <c r="Y427" i="1"/>
  <c r="N428" i="1"/>
  <c r="Y428" i="1"/>
  <c r="N429" i="1"/>
  <c r="Y429" i="1"/>
  <c r="N430" i="1"/>
  <c r="Y430" i="1"/>
  <c r="N431" i="1"/>
  <c r="Y431" i="1"/>
  <c r="N432" i="1"/>
  <c r="Y432" i="1"/>
  <c r="N433" i="1"/>
  <c r="Y433" i="1"/>
  <c r="N434" i="1"/>
  <c r="Y434" i="1"/>
  <c r="N435" i="1"/>
  <c r="Y435" i="1"/>
  <c r="N436" i="1"/>
  <c r="Y436" i="1"/>
  <c r="N437" i="1"/>
  <c r="Y437" i="1"/>
  <c r="N438" i="1"/>
  <c r="Y438" i="1"/>
  <c r="N439" i="1"/>
  <c r="Y439" i="1"/>
  <c r="N440" i="1"/>
  <c r="Y440" i="1"/>
  <c r="N441" i="1"/>
  <c r="Y441" i="1"/>
  <c r="N442" i="1"/>
  <c r="Y442" i="1"/>
  <c r="N443" i="1"/>
  <c r="Y443" i="1"/>
  <c r="N444" i="1"/>
  <c r="Y444" i="1"/>
  <c r="N445" i="1"/>
  <c r="Y445" i="1"/>
  <c r="N446" i="1"/>
  <c r="Y446" i="1"/>
  <c r="N447" i="1"/>
  <c r="Y447" i="1"/>
  <c r="N448" i="1"/>
  <c r="Y448" i="1"/>
  <c r="N449" i="1"/>
  <c r="Y449" i="1"/>
  <c r="N450" i="1"/>
  <c r="Y450" i="1"/>
  <c r="N451" i="1"/>
  <c r="Y451" i="1"/>
  <c r="N452" i="1"/>
  <c r="Y452" i="1"/>
  <c r="N453" i="1"/>
  <c r="Y453" i="1"/>
  <c r="N454" i="1"/>
  <c r="Y454" i="1"/>
  <c r="N455" i="1"/>
  <c r="Y455" i="1"/>
  <c r="N456" i="1"/>
  <c r="Y456" i="1"/>
  <c r="N457" i="1"/>
  <c r="Y457" i="1"/>
  <c r="N458" i="1"/>
  <c r="Y458" i="1"/>
  <c r="N459" i="1"/>
  <c r="Y459" i="1"/>
  <c r="N460" i="1"/>
  <c r="Y460" i="1"/>
  <c r="N461" i="1"/>
  <c r="Y461" i="1"/>
  <c r="N462" i="1"/>
  <c r="Y462" i="1"/>
  <c r="N463" i="1"/>
  <c r="Y463" i="1"/>
  <c r="N464" i="1"/>
  <c r="Y464" i="1"/>
  <c r="N465" i="1"/>
  <c r="Y465" i="1"/>
  <c r="N466" i="1"/>
  <c r="Y466" i="1"/>
  <c r="N467" i="1"/>
  <c r="Y467" i="1"/>
  <c r="N468" i="1"/>
  <c r="Y468" i="1"/>
  <c r="N469" i="1"/>
  <c r="Y469" i="1"/>
  <c r="N470" i="1"/>
  <c r="Y470" i="1"/>
  <c r="N471" i="1"/>
  <c r="Y471" i="1"/>
  <c r="N472" i="1"/>
  <c r="Y472" i="1"/>
  <c r="N473" i="1"/>
  <c r="Y473" i="1"/>
  <c r="N474" i="1"/>
  <c r="Y474" i="1"/>
  <c r="N475" i="1"/>
  <c r="Y475" i="1"/>
  <c r="N476" i="1"/>
  <c r="Y476" i="1"/>
  <c r="N477" i="1"/>
  <c r="Y477" i="1"/>
  <c r="N478" i="1"/>
  <c r="Y478" i="1"/>
  <c r="N479" i="1"/>
  <c r="Y479" i="1"/>
  <c r="N480" i="1"/>
  <c r="Y480" i="1"/>
  <c r="N481" i="1"/>
  <c r="Y481" i="1"/>
  <c r="N482" i="1"/>
  <c r="Y482" i="1"/>
  <c r="N483" i="1"/>
  <c r="Y483" i="1"/>
  <c r="N484" i="1"/>
  <c r="Y484" i="1"/>
  <c r="N485" i="1"/>
  <c r="Y485" i="1"/>
  <c r="N486" i="1"/>
  <c r="Y486" i="1"/>
  <c r="N487" i="1"/>
  <c r="Y487" i="1"/>
  <c r="N488" i="1"/>
  <c r="Y488" i="1"/>
  <c r="N489" i="1"/>
  <c r="Y489" i="1"/>
  <c r="N490" i="1"/>
  <c r="Y490" i="1"/>
  <c r="N491" i="1"/>
  <c r="Y491" i="1"/>
  <c r="N492" i="1"/>
  <c r="Y492" i="1"/>
  <c r="N493" i="1"/>
  <c r="Y493" i="1"/>
  <c r="N494" i="1"/>
  <c r="Y494" i="1"/>
  <c r="N495" i="1"/>
  <c r="Y495" i="1"/>
  <c r="N496" i="1"/>
  <c r="Y496" i="1"/>
  <c r="N497" i="1"/>
  <c r="Y497" i="1"/>
  <c r="N498" i="1"/>
  <c r="Y498" i="1"/>
  <c r="N499" i="1"/>
  <c r="Y499" i="1"/>
  <c r="N500" i="1"/>
  <c r="Y500" i="1"/>
  <c r="N501" i="1"/>
  <c r="Y501" i="1"/>
  <c r="N502" i="1"/>
  <c r="Y502" i="1"/>
  <c r="N503" i="1"/>
  <c r="Y503" i="1"/>
  <c r="N504" i="1"/>
  <c r="Y504" i="1"/>
  <c r="N505" i="1"/>
  <c r="Y505" i="1"/>
  <c r="N506" i="1"/>
  <c r="Y506" i="1"/>
  <c r="N507" i="1"/>
  <c r="Y507" i="1"/>
  <c r="N508" i="1"/>
  <c r="Y508" i="1"/>
  <c r="N509" i="1"/>
  <c r="Y509" i="1"/>
  <c r="N510" i="1"/>
  <c r="Y510" i="1"/>
  <c r="N511" i="1"/>
  <c r="Y511" i="1"/>
  <c r="N512" i="1"/>
  <c r="Y512" i="1"/>
  <c r="N513" i="1"/>
  <c r="Y513" i="1"/>
  <c r="N514" i="1"/>
  <c r="Y514" i="1"/>
  <c r="N515" i="1"/>
  <c r="Y515" i="1"/>
  <c r="N516" i="1"/>
  <c r="Y516" i="1"/>
  <c r="N517" i="1"/>
  <c r="Y517" i="1"/>
  <c r="N518" i="1"/>
  <c r="Y518" i="1"/>
  <c r="N519" i="1"/>
  <c r="Y519" i="1"/>
  <c r="N520" i="1"/>
  <c r="Y520" i="1"/>
  <c r="N521" i="1"/>
  <c r="Y521" i="1"/>
  <c r="N522" i="1"/>
  <c r="Y522" i="1"/>
  <c r="N523" i="1"/>
  <c r="Y523" i="1"/>
  <c r="N524" i="1"/>
  <c r="Y524" i="1"/>
  <c r="N525" i="1"/>
  <c r="Y525" i="1"/>
  <c r="N526" i="1"/>
  <c r="Y526" i="1"/>
  <c r="N527" i="1"/>
  <c r="Y527" i="1"/>
  <c r="N528" i="1"/>
  <c r="Y528" i="1"/>
  <c r="N529" i="1"/>
  <c r="Y529" i="1"/>
  <c r="N530" i="1"/>
  <c r="Y530" i="1"/>
  <c r="N531" i="1"/>
  <c r="Y531" i="1"/>
  <c r="N532" i="1"/>
  <c r="Y532" i="1"/>
  <c r="N533" i="1"/>
  <c r="Y533" i="1"/>
  <c r="N534" i="1"/>
  <c r="Y534" i="1"/>
  <c r="N535" i="1"/>
  <c r="Y535" i="1"/>
  <c r="N536" i="1"/>
  <c r="Y536" i="1"/>
  <c r="N537" i="1"/>
  <c r="Y537" i="1"/>
  <c r="N538" i="1"/>
  <c r="Y538" i="1"/>
  <c r="N539" i="1"/>
  <c r="Y539" i="1"/>
  <c r="N540" i="1"/>
  <c r="Y540" i="1"/>
  <c r="N541" i="1"/>
  <c r="Y541" i="1"/>
  <c r="N542" i="1"/>
  <c r="Y542" i="1"/>
  <c r="N543" i="1"/>
  <c r="Y543" i="1"/>
  <c r="N544" i="1"/>
  <c r="Y544" i="1"/>
  <c r="N545" i="1"/>
  <c r="Y545" i="1"/>
  <c r="N546" i="1"/>
  <c r="Y546" i="1"/>
  <c r="N547" i="1"/>
  <c r="Y547" i="1"/>
  <c r="N548" i="1"/>
  <c r="Y548" i="1"/>
  <c r="N549" i="1"/>
  <c r="Y549" i="1"/>
  <c r="N550" i="1"/>
  <c r="Y550" i="1"/>
  <c r="N551" i="1"/>
  <c r="Y551" i="1"/>
  <c r="N552" i="1"/>
  <c r="Y552" i="1"/>
  <c r="N553" i="1"/>
  <c r="Y553" i="1"/>
  <c r="N554" i="1"/>
  <c r="Y554" i="1"/>
  <c r="N555" i="1"/>
  <c r="Y555" i="1"/>
  <c r="N556" i="1"/>
  <c r="Y556" i="1"/>
  <c r="N557" i="1"/>
  <c r="Y557" i="1"/>
  <c r="N558" i="1"/>
  <c r="Y558" i="1"/>
  <c r="N559" i="1"/>
  <c r="Y559" i="1"/>
  <c r="N560" i="1"/>
  <c r="Y560" i="1"/>
  <c r="N561" i="1"/>
  <c r="Y561" i="1"/>
  <c r="N562" i="1"/>
  <c r="Y562" i="1"/>
  <c r="N563" i="1"/>
  <c r="Y563" i="1"/>
  <c r="N564" i="1"/>
  <c r="Y564" i="1"/>
  <c r="N565" i="1"/>
  <c r="Y565" i="1"/>
  <c r="N566" i="1"/>
  <c r="Y566" i="1"/>
  <c r="N567" i="1"/>
  <c r="Y567" i="1"/>
  <c r="N568" i="1"/>
  <c r="Y568" i="1"/>
  <c r="N569" i="1"/>
  <c r="Y569" i="1"/>
  <c r="N570" i="1"/>
  <c r="Y570" i="1"/>
  <c r="N571" i="1"/>
  <c r="Y571" i="1"/>
  <c r="N572" i="1"/>
  <c r="Y572" i="1"/>
  <c r="N573" i="1"/>
  <c r="Y573" i="1"/>
  <c r="N574" i="1"/>
  <c r="Y574" i="1"/>
  <c r="N575" i="1"/>
  <c r="Y575" i="1"/>
  <c r="N576" i="1"/>
  <c r="Y576" i="1"/>
  <c r="N577" i="1"/>
  <c r="Y577" i="1"/>
  <c r="N578" i="1"/>
  <c r="Y578" i="1"/>
  <c r="N579" i="1"/>
  <c r="Y579" i="1"/>
  <c r="N580" i="1"/>
  <c r="Y580" i="1"/>
  <c r="N581" i="1"/>
  <c r="Y581" i="1"/>
  <c r="N582" i="1"/>
  <c r="Y582" i="1"/>
  <c r="N583" i="1"/>
  <c r="Y583" i="1"/>
  <c r="N584" i="1"/>
  <c r="Y584" i="1"/>
  <c r="N585" i="1"/>
  <c r="Y585" i="1"/>
  <c r="N586" i="1"/>
  <c r="Y586" i="1"/>
  <c r="N587" i="1"/>
  <c r="Y587" i="1"/>
  <c r="N588" i="1"/>
  <c r="Y588" i="1"/>
  <c r="N589" i="1"/>
  <c r="Y589" i="1"/>
  <c r="N590" i="1"/>
  <c r="Y590" i="1"/>
  <c r="N591" i="1"/>
  <c r="Y591" i="1"/>
  <c r="N592" i="1"/>
  <c r="Y592" i="1"/>
  <c r="N593" i="1"/>
  <c r="Y593" i="1"/>
  <c r="N594" i="1"/>
  <c r="Y594" i="1"/>
  <c r="N595" i="1"/>
  <c r="Y595" i="1"/>
  <c r="N596" i="1"/>
  <c r="Y596" i="1"/>
  <c r="N597" i="1"/>
  <c r="Y597" i="1"/>
  <c r="N598" i="1"/>
  <c r="Y598" i="1"/>
  <c r="N599" i="1"/>
  <c r="Y599" i="1"/>
  <c r="N600" i="1"/>
  <c r="Y600" i="1"/>
  <c r="N601" i="1"/>
  <c r="Y601" i="1"/>
  <c r="N602" i="1"/>
  <c r="Y602" i="1"/>
  <c r="N603" i="1"/>
  <c r="Y603" i="1"/>
  <c r="N604" i="1"/>
  <c r="Y604" i="1"/>
  <c r="N605" i="1"/>
  <c r="Y605" i="1"/>
  <c r="N606" i="1"/>
  <c r="Y606" i="1"/>
  <c r="N607" i="1"/>
  <c r="Y607" i="1"/>
  <c r="N608" i="1"/>
  <c r="Y608" i="1"/>
  <c r="N609" i="1"/>
  <c r="Y609" i="1"/>
  <c r="N610" i="1"/>
  <c r="Y610" i="1"/>
  <c r="N611" i="1"/>
  <c r="Y611" i="1"/>
  <c r="N612" i="1"/>
  <c r="Y612" i="1"/>
  <c r="N613" i="1"/>
  <c r="Y613" i="1"/>
  <c r="N614" i="1"/>
  <c r="Y614" i="1"/>
  <c r="N615" i="1"/>
  <c r="Y615" i="1"/>
  <c r="N616" i="1"/>
  <c r="Y616" i="1"/>
  <c r="N617" i="1"/>
  <c r="Y617" i="1"/>
  <c r="N618" i="1"/>
  <c r="Y618" i="1"/>
  <c r="N619" i="1"/>
  <c r="Y619" i="1"/>
  <c r="N620" i="1"/>
  <c r="Y620" i="1"/>
  <c r="N621" i="1"/>
  <c r="Y621" i="1"/>
  <c r="N622" i="1"/>
  <c r="Y622" i="1"/>
  <c r="N623" i="1"/>
  <c r="Y623" i="1"/>
  <c r="N624" i="1"/>
  <c r="Y624" i="1"/>
  <c r="N625" i="1"/>
  <c r="Y625" i="1"/>
  <c r="N626" i="1"/>
  <c r="Y626" i="1"/>
  <c r="N627" i="1"/>
  <c r="Y627" i="1"/>
  <c r="N628" i="1"/>
  <c r="Y628" i="1"/>
  <c r="N629" i="1"/>
  <c r="Y629" i="1"/>
  <c r="N630" i="1"/>
  <c r="Y630" i="1"/>
  <c r="N631" i="1"/>
  <c r="Y631" i="1"/>
  <c r="N632" i="1"/>
  <c r="Y632" i="1"/>
  <c r="N633" i="1"/>
  <c r="Y633" i="1"/>
  <c r="N634" i="1"/>
  <c r="Y634" i="1"/>
  <c r="N635" i="1"/>
  <c r="Y635" i="1"/>
  <c r="N636" i="1"/>
  <c r="Y636" i="1"/>
  <c r="N637" i="1"/>
  <c r="Y637" i="1"/>
  <c r="N638" i="1"/>
  <c r="Y638" i="1"/>
  <c r="N639" i="1"/>
  <c r="Y639" i="1"/>
  <c r="N640" i="1"/>
  <c r="Y640" i="1"/>
  <c r="N641" i="1"/>
  <c r="Y641" i="1"/>
  <c r="N642" i="1"/>
  <c r="Y642" i="1"/>
  <c r="N643" i="1"/>
  <c r="Y643" i="1"/>
  <c r="N644" i="1"/>
  <c r="Y644" i="1"/>
  <c r="N645" i="1"/>
  <c r="Y645" i="1"/>
  <c r="N646" i="1"/>
  <c r="Y646" i="1"/>
  <c r="N647" i="1"/>
  <c r="Y647" i="1"/>
  <c r="N648" i="1"/>
  <c r="Y648" i="1"/>
  <c r="N649" i="1"/>
  <c r="Y649" i="1"/>
  <c r="N650" i="1"/>
  <c r="Y650" i="1"/>
  <c r="N651" i="1"/>
  <c r="Y651" i="1"/>
  <c r="N652" i="1"/>
  <c r="Y652" i="1"/>
  <c r="N653" i="1"/>
  <c r="Y653" i="1"/>
  <c r="N654" i="1"/>
  <c r="Y654" i="1"/>
  <c r="N655" i="1"/>
  <c r="Y655" i="1"/>
  <c r="N656" i="1"/>
  <c r="Y656" i="1"/>
  <c r="N657" i="1"/>
  <c r="Y657" i="1"/>
  <c r="N658" i="1"/>
  <c r="Y658" i="1"/>
  <c r="N659" i="1"/>
  <c r="Y659" i="1"/>
  <c r="N660" i="1"/>
  <c r="Y660" i="1"/>
  <c r="N661" i="1"/>
  <c r="Y661" i="1"/>
  <c r="N662" i="1"/>
  <c r="Y662" i="1"/>
  <c r="N663" i="1"/>
  <c r="Y663" i="1"/>
  <c r="N664" i="1"/>
  <c r="Y664" i="1"/>
  <c r="N665" i="1"/>
  <c r="Y665" i="1"/>
  <c r="N666" i="1"/>
  <c r="Y666" i="1"/>
  <c r="N667" i="1"/>
  <c r="Y667" i="1"/>
  <c r="N668" i="1"/>
  <c r="Y668" i="1"/>
  <c r="N669" i="1"/>
  <c r="Y669" i="1"/>
  <c r="N670" i="1"/>
  <c r="Y670" i="1"/>
  <c r="N671" i="1"/>
  <c r="Y671" i="1"/>
  <c r="N672" i="1"/>
  <c r="Y672" i="1"/>
  <c r="N673" i="1"/>
  <c r="Y673" i="1"/>
  <c r="N674" i="1"/>
  <c r="Y674" i="1"/>
  <c r="N675" i="1"/>
  <c r="Y675" i="1"/>
  <c r="N676" i="1"/>
  <c r="Y676" i="1"/>
  <c r="N677" i="1"/>
  <c r="Y677" i="1"/>
  <c r="N678" i="1"/>
  <c r="Y678" i="1"/>
  <c r="N679" i="1"/>
  <c r="Y679" i="1"/>
  <c r="N680" i="1"/>
  <c r="Y680" i="1"/>
  <c r="N681" i="1"/>
  <c r="Y681" i="1"/>
  <c r="N682" i="1"/>
  <c r="Y682" i="1"/>
  <c r="N683" i="1"/>
  <c r="Y683" i="1"/>
  <c r="N684" i="1"/>
  <c r="Y684" i="1"/>
  <c r="N685" i="1"/>
  <c r="Y685" i="1"/>
  <c r="N686" i="1"/>
  <c r="Y686" i="1"/>
  <c r="N687" i="1"/>
  <c r="Y687" i="1"/>
  <c r="N688" i="1"/>
  <c r="Y688" i="1"/>
  <c r="N689" i="1"/>
  <c r="Y689" i="1"/>
  <c r="N690" i="1"/>
  <c r="Y690" i="1"/>
  <c r="N691" i="1"/>
  <c r="Y691" i="1"/>
  <c r="N692" i="1"/>
  <c r="Y692" i="1"/>
  <c r="N693" i="1"/>
  <c r="Y693" i="1"/>
  <c r="N694" i="1"/>
  <c r="Y694" i="1"/>
  <c r="N695" i="1"/>
  <c r="Y695" i="1"/>
  <c r="N696" i="1"/>
  <c r="Y696" i="1"/>
  <c r="N697" i="1"/>
  <c r="Y697" i="1"/>
  <c r="N698" i="1"/>
  <c r="Y698" i="1"/>
  <c r="N699" i="1"/>
  <c r="Y699" i="1"/>
  <c r="N700" i="1"/>
  <c r="Y700" i="1"/>
  <c r="N701" i="1"/>
  <c r="Y701" i="1"/>
  <c r="N702" i="1"/>
  <c r="Y702" i="1"/>
  <c r="N703" i="1"/>
  <c r="Y703" i="1"/>
  <c r="N704" i="1"/>
  <c r="Y704" i="1"/>
  <c r="N705" i="1"/>
  <c r="Y705" i="1"/>
  <c r="N706" i="1"/>
  <c r="Y706" i="1"/>
  <c r="N707" i="1"/>
  <c r="Y707" i="1"/>
  <c r="N708" i="1"/>
  <c r="Y708" i="1"/>
  <c r="N709" i="1"/>
  <c r="Y709" i="1"/>
  <c r="N710" i="1"/>
  <c r="Y710" i="1"/>
  <c r="N711" i="1"/>
  <c r="Y711" i="1"/>
  <c r="N712" i="1"/>
  <c r="Y712" i="1"/>
  <c r="N713" i="1"/>
  <c r="Y713" i="1"/>
  <c r="N714" i="1"/>
  <c r="Y714" i="1"/>
  <c r="N715" i="1"/>
  <c r="Y715" i="1"/>
  <c r="N716" i="1"/>
  <c r="Y716" i="1"/>
  <c r="N717" i="1"/>
  <c r="Y717" i="1"/>
  <c r="N718" i="1"/>
  <c r="Y718" i="1"/>
  <c r="N719" i="1"/>
  <c r="Y719" i="1"/>
  <c r="N720" i="1"/>
  <c r="Y720" i="1"/>
  <c r="N721" i="1"/>
  <c r="Y721" i="1"/>
  <c r="N722" i="1"/>
  <c r="Y722" i="1"/>
  <c r="N723" i="1"/>
  <c r="Y723" i="1"/>
  <c r="N724" i="1"/>
  <c r="Y724" i="1"/>
  <c r="N725" i="1"/>
  <c r="Y725" i="1"/>
  <c r="N726" i="1"/>
  <c r="Y726" i="1"/>
  <c r="N727" i="1"/>
  <c r="Y727" i="1"/>
  <c r="N728" i="1"/>
  <c r="Y728" i="1"/>
  <c r="N729" i="1"/>
  <c r="Y729" i="1"/>
  <c r="N730" i="1"/>
  <c r="Y730" i="1"/>
  <c r="N731" i="1"/>
  <c r="Y731" i="1"/>
  <c r="N732" i="1"/>
  <c r="Y732" i="1"/>
  <c r="N733" i="1"/>
  <c r="Y733" i="1"/>
  <c r="N734" i="1"/>
  <c r="Y734" i="1"/>
  <c r="N735" i="1"/>
  <c r="Y735" i="1"/>
  <c r="N736" i="1"/>
  <c r="Y736" i="1"/>
  <c r="N737" i="1"/>
  <c r="Y737" i="1"/>
  <c r="N738" i="1"/>
  <c r="Y738" i="1"/>
  <c r="N739" i="1"/>
  <c r="Y739" i="1"/>
  <c r="N740" i="1"/>
  <c r="Y740" i="1"/>
  <c r="N741" i="1"/>
  <c r="Y741" i="1"/>
  <c r="N742" i="1"/>
  <c r="Y742" i="1"/>
  <c r="N743" i="1"/>
  <c r="Y743" i="1"/>
  <c r="N744" i="1"/>
  <c r="Y744" i="1"/>
  <c r="N745" i="1"/>
  <c r="Y745" i="1"/>
  <c r="N746" i="1"/>
  <c r="Y746" i="1"/>
  <c r="N747" i="1"/>
  <c r="Y747" i="1"/>
  <c r="N748" i="1"/>
  <c r="Y748" i="1"/>
  <c r="N749" i="1"/>
  <c r="Y749" i="1"/>
  <c r="N750" i="1"/>
  <c r="Y750" i="1"/>
  <c r="N751" i="1"/>
  <c r="Y751" i="1"/>
  <c r="N752" i="1"/>
  <c r="Y752" i="1"/>
  <c r="N753" i="1"/>
  <c r="Y753" i="1"/>
  <c r="N754" i="1"/>
  <c r="Y754" i="1"/>
  <c r="N755" i="1"/>
  <c r="Y755" i="1"/>
  <c r="N756" i="1"/>
  <c r="Y756" i="1"/>
  <c r="N757" i="1"/>
  <c r="Y757" i="1"/>
  <c r="N758" i="1"/>
  <c r="Y758" i="1"/>
  <c r="N759" i="1"/>
  <c r="Y759" i="1"/>
  <c r="N760" i="1"/>
  <c r="Y760" i="1"/>
  <c r="N761" i="1"/>
  <c r="Y761" i="1"/>
  <c r="N762" i="1"/>
  <c r="Y762" i="1"/>
  <c r="N763" i="1"/>
  <c r="Y763" i="1"/>
  <c r="N764" i="1"/>
  <c r="Y764" i="1"/>
  <c r="N765" i="1"/>
  <c r="Y765" i="1"/>
  <c r="N766" i="1"/>
  <c r="Y766" i="1"/>
  <c r="N767" i="1"/>
  <c r="Y767" i="1"/>
  <c r="N768" i="1"/>
  <c r="Y768" i="1"/>
  <c r="N769" i="1"/>
  <c r="Y769" i="1"/>
  <c r="N770" i="1"/>
  <c r="Y770" i="1"/>
  <c r="N771" i="1"/>
  <c r="Y771" i="1"/>
  <c r="N772" i="1"/>
  <c r="Y772" i="1"/>
  <c r="N773" i="1"/>
  <c r="Y773" i="1"/>
  <c r="N774" i="1"/>
  <c r="Y774" i="1"/>
  <c r="N775" i="1"/>
  <c r="Y775" i="1"/>
  <c r="N776" i="1"/>
  <c r="Y776" i="1"/>
  <c r="N777" i="1"/>
  <c r="Y777" i="1"/>
  <c r="N778" i="1"/>
  <c r="Y778" i="1"/>
  <c r="N779" i="1"/>
  <c r="Y779" i="1"/>
  <c r="N780" i="1"/>
  <c r="Y780" i="1"/>
  <c r="N781" i="1"/>
  <c r="Y781" i="1"/>
  <c r="N782" i="1"/>
  <c r="Y782" i="1"/>
  <c r="N783" i="1"/>
  <c r="Y783" i="1"/>
  <c r="N784" i="1"/>
  <c r="Y784" i="1"/>
  <c r="N785" i="1"/>
  <c r="Y785" i="1"/>
  <c r="N786" i="1"/>
  <c r="Y786" i="1"/>
  <c r="N787" i="1"/>
  <c r="Y787" i="1"/>
  <c r="N788" i="1"/>
  <c r="Y788" i="1"/>
  <c r="N789" i="1"/>
  <c r="Y789" i="1"/>
  <c r="N790" i="1"/>
  <c r="Y790" i="1"/>
  <c r="N791" i="1"/>
  <c r="Y791" i="1"/>
  <c r="N792" i="1"/>
  <c r="Y792" i="1"/>
  <c r="N793" i="1"/>
  <c r="Y793" i="1"/>
  <c r="N794" i="1"/>
  <c r="Y794" i="1"/>
  <c r="N795" i="1"/>
  <c r="Y795" i="1"/>
  <c r="N796" i="1"/>
  <c r="Y796" i="1"/>
  <c r="N797" i="1"/>
  <c r="Y797" i="1"/>
  <c r="N798" i="1"/>
  <c r="Y798" i="1"/>
  <c r="N799" i="1"/>
  <c r="Y799" i="1"/>
  <c r="N800" i="1"/>
  <c r="Y800" i="1"/>
  <c r="N801" i="1"/>
  <c r="Y801" i="1"/>
  <c r="N802" i="1"/>
  <c r="Y802" i="1"/>
  <c r="N803" i="1"/>
  <c r="Y803" i="1"/>
  <c r="N804" i="1"/>
  <c r="Y804" i="1"/>
  <c r="N805" i="1"/>
  <c r="Y805" i="1"/>
  <c r="N806" i="1"/>
  <c r="Y806" i="1"/>
  <c r="N807" i="1"/>
  <c r="Y807" i="1"/>
  <c r="N808" i="1"/>
  <c r="Y808" i="1"/>
  <c r="N809" i="1"/>
  <c r="Y809" i="1"/>
  <c r="N810" i="1"/>
  <c r="Y810" i="1"/>
  <c r="N811" i="1"/>
  <c r="Y811" i="1"/>
  <c r="N812" i="1"/>
  <c r="Y812" i="1"/>
  <c r="N813" i="1"/>
  <c r="Y813" i="1"/>
  <c r="N814" i="1"/>
  <c r="Y814" i="1"/>
  <c r="N815" i="1"/>
  <c r="Y815" i="1"/>
  <c r="N816" i="1"/>
  <c r="Y816" i="1"/>
  <c r="N817" i="1"/>
  <c r="Y817" i="1"/>
  <c r="N818" i="1"/>
  <c r="Y818" i="1"/>
  <c r="N819" i="1"/>
  <c r="Y819" i="1"/>
  <c r="N820" i="1"/>
  <c r="Y820" i="1"/>
  <c r="N821" i="1"/>
  <c r="Y821" i="1"/>
  <c r="N822" i="1"/>
  <c r="Y822" i="1"/>
  <c r="N823" i="1"/>
  <c r="Y823" i="1"/>
  <c r="N824" i="1"/>
  <c r="Y824" i="1"/>
  <c r="N825" i="1"/>
  <c r="Y825" i="1"/>
  <c r="N826" i="1"/>
  <c r="Y826" i="1"/>
  <c r="N827" i="1"/>
  <c r="Y827" i="1"/>
  <c r="N828" i="1"/>
  <c r="Y828" i="1"/>
  <c r="N829" i="1"/>
  <c r="Y829" i="1"/>
  <c r="N830" i="1"/>
  <c r="Y830" i="1"/>
  <c r="N831" i="1"/>
  <c r="Y831" i="1"/>
  <c r="N832" i="1"/>
  <c r="Y832" i="1"/>
  <c r="N833" i="1"/>
  <c r="Y833" i="1"/>
  <c r="N834" i="1"/>
  <c r="Y834" i="1"/>
  <c r="N835" i="1"/>
  <c r="Y835" i="1"/>
  <c r="N836" i="1"/>
  <c r="Y836" i="1"/>
  <c r="N837" i="1"/>
  <c r="Y837" i="1"/>
  <c r="N838" i="1"/>
  <c r="Y838" i="1"/>
  <c r="N839" i="1"/>
  <c r="Y839" i="1"/>
  <c r="N840" i="1"/>
  <c r="Y840" i="1"/>
  <c r="N841" i="1"/>
  <c r="Y841" i="1"/>
  <c r="N842" i="1"/>
  <c r="Y842" i="1"/>
  <c r="N843" i="1"/>
  <c r="Y843" i="1"/>
  <c r="N844" i="1"/>
  <c r="Y844" i="1"/>
  <c r="N845" i="1"/>
  <c r="Y845" i="1"/>
  <c r="N846" i="1"/>
  <c r="Y846" i="1"/>
  <c r="N847" i="1"/>
  <c r="Y847" i="1"/>
  <c r="N848" i="1"/>
  <c r="Y848" i="1"/>
  <c r="N849" i="1"/>
  <c r="Y849" i="1"/>
  <c r="N850" i="1"/>
  <c r="Y850" i="1"/>
  <c r="N851" i="1"/>
  <c r="Y851" i="1"/>
  <c r="N852" i="1"/>
  <c r="Y852" i="1"/>
  <c r="N853" i="1"/>
  <c r="Y853" i="1"/>
  <c r="N854" i="1"/>
  <c r="Y854" i="1"/>
  <c r="N855" i="1"/>
  <c r="Y855" i="1"/>
  <c r="N856" i="1"/>
  <c r="Y856" i="1"/>
  <c r="N857" i="1"/>
  <c r="Y857" i="1"/>
  <c r="N858" i="1"/>
  <c r="Y858" i="1"/>
  <c r="N859" i="1"/>
  <c r="Y859" i="1"/>
  <c r="N860" i="1"/>
  <c r="Y860" i="1"/>
  <c r="N861" i="1"/>
  <c r="Y861" i="1"/>
  <c r="N862" i="1"/>
  <c r="Y862" i="1"/>
  <c r="N863" i="1"/>
  <c r="Y863" i="1"/>
  <c r="N864" i="1"/>
  <c r="Y864" i="1"/>
  <c r="N865" i="1"/>
  <c r="Y865" i="1"/>
  <c r="N866" i="1"/>
  <c r="Y866" i="1"/>
  <c r="N867" i="1"/>
  <c r="Y867" i="1"/>
  <c r="N868" i="1"/>
  <c r="Y868" i="1"/>
  <c r="N869" i="1"/>
  <c r="Y869" i="1"/>
  <c r="N870" i="1"/>
  <c r="Y870" i="1"/>
  <c r="N871" i="1"/>
  <c r="Y871" i="1"/>
  <c r="N872" i="1"/>
  <c r="Y872" i="1"/>
  <c r="N873" i="1"/>
  <c r="Y873" i="1"/>
  <c r="N874" i="1"/>
  <c r="Y874" i="1"/>
  <c r="N875" i="1"/>
  <c r="Y875" i="1"/>
  <c r="N876" i="1"/>
  <c r="Y876" i="1"/>
  <c r="N877" i="1"/>
  <c r="Y877" i="1"/>
  <c r="N878" i="1"/>
  <c r="Y878" i="1"/>
  <c r="N879" i="1"/>
  <c r="Y879" i="1"/>
  <c r="N880" i="1"/>
  <c r="Y880" i="1"/>
  <c r="N881" i="1"/>
  <c r="Y881" i="1"/>
  <c r="N882" i="1"/>
  <c r="Y882" i="1"/>
  <c r="N883" i="1"/>
  <c r="Y883" i="1"/>
  <c r="N884" i="1"/>
  <c r="Y884" i="1"/>
  <c r="N885" i="1"/>
  <c r="Y885" i="1"/>
  <c r="N886" i="1"/>
  <c r="Y886" i="1"/>
  <c r="N887" i="1"/>
  <c r="Y887" i="1"/>
  <c r="N888" i="1"/>
  <c r="Y888" i="1"/>
  <c r="N889" i="1"/>
  <c r="Y889" i="1"/>
  <c r="N890" i="1"/>
  <c r="Y890" i="1"/>
  <c r="N891" i="1"/>
  <c r="Y891" i="1"/>
  <c r="N892" i="1"/>
  <c r="Y892" i="1"/>
  <c r="N893" i="1"/>
  <c r="Y893" i="1"/>
  <c r="N894" i="1"/>
  <c r="Y894" i="1"/>
  <c r="N895" i="1"/>
  <c r="Y895" i="1"/>
  <c r="N896" i="1"/>
  <c r="Y896" i="1"/>
  <c r="N897" i="1"/>
  <c r="Y897" i="1"/>
  <c r="N898" i="1"/>
  <c r="Y898" i="1"/>
  <c r="N899" i="1"/>
  <c r="Y899" i="1"/>
  <c r="N900" i="1"/>
  <c r="Y900" i="1"/>
  <c r="N901" i="1"/>
  <c r="Y901" i="1"/>
  <c r="N902" i="1"/>
  <c r="Y902" i="1"/>
  <c r="N903" i="1"/>
  <c r="Y903" i="1"/>
  <c r="N904" i="1"/>
  <c r="Y904" i="1"/>
  <c r="N905" i="1"/>
  <c r="Y905" i="1"/>
  <c r="N906" i="1"/>
  <c r="Y906" i="1"/>
  <c r="N907" i="1"/>
  <c r="Y907" i="1"/>
  <c r="N908" i="1"/>
  <c r="Y908" i="1"/>
  <c r="N909" i="1"/>
  <c r="Y909" i="1"/>
  <c r="N910" i="1"/>
  <c r="Y910" i="1"/>
  <c r="N911" i="1"/>
  <c r="Y911" i="1"/>
  <c r="N912" i="1"/>
  <c r="Y912" i="1"/>
  <c r="N913" i="1"/>
  <c r="Y913" i="1"/>
  <c r="N914" i="1"/>
  <c r="Y914" i="1"/>
  <c r="N915" i="1"/>
  <c r="Y915" i="1"/>
  <c r="N916" i="1"/>
  <c r="Y916" i="1"/>
  <c r="N917" i="1"/>
  <c r="Y917" i="1"/>
  <c r="N918" i="1"/>
  <c r="Y918" i="1"/>
  <c r="N919" i="1"/>
  <c r="Y919" i="1"/>
  <c r="N920" i="1"/>
  <c r="Y920" i="1"/>
  <c r="N921" i="1"/>
  <c r="Y921" i="1"/>
  <c r="N922" i="1"/>
  <c r="Y922" i="1"/>
  <c r="N923" i="1"/>
  <c r="Y923" i="1"/>
  <c r="N924" i="1"/>
  <c r="Y924" i="1"/>
  <c r="N925" i="1"/>
  <c r="Y925" i="1"/>
  <c r="N926" i="1"/>
  <c r="Y926" i="1"/>
  <c r="N927" i="1"/>
  <c r="Y927" i="1"/>
  <c r="N928" i="1"/>
  <c r="Y928" i="1"/>
  <c r="N929" i="1"/>
  <c r="Y929" i="1"/>
  <c r="N930" i="1"/>
  <c r="Y930" i="1"/>
  <c r="N931" i="1"/>
  <c r="Y931" i="1"/>
  <c r="N932" i="1"/>
  <c r="Y932" i="1"/>
  <c r="N933" i="1"/>
  <c r="Y933" i="1"/>
  <c r="N934" i="1"/>
  <c r="Y934" i="1"/>
  <c r="N935" i="1"/>
  <c r="Y935" i="1"/>
  <c r="N936" i="1"/>
  <c r="Y936" i="1"/>
  <c r="N937" i="1"/>
  <c r="Y937" i="1"/>
  <c r="N938" i="1"/>
  <c r="Y938" i="1"/>
  <c r="N939" i="1"/>
  <c r="Y939" i="1"/>
  <c r="N940" i="1"/>
  <c r="Y940" i="1"/>
  <c r="N941" i="1"/>
  <c r="Y941" i="1"/>
  <c r="N942" i="1"/>
  <c r="Y942" i="1"/>
  <c r="N943" i="1"/>
  <c r="Y943" i="1"/>
  <c r="N944" i="1"/>
  <c r="Y944" i="1"/>
  <c r="N945" i="1"/>
  <c r="Y945" i="1"/>
  <c r="N946" i="1"/>
  <c r="Y946" i="1"/>
  <c r="N947" i="1"/>
  <c r="Y947" i="1"/>
  <c r="N948" i="1"/>
  <c r="Y948" i="1"/>
  <c r="N949" i="1"/>
  <c r="Y949" i="1"/>
  <c r="N950" i="1"/>
  <c r="Y950" i="1"/>
  <c r="N951" i="1"/>
  <c r="Y951" i="1"/>
  <c r="N952" i="1"/>
  <c r="Y952" i="1"/>
  <c r="N953" i="1"/>
  <c r="Y953" i="1"/>
  <c r="N954" i="1"/>
  <c r="Y954" i="1"/>
  <c r="N955" i="1"/>
  <c r="Y955" i="1"/>
  <c r="N956" i="1"/>
  <c r="Y956" i="1"/>
  <c r="N957" i="1"/>
  <c r="Y957" i="1"/>
  <c r="N958" i="1"/>
  <c r="Y958" i="1"/>
  <c r="N959" i="1"/>
  <c r="Y959" i="1"/>
  <c r="N960" i="1"/>
  <c r="Y960" i="1"/>
  <c r="N961" i="1"/>
  <c r="Y961" i="1"/>
  <c r="N962" i="1"/>
  <c r="Y962" i="1"/>
  <c r="N963" i="1"/>
  <c r="Y963" i="1"/>
  <c r="N964" i="1"/>
  <c r="Y964" i="1"/>
  <c r="N965" i="1"/>
  <c r="Y965" i="1"/>
  <c r="N966" i="1"/>
  <c r="Y966" i="1"/>
  <c r="N967" i="1"/>
  <c r="Y967" i="1"/>
  <c r="N968" i="1"/>
  <c r="Y968" i="1"/>
  <c r="N969" i="1"/>
  <c r="Y969" i="1"/>
  <c r="N970" i="1"/>
  <c r="Y970" i="1"/>
  <c r="N971" i="1"/>
  <c r="Y971" i="1"/>
  <c r="N972" i="1"/>
  <c r="Y972" i="1"/>
  <c r="N973" i="1"/>
  <c r="Y973" i="1"/>
  <c r="N974" i="1"/>
  <c r="Y974" i="1"/>
  <c r="N975" i="1"/>
  <c r="Y975" i="1"/>
  <c r="N976" i="1"/>
  <c r="Y976" i="1"/>
  <c r="N977" i="1"/>
  <c r="Y977" i="1"/>
  <c r="N978" i="1"/>
  <c r="Y978" i="1"/>
  <c r="N979" i="1"/>
  <c r="Y979" i="1"/>
  <c r="N980" i="1"/>
  <c r="Y980" i="1"/>
  <c r="N981" i="1"/>
  <c r="Y981" i="1"/>
  <c r="N982" i="1"/>
  <c r="Y982" i="1"/>
  <c r="N983" i="1"/>
  <c r="Y983" i="1"/>
  <c r="N984" i="1"/>
  <c r="Y984" i="1"/>
  <c r="N985" i="1"/>
  <c r="Y985" i="1"/>
  <c r="N986" i="1"/>
  <c r="Y986" i="1"/>
  <c r="N987" i="1"/>
  <c r="Y987" i="1"/>
  <c r="N988" i="1"/>
  <c r="Y988" i="1"/>
  <c r="N989" i="1"/>
  <c r="Y989" i="1"/>
  <c r="N990" i="1"/>
  <c r="Y990" i="1"/>
  <c r="N991" i="1"/>
  <c r="Y991" i="1"/>
  <c r="N992" i="1"/>
  <c r="Y992" i="1"/>
  <c r="N993" i="1"/>
  <c r="Y993" i="1"/>
  <c r="N994" i="1"/>
  <c r="Y994" i="1"/>
  <c r="N995" i="1"/>
  <c r="Y995" i="1"/>
  <c r="N996" i="1"/>
  <c r="Y996" i="1"/>
  <c r="N997" i="1"/>
  <c r="Y997" i="1"/>
  <c r="N998" i="1"/>
  <c r="Y998" i="1"/>
  <c r="N999" i="1"/>
  <c r="Y999" i="1"/>
  <c r="N1000" i="1"/>
  <c r="Y1000" i="1"/>
  <c r="N1001" i="1"/>
  <c r="Y1001" i="1"/>
  <c r="N1002" i="1"/>
  <c r="Y1002" i="1"/>
  <c r="N1003" i="1"/>
  <c r="Y1003" i="1"/>
  <c r="N1004" i="1"/>
  <c r="Y1004" i="1"/>
  <c r="N1005" i="1"/>
  <c r="Y1005" i="1"/>
  <c r="N1006" i="1"/>
  <c r="Y1006" i="1"/>
  <c r="N1007" i="1"/>
  <c r="Y1007" i="1"/>
  <c r="N1008" i="1"/>
  <c r="Y1008" i="1"/>
  <c r="N1009" i="1"/>
  <c r="Y1009" i="1"/>
  <c r="N1010" i="1"/>
  <c r="Y1010" i="1"/>
  <c r="N1011" i="1"/>
  <c r="Y1011" i="1"/>
  <c r="N1012" i="1"/>
  <c r="Y1012" i="1"/>
  <c r="N1013" i="1"/>
  <c r="Y1013" i="1"/>
  <c r="N1014" i="1"/>
  <c r="Y1014" i="1"/>
  <c r="N1015" i="1"/>
  <c r="Y1015" i="1"/>
  <c r="N1016" i="1"/>
  <c r="Y1016" i="1"/>
  <c r="N1017" i="1"/>
  <c r="Y1017" i="1"/>
  <c r="N1018" i="1"/>
  <c r="Y1018" i="1"/>
  <c r="N1019" i="1"/>
  <c r="Y1019" i="1"/>
  <c r="N1020" i="1"/>
  <c r="Y1020" i="1"/>
  <c r="N1021" i="1"/>
  <c r="Y1021" i="1"/>
  <c r="N1022" i="1"/>
  <c r="Y1022" i="1"/>
  <c r="N1023" i="1"/>
  <c r="Y1023" i="1"/>
  <c r="N1024" i="1"/>
  <c r="Y1024" i="1"/>
  <c r="N1025" i="1"/>
  <c r="Y1025" i="1"/>
  <c r="N1026" i="1"/>
  <c r="Y1026" i="1"/>
  <c r="N1027" i="1"/>
  <c r="Y1027" i="1"/>
  <c r="N1028" i="1"/>
  <c r="Y1028" i="1"/>
  <c r="N1029" i="1"/>
  <c r="Y1029" i="1"/>
  <c r="N1030" i="1"/>
  <c r="Y1030" i="1"/>
  <c r="N1031" i="1"/>
  <c r="Y1031" i="1"/>
  <c r="N1032" i="1"/>
  <c r="Y1032" i="1"/>
  <c r="N1033" i="1"/>
  <c r="Y1033" i="1"/>
  <c r="N1034" i="1"/>
  <c r="Y1034" i="1"/>
  <c r="N1035" i="1"/>
  <c r="Y1035" i="1"/>
  <c r="N1036" i="1"/>
  <c r="Y1036" i="1"/>
  <c r="N1037" i="1"/>
  <c r="Y1037" i="1"/>
  <c r="N1038" i="1"/>
  <c r="Y1038" i="1"/>
  <c r="N1039" i="1"/>
  <c r="Y1039" i="1"/>
  <c r="N1040" i="1"/>
  <c r="Y1040" i="1"/>
  <c r="N1041" i="1"/>
  <c r="Y1041" i="1"/>
  <c r="N1042" i="1"/>
  <c r="Y1042" i="1"/>
  <c r="N1043" i="1"/>
  <c r="Y1043" i="1"/>
  <c r="N1044" i="1"/>
  <c r="Y1044" i="1"/>
  <c r="N1045" i="1"/>
  <c r="Y1045" i="1"/>
  <c r="N1046" i="1"/>
  <c r="Y1046" i="1"/>
  <c r="N1047" i="1"/>
  <c r="Y1047" i="1"/>
  <c r="N1048" i="1"/>
  <c r="Y1048" i="1"/>
  <c r="N1049" i="1"/>
  <c r="Y1049" i="1"/>
  <c r="N1050" i="1"/>
  <c r="Y1050" i="1"/>
  <c r="N1051" i="1"/>
  <c r="Y1051" i="1"/>
  <c r="N1052" i="1"/>
  <c r="Y1052" i="1"/>
  <c r="N1053" i="1"/>
  <c r="Y1053" i="1"/>
  <c r="N1054" i="1"/>
  <c r="Y1054" i="1"/>
  <c r="N1055" i="1"/>
  <c r="Y1055" i="1"/>
  <c r="N1056" i="1"/>
  <c r="Y1056" i="1"/>
  <c r="N1057" i="1"/>
  <c r="Y1057" i="1"/>
  <c r="N1058" i="1"/>
  <c r="Y1058" i="1"/>
  <c r="N1059" i="1"/>
  <c r="Y1059" i="1"/>
  <c r="N1060" i="1"/>
  <c r="Y1060" i="1"/>
  <c r="N1061" i="1"/>
  <c r="Y1061" i="1"/>
  <c r="N1062" i="1"/>
  <c r="Y1062" i="1"/>
  <c r="N1063" i="1"/>
  <c r="Y1063" i="1"/>
  <c r="N1064" i="1"/>
  <c r="Y1064" i="1"/>
  <c r="N1065" i="1"/>
  <c r="Y1065" i="1"/>
  <c r="N1066" i="1"/>
  <c r="Y1066" i="1"/>
  <c r="N1067" i="1"/>
  <c r="Y1067" i="1"/>
  <c r="N1068" i="1"/>
  <c r="Y1068" i="1"/>
  <c r="N1069" i="1"/>
  <c r="Y1069" i="1"/>
  <c r="N1070" i="1"/>
  <c r="Y1070" i="1"/>
  <c r="N1071" i="1"/>
  <c r="Y1071" i="1"/>
  <c r="N1072" i="1"/>
  <c r="Y1072" i="1"/>
  <c r="N1073" i="1"/>
  <c r="Y1073" i="1"/>
  <c r="N1074" i="1"/>
  <c r="Y1074" i="1"/>
  <c r="N1075" i="1"/>
  <c r="Y1075" i="1"/>
  <c r="N1076" i="1"/>
  <c r="Y1076" i="1"/>
  <c r="N1077" i="1"/>
  <c r="Y1077" i="1"/>
  <c r="N1078" i="1"/>
  <c r="Y1078" i="1"/>
  <c r="N1079" i="1"/>
  <c r="Y1079" i="1"/>
  <c r="N1080" i="1"/>
  <c r="Y1080" i="1"/>
  <c r="N1081" i="1"/>
  <c r="Y1081" i="1"/>
  <c r="N1082" i="1"/>
  <c r="Y1082" i="1"/>
  <c r="N1083" i="1"/>
  <c r="Y1083" i="1"/>
  <c r="N1084" i="1"/>
  <c r="Y1084" i="1"/>
  <c r="N1085" i="1"/>
  <c r="Y1085" i="1"/>
  <c r="N1086" i="1"/>
  <c r="Y1086" i="1"/>
  <c r="N1087" i="1"/>
  <c r="Y1087" i="1"/>
  <c r="N1088" i="1"/>
  <c r="Y1088" i="1"/>
  <c r="N1089" i="1"/>
  <c r="Y1089" i="1"/>
  <c r="N1090" i="1"/>
  <c r="Y1090" i="1"/>
  <c r="N1091" i="1"/>
  <c r="Y1091" i="1"/>
  <c r="N1092" i="1"/>
  <c r="Y1092" i="1"/>
  <c r="N1093" i="1"/>
  <c r="Y1093" i="1"/>
  <c r="N1094" i="1"/>
  <c r="Y1094" i="1"/>
  <c r="N1095" i="1"/>
  <c r="Y1095" i="1"/>
  <c r="N1096" i="1"/>
  <c r="Y1096" i="1"/>
  <c r="N1097" i="1"/>
  <c r="Y1097" i="1"/>
  <c r="N1098" i="1"/>
  <c r="Y1098" i="1"/>
  <c r="N1099" i="1"/>
  <c r="Y1099" i="1"/>
  <c r="N1100" i="1"/>
  <c r="Y1100" i="1"/>
  <c r="N1101" i="1"/>
  <c r="Y1101" i="1"/>
  <c r="N1102" i="1"/>
  <c r="Y1102" i="1"/>
  <c r="N1103" i="1"/>
  <c r="Y1103" i="1"/>
  <c r="N1104" i="1"/>
  <c r="Y1104" i="1"/>
  <c r="N1105" i="1"/>
  <c r="Y1105" i="1"/>
  <c r="N1106" i="1"/>
  <c r="Y1106" i="1"/>
  <c r="N1107" i="1"/>
  <c r="Y1107" i="1"/>
  <c r="N1108" i="1"/>
  <c r="Y1108" i="1"/>
  <c r="N1109" i="1"/>
  <c r="Y1109" i="1"/>
  <c r="N1110" i="1"/>
  <c r="Y1110" i="1"/>
  <c r="N1111" i="1"/>
  <c r="Y1111" i="1"/>
  <c r="N1112" i="1"/>
  <c r="Y1112" i="1"/>
  <c r="N1113" i="1"/>
  <c r="Y1113" i="1"/>
  <c r="N1114" i="1"/>
  <c r="Y1114" i="1"/>
  <c r="N1115" i="1"/>
  <c r="Y1115" i="1"/>
  <c r="N1116" i="1"/>
  <c r="Y1116" i="1"/>
  <c r="N1117" i="1"/>
  <c r="Y1117" i="1"/>
  <c r="N1118" i="1"/>
  <c r="Y1118" i="1"/>
  <c r="N1119" i="1"/>
  <c r="Y1119" i="1"/>
  <c r="N1120" i="1"/>
  <c r="Y1120" i="1"/>
  <c r="N1121" i="1"/>
  <c r="Y1121" i="1"/>
  <c r="N1122" i="1"/>
  <c r="Y1122" i="1"/>
  <c r="N1123" i="1"/>
  <c r="Y1123" i="1"/>
  <c r="N1124" i="1"/>
  <c r="Y1124" i="1"/>
  <c r="N1125" i="1"/>
  <c r="Y1125" i="1"/>
  <c r="N1126" i="1"/>
  <c r="Y1126" i="1"/>
  <c r="N1127" i="1"/>
  <c r="Y1127" i="1"/>
  <c r="N1128" i="1"/>
  <c r="Y1128" i="1"/>
  <c r="N1129" i="1"/>
  <c r="Y1129" i="1"/>
  <c r="N1130" i="1"/>
  <c r="Y1130" i="1"/>
  <c r="N1131" i="1"/>
  <c r="Y1131" i="1"/>
  <c r="N1132" i="1"/>
  <c r="Y1132" i="1"/>
  <c r="N1133" i="1"/>
  <c r="Y1133" i="1"/>
  <c r="N1134" i="1"/>
  <c r="Y1134" i="1"/>
  <c r="N1135" i="1"/>
  <c r="Y1135" i="1"/>
  <c r="N1136" i="1"/>
  <c r="Y1136" i="1"/>
  <c r="N1137" i="1"/>
  <c r="Y1137" i="1"/>
  <c r="N1138" i="1"/>
  <c r="Y1138" i="1"/>
  <c r="N1139" i="1"/>
  <c r="Y1139" i="1"/>
  <c r="N1140" i="1"/>
  <c r="Y1140" i="1"/>
  <c r="N1141" i="1"/>
  <c r="Y1141" i="1"/>
  <c r="N1142" i="1"/>
  <c r="Y1142" i="1"/>
  <c r="N1143" i="1"/>
  <c r="Y1143" i="1"/>
  <c r="N1144" i="1"/>
  <c r="Y1144" i="1"/>
  <c r="N1145" i="1"/>
  <c r="Y1145" i="1"/>
  <c r="N1146" i="1"/>
  <c r="Y1146" i="1"/>
  <c r="N1147" i="1"/>
  <c r="Y1147" i="1"/>
  <c r="N1148" i="1"/>
  <c r="Y1148" i="1"/>
  <c r="N1149" i="1"/>
  <c r="Y1149" i="1"/>
  <c r="N1150" i="1"/>
  <c r="Y1150" i="1"/>
  <c r="N1151" i="1"/>
  <c r="Y1151" i="1"/>
  <c r="N1152" i="1"/>
  <c r="Y1152" i="1"/>
  <c r="N1153" i="1"/>
  <c r="Y1153" i="1"/>
  <c r="N1154" i="1"/>
  <c r="Y1154" i="1"/>
  <c r="N1155" i="1"/>
  <c r="Y1155" i="1"/>
  <c r="N1156" i="1"/>
  <c r="Y1156" i="1"/>
  <c r="N1157" i="1"/>
  <c r="Y1157" i="1"/>
  <c r="N1158" i="1"/>
  <c r="Y1158" i="1"/>
  <c r="N1159" i="1"/>
  <c r="Y1159" i="1"/>
  <c r="N1160" i="1"/>
  <c r="Y1160" i="1"/>
  <c r="N1161" i="1"/>
  <c r="Y1161" i="1"/>
  <c r="N1162" i="1"/>
  <c r="Y1162" i="1"/>
  <c r="N1163" i="1"/>
  <c r="Y1163" i="1"/>
  <c r="N1164" i="1"/>
  <c r="Y1164" i="1"/>
  <c r="N1165" i="1"/>
  <c r="Y1165" i="1"/>
  <c r="N1166" i="1"/>
  <c r="Y1166" i="1"/>
  <c r="N1167" i="1"/>
  <c r="Y1167" i="1"/>
  <c r="N1168" i="1"/>
  <c r="Y1168" i="1"/>
  <c r="N1169" i="1"/>
  <c r="Y1169" i="1"/>
  <c r="N1170" i="1"/>
  <c r="Y1170" i="1"/>
  <c r="N1171" i="1"/>
  <c r="Y1171" i="1"/>
  <c r="N1172" i="1"/>
  <c r="Y1172" i="1"/>
  <c r="N1173" i="1"/>
  <c r="Y1173" i="1"/>
  <c r="N1174" i="1"/>
  <c r="Y1174" i="1"/>
  <c r="N1175" i="1"/>
  <c r="Y1175" i="1"/>
  <c r="N1176" i="1"/>
  <c r="Y1176" i="1"/>
  <c r="N1177" i="1"/>
  <c r="Y1177" i="1"/>
  <c r="N1178" i="1"/>
  <c r="Y1178" i="1"/>
  <c r="N1179" i="1"/>
  <c r="Y1179" i="1"/>
  <c r="N1180" i="1"/>
  <c r="Y1180" i="1"/>
  <c r="N1181" i="1"/>
  <c r="Y1181" i="1"/>
  <c r="N1182" i="1"/>
  <c r="Y1182" i="1"/>
  <c r="N1183" i="1"/>
  <c r="Y1183" i="1"/>
  <c r="N1184" i="1"/>
  <c r="Y1184" i="1"/>
  <c r="N1185" i="1"/>
  <c r="Y1185" i="1"/>
  <c r="N1186" i="1"/>
  <c r="Y1186" i="1"/>
  <c r="N1187" i="1"/>
  <c r="Y1187" i="1"/>
  <c r="N1188" i="1"/>
  <c r="Y1188" i="1"/>
  <c r="N1189" i="1"/>
  <c r="Y1189" i="1"/>
  <c r="N1190" i="1"/>
  <c r="Y1190" i="1"/>
  <c r="N1191" i="1"/>
  <c r="Y1191" i="1"/>
  <c r="N1192" i="1"/>
  <c r="Y1192" i="1"/>
  <c r="N1193" i="1"/>
  <c r="Y1193" i="1"/>
  <c r="N1194" i="1"/>
  <c r="Y1194" i="1"/>
  <c r="N1195" i="1"/>
  <c r="Y1195" i="1"/>
  <c r="N1196" i="1"/>
  <c r="Y1196" i="1"/>
  <c r="N1197" i="1"/>
  <c r="Y1197" i="1"/>
  <c r="N1198" i="1"/>
  <c r="Y1198" i="1"/>
  <c r="N1199" i="1"/>
  <c r="Y1199" i="1"/>
  <c r="N1200" i="1"/>
  <c r="Y1200" i="1"/>
  <c r="N1201" i="1"/>
  <c r="Y1201" i="1"/>
  <c r="N1202" i="1"/>
  <c r="Y1202" i="1"/>
  <c r="N1203" i="1"/>
  <c r="Y1203" i="1"/>
  <c r="N1204" i="1"/>
  <c r="Y1204" i="1"/>
  <c r="N1205" i="1"/>
  <c r="Y1205" i="1"/>
  <c r="N1206" i="1"/>
  <c r="Y1206" i="1"/>
  <c r="N1207" i="1"/>
  <c r="Y1207" i="1"/>
  <c r="N1208" i="1"/>
  <c r="Y1208" i="1"/>
  <c r="N1209" i="1"/>
  <c r="Y1209" i="1"/>
  <c r="N1210" i="1"/>
  <c r="Y1210" i="1"/>
  <c r="N1211" i="1"/>
  <c r="Y1211" i="1"/>
  <c r="N1212" i="1"/>
  <c r="Y1212" i="1"/>
  <c r="N1213" i="1"/>
  <c r="Y1213" i="1"/>
  <c r="N1214" i="1"/>
  <c r="Y1214" i="1"/>
  <c r="N1215" i="1"/>
  <c r="Y1215" i="1"/>
  <c r="N1216" i="1"/>
  <c r="Y1216" i="1"/>
  <c r="N1217" i="1"/>
  <c r="Y1217" i="1"/>
  <c r="N1218" i="1"/>
  <c r="Y1218" i="1"/>
  <c r="N1219" i="1"/>
  <c r="Y1219" i="1"/>
  <c r="N1220" i="1"/>
  <c r="Y1220" i="1"/>
  <c r="N1221" i="1"/>
  <c r="Y1221" i="1"/>
  <c r="N1222" i="1"/>
  <c r="Y1222" i="1"/>
  <c r="N1223" i="1"/>
  <c r="Y1223" i="1"/>
  <c r="N1224" i="1"/>
  <c r="Y1224" i="1"/>
  <c r="N1225" i="1"/>
  <c r="Y1225" i="1"/>
  <c r="N1226" i="1"/>
  <c r="Y1226" i="1"/>
  <c r="N1227" i="1"/>
  <c r="Y1227" i="1"/>
  <c r="N1228" i="1"/>
  <c r="Y1228" i="1"/>
  <c r="N1229" i="1"/>
  <c r="Y1229" i="1"/>
  <c r="N1230" i="1"/>
  <c r="Y1230" i="1"/>
  <c r="N1231" i="1"/>
  <c r="Y1231" i="1"/>
  <c r="N1232" i="1"/>
  <c r="Y1232" i="1"/>
  <c r="N1233" i="1"/>
  <c r="Y1233" i="1"/>
  <c r="N1234" i="1"/>
  <c r="Y1234" i="1"/>
  <c r="N1235" i="1"/>
  <c r="Y1235" i="1"/>
  <c r="N1236" i="1"/>
  <c r="Y1236" i="1"/>
  <c r="N1237" i="1"/>
  <c r="Y1237" i="1"/>
  <c r="N1238" i="1"/>
  <c r="Y1238" i="1"/>
  <c r="N1239" i="1"/>
  <c r="Y1239" i="1"/>
  <c r="N1240" i="1"/>
  <c r="Y1240" i="1"/>
  <c r="N1241" i="1"/>
  <c r="Y1241" i="1"/>
  <c r="N1242" i="1"/>
  <c r="Y1242" i="1"/>
  <c r="N1243" i="1"/>
  <c r="Y1243" i="1"/>
  <c r="N1244" i="1"/>
  <c r="Y1244" i="1"/>
  <c r="N1245" i="1"/>
  <c r="Y1245" i="1"/>
  <c r="N1246" i="1"/>
  <c r="Y1246" i="1"/>
  <c r="N1247" i="1"/>
  <c r="Y1247" i="1"/>
  <c r="N1248" i="1"/>
  <c r="Y1248" i="1"/>
  <c r="N1249" i="1"/>
  <c r="Y1249" i="1"/>
  <c r="N1250" i="1"/>
  <c r="Y1250" i="1"/>
  <c r="N1251" i="1"/>
  <c r="Y1251" i="1"/>
  <c r="N1252" i="1"/>
  <c r="Y1252" i="1"/>
  <c r="N1253" i="1"/>
  <c r="Y1253" i="1"/>
  <c r="N1254" i="1"/>
  <c r="Y1254" i="1"/>
  <c r="N1255" i="1"/>
  <c r="Y1255" i="1"/>
  <c r="N1256" i="1"/>
  <c r="Y1256" i="1"/>
  <c r="N1257" i="1"/>
  <c r="Y1257" i="1"/>
  <c r="N1258" i="1"/>
  <c r="Y1258" i="1"/>
  <c r="N1259" i="1"/>
  <c r="Y1259" i="1"/>
  <c r="N1260" i="1"/>
  <c r="Y1260" i="1"/>
  <c r="N1261" i="1"/>
  <c r="Y1261" i="1"/>
  <c r="N1262" i="1"/>
  <c r="Y1262" i="1"/>
  <c r="N1263" i="1"/>
  <c r="Y1263" i="1"/>
  <c r="N1264" i="1"/>
  <c r="Y1264" i="1"/>
  <c r="N1265" i="1"/>
  <c r="Y1265" i="1"/>
  <c r="N1266" i="1"/>
  <c r="Y1266" i="1"/>
  <c r="N1267" i="1"/>
  <c r="Y1267" i="1"/>
  <c r="N1268" i="1"/>
  <c r="Y1268" i="1"/>
  <c r="N1269" i="1"/>
  <c r="Y1269" i="1"/>
  <c r="N1270" i="1"/>
  <c r="Y1270" i="1"/>
  <c r="N1271" i="1"/>
  <c r="Y1271" i="1"/>
  <c r="N1272" i="1"/>
  <c r="Y1272" i="1"/>
  <c r="N1273" i="1"/>
  <c r="Y1273" i="1"/>
  <c r="N1274" i="1"/>
  <c r="Y1274" i="1"/>
  <c r="N1275" i="1"/>
  <c r="Y1275" i="1"/>
  <c r="N1276" i="1"/>
  <c r="Y1276" i="1"/>
  <c r="N1277" i="1"/>
  <c r="Y1277" i="1"/>
  <c r="N1278" i="1"/>
  <c r="Y1278" i="1"/>
  <c r="N1279" i="1"/>
  <c r="Y1279" i="1"/>
  <c r="N1280" i="1"/>
  <c r="Y1280" i="1"/>
  <c r="N1281" i="1"/>
  <c r="Y1281" i="1"/>
  <c r="N1282" i="1"/>
  <c r="Y1282" i="1"/>
  <c r="N1283" i="1"/>
  <c r="Y1283" i="1"/>
  <c r="N1284" i="1"/>
  <c r="Y1284" i="1"/>
  <c r="N1285" i="1"/>
  <c r="Y1285" i="1"/>
  <c r="N1286" i="1"/>
  <c r="Y1286" i="1"/>
  <c r="N1287" i="1"/>
  <c r="Y1287" i="1"/>
  <c r="N1288" i="1"/>
  <c r="Y1288" i="1"/>
  <c r="N1289" i="1"/>
  <c r="Y1289" i="1"/>
  <c r="N1290" i="1"/>
  <c r="Y1290" i="1"/>
  <c r="N1291" i="1"/>
  <c r="Y1291" i="1"/>
  <c r="N1292" i="1"/>
  <c r="Y1292" i="1"/>
  <c r="N1293" i="1"/>
  <c r="Y1293" i="1"/>
  <c r="N1294" i="1"/>
  <c r="Y1294" i="1"/>
  <c r="N1295" i="1"/>
  <c r="Y1295" i="1"/>
  <c r="N1296" i="1"/>
  <c r="Y1296" i="1"/>
  <c r="N1297" i="1"/>
  <c r="Y1297" i="1"/>
  <c r="N1298" i="1"/>
  <c r="Y1298" i="1"/>
  <c r="N1299" i="1"/>
  <c r="Y1299" i="1"/>
  <c r="N1300" i="1"/>
  <c r="Y1300" i="1"/>
  <c r="N1301" i="1"/>
  <c r="Y1301" i="1"/>
  <c r="N1302" i="1"/>
  <c r="Y1302" i="1"/>
  <c r="N1303" i="1"/>
  <c r="Y1303" i="1"/>
  <c r="N1304" i="1"/>
  <c r="Y1304" i="1"/>
  <c r="N1305" i="1"/>
  <c r="Y1305" i="1"/>
  <c r="N1306" i="1"/>
  <c r="Y1306" i="1"/>
  <c r="N1307" i="1"/>
  <c r="Y1307" i="1"/>
  <c r="N1308" i="1"/>
  <c r="Y1308" i="1"/>
  <c r="N1309" i="1"/>
  <c r="Y1309" i="1"/>
  <c r="N1310" i="1"/>
  <c r="Y1310" i="1"/>
  <c r="N1311" i="1"/>
  <c r="Y1311" i="1"/>
  <c r="N1312" i="1"/>
  <c r="Y1312" i="1"/>
  <c r="N1313" i="1"/>
  <c r="Y1313" i="1"/>
  <c r="N1314" i="1"/>
  <c r="Y1314" i="1"/>
  <c r="N1315" i="1"/>
  <c r="Y1315" i="1"/>
  <c r="N1316" i="1"/>
  <c r="Y1316" i="1"/>
  <c r="N1317" i="1"/>
  <c r="Y1317" i="1"/>
  <c r="N1318" i="1"/>
  <c r="Y1318" i="1"/>
  <c r="N1319" i="1"/>
  <c r="Y1319" i="1"/>
  <c r="N1320" i="1"/>
  <c r="Y1320" i="1"/>
  <c r="N1321" i="1"/>
  <c r="Y1321" i="1"/>
  <c r="N1322" i="1"/>
  <c r="Y1322" i="1"/>
  <c r="N1323" i="1"/>
  <c r="Y1323" i="1"/>
  <c r="N1324" i="1"/>
  <c r="Y1324" i="1"/>
  <c r="N1325" i="1"/>
  <c r="Y1325" i="1"/>
  <c r="N1326" i="1"/>
  <c r="Y1326" i="1"/>
  <c r="N1327" i="1"/>
  <c r="Y1327" i="1"/>
  <c r="N1328" i="1"/>
  <c r="Y1328" i="1"/>
  <c r="N1329" i="1"/>
  <c r="Y1329" i="1"/>
  <c r="N1330" i="1"/>
  <c r="Y1330" i="1"/>
  <c r="N1331" i="1"/>
  <c r="Y1331" i="1"/>
  <c r="N1332" i="1"/>
  <c r="Y1332" i="1"/>
  <c r="N1333" i="1"/>
  <c r="Y1333" i="1"/>
  <c r="N1334" i="1"/>
  <c r="Y1334" i="1"/>
  <c r="N1335" i="1"/>
  <c r="Y1335" i="1"/>
  <c r="N1336" i="1"/>
  <c r="Y1336" i="1"/>
  <c r="N1337" i="1"/>
  <c r="Y1337" i="1"/>
  <c r="N1338" i="1"/>
  <c r="Y1338" i="1"/>
  <c r="N1339" i="1"/>
  <c r="Y1339" i="1"/>
  <c r="N1340" i="1"/>
  <c r="Y1340" i="1"/>
  <c r="N1341" i="1"/>
  <c r="Y1341" i="1"/>
  <c r="N1342" i="1"/>
  <c r="Y1342" i="1"/>
  <c r="N1343" i="1"/>
  <c r="Y1343" i="1"/>
  <c r="N1344" i="1"/>
  <c r="Y1344" i="1"/>
  <c r="N1345" i="1"/>
  <c r="Y1345" i="1"/>
  <c r="N1346" i="1"/>
  <c r="Y1346" i="1"/>
  <c r="N1347" i="1"/>
  <c r="Y1347" i="1"/>
  <c r="N1348" i="1"/>
  <c r="Y1348" i="1"/>
  <c r="N1349" i="1"/>
  <c r="Y1349" i="1"/>
  <c r="N1350" i="1"/>
  <c r="Y1350" i="1"/>
  <c r="N1351" i="1"/>
  <c r="Y1351" i="1"/>
  <c r="N1352" i="1"/>
  <c r="Y1352" i="1"/>
  <c r="N1353" i="1"/>
  <c r="Y1353" i="1"/>
  <c r="N1354" i="1"/>
  <c r="Y1354" i="1"/>
  <c r="N1355" i="1"/>
  <c r="Y1355" i="1"/>
  <c r="N1356" i="1"/>
  <c r="Y1356" i="1"/>
  <c r="N1357" i="1"/>
  <c r="Y1357" i="1"/>
  <c r="N1358" i="1"/>
  <c r="Y1358" i="1"/>
  <c r="N1359" i="1"/>
  <c r="Y1359" i="1"/>
  <c r="N1360" i="1"/>
  <c r="Y1360" i="1"/>
  <c r="N1361" i="1"/>
  <c r="Y1361" i="1"/>
  <c r="N1362" i="1"/>
  <c r="Y1362" i="1"/>
  <c r="N1363" i="1"/>
  <c r="Y1363" i="1"/>
  <c r="N1364" i="1"/>
  <c r="Y1364" i="1"/>
  <c r="N1365" i="1"/>
  <c r="Y1365" i="1"/>
  <c r="N1366" i="1"/>
  <c r="Y1366" i="1"/>
  <c r="N1367" i="1"/>
  <c r="Y1367" i="1"/>
  <c r="N1368" i="1"/>
  <c r="Y1368" i="1"/>
  <c r="N1369" i="1"/>
  <c r="Y1369" i="1"/>
  <c r="N1370" i="1"/>
  <c r="Y1370" i="1"/>
  <c r="N1371" i="1"/>
  <c r="Y1371" i="1"/>
  <c r="N1372" i="1"/>
  <c r="Y1372" i="1"/>
  <c r="N1373" i="1"/>
  <c r="Y1373" i="1"/>
  <c r="N1374" i="1"/>
  <c r="Y1374" i="1"/>
  <c r="N1375" i="1"/>
  <c r="Y1375" i="1"/>
  <c r="N1376" i="1"/>
  <c r="Y1376" i="1"/>
  <c r="N1377" i="1"/>
  <c r="Y1377" i="1"/>
  <c r="N1378" i="1"/>
  <c r="Y1378" i="1"/>
  <c r="N1379" i="1"/>
  <c r="Y1379" i="1"/>
  <c r="N1380" i="1"/>
  <c r="Y1380" i="1"/>
  <c r="N1381" i="1"/>
  <c r="Y1381" i="1"/>
  <c r="N1382" i="1"/>
  <c r="Y1382" i="1"/>
  <c r="N1383" i="1"/>
  <c r="Y1383" i="1"/>
  <c r="N1384" i="1"/>
  <c r="Y1384" i="1"/>
  <c r="N1385" i="1"/>
  <c r="Y1385" i="1"/>
  <c r="N1386" i="1"/>
  <c r="Y1386" i="1"/>
  <c r="N1387" i="1"/>
  <c r="Y1387" i="1"/>
  <c r="N1388" i="1"/>
  <c r="Y1388" i="1"/>
  <c r="N1389" i="1"/>
  <c r="Y1389" i="1"/>
  <c r="N1390" i="1"/>
  <c r="Y1390" i="1"/>
  <c r="N1391" i="1"/>
  <c r="Y1391" i="1"/>
  <c r="N1392" i="1"/>
  <c r="Y1392" i="1"/>
  <c r="N1393" i="1"/>
  <c r="Y1393" i="1"/>
  <c r="N1394" i="1"/>
  <c r="Y1394" i="1"/>
  <c r="N1395" i="1"/>
  <c r="Y1395" i="1"/>
  <c r="N1396" i="1"/>
  <c r="Y1396" i="1"/>
  <c r="N1397" i="1"/>
  <c r="Y1397" i="1"/>
  <c r="N1398" i="1"/>
  <c r="Y1398" i="1"/>
  <c r="N1399" i="1"/>
  <c r="Y1399" i="1"/>
  <c r="N1400" i="1"/>
  <c r="Y1400" i="1"/>
  <c r="N1401" i="1"/>
  <c r="Y1401" i="1"/>
  <c r="N1402" i="1"/>
  <c r="Y1402" i="1"/>
  <c r="N1403" i="1"/>
  <c r="Y1403" i="1"/>
  <c r="N1404" i="1"/>
  <c r="Y1404" i="1"/>
  <c r="N1405" i="1"/>
  <c r="Y1405" i="1"/>
  <c r="N1406" i="1"/>
  <c r="Y1406" i="1"/>
  <c r="N1407" i="1"/>
  <c r="Y1407" i="1"/>
  <c r="N1408" i="1"/>
  <c r="Y1408" i="1"/>
  <c r="N1409" i="1"/>
  <c r="Y1409" i="1"/>
  <c r="N1410" i="1"/>
  <c r="Y1410" i="1"/>
  <c r="N1411" i="1"/>
  <c r="Y1411" i="1"/>
  <c r="N1412" i="1"/>
  <c r="Y1412" i="1"/>
  <c r="N1413" i="1"/>
  <c r="Y1413" i="1"/>
  <c r="N1414" i="1"/>
  <c r="Y1414" i="1"/>
  <c r="N1415" i="1"/>
  <c r="Y1415" i="1"/>
  <c r="N1416" i="1"/>
  <c r="Y1416" i="1"/>
  <c r="N1417" i="1"/>
  <c r="Y1417" i="1"/>
  <c r="N1418" i="1"/>
  <c r="Y1418" i="1"/>
  <c r="N1419" i="1"/>
  <c r="Y1419" i="1"/>
  <c r="N1420" i="1"/>
  <c r="Y1420" i="1"/>
  <c r="N1421" i="1"/>
  <c r="Y1421" i="1"/>
  <c r="N1422" i="1"/>
  <c r="Y1422" i="1"/>
  <c r="N1423" i="1"/>
  <c r="Y1423" i="1"/>
  <c r="N1424" i="1"/>
  <c r="Y1424" i="1"/>
  <c r="N1425" i="1"/>
  <c r="Y1425" i="1"/>
  <c r="N1426" i="1"/>
  <c r="Y1426" i="1"/>
  <c r="N1427" i="1"/>
  <c r="Y1427" i="1"/>
  <c r="N1428" i="1"/>
  <c r="Y1428" i="1"/>
  <c r="N1429" i="1"/>
  <c r="Y1429" i="1"/>
  <c r="N1430" i="1"/>
  <c r="Y1430" i="1"/>
  <c r="N1431" i="1"/>
  <c r="Y1431" i="1"/>
  <c r="N1432" i="1"/>
  <c r="Y1432" i="1"/>
  <c r="N1433" i="1"/>
  <c r="Y1433" i="1"/>
  <c r="N1434" i="1"/>
  <c r="Y1434" i="1"/>
  <c r="N1435" i="1"/>
  <c r="Y1435" i="1"/>
  <c r="N1436" i="1"/>
  <c r="Y1436" i="1"/>
  <c r="N1437" i="1"/>
  <c r="Y1437" i="1"/>
  <c r="N1438" i="1"/>
  <c r="Y1438" i="1"/>
  <c r="N1439" i="1"/>
  <c r="Y1439" i="1"/>
  <c r="N1440" i="1"/>
  <c r="Y1440" i="1"/>
  <c r="N1441" i="1"/>
  <c r="Y1441" i="1"/>
  <c r="N1442" i="1"/>
  <c r="Y1442" i="1"/>
  <c r="N1443" i="1"/>
  <c r="Y1443" i="1"/>
  <c r="N1444" i="1"/>
  <c r="Y1444" i="1"/>
  <c r="N1445" i="1"/>
  <c r="Y1445" i="1"/>
  <c r="N1446" i="1"/>
  <c r="Y1446" i="1"/>
  <c r="N1447" i="1"/>
  <c r="Y1447" i="1"/>
  <c r="N1448" i="1"/>
  <c r="Y1448" i="1"/>
  <c r="N1449" i="1"/>
  <c r="Y1449" i="1"/>
  <c r="N1450" i="1"/>
  <c r="Y1450" i="1"/>
  <c r="N1451" i="1"/>
  <c r="Y1451" i="1"/>
  <c r="N1452" i="1"/>
  <c r="Y1452" i="1"/>
  <c r="N1453" i="1"/>
  <c r="Y1453" i="1"/>
  <c r="N1454" i="1"/>
  <c r="Y1454" i="1"/>
  <c r="N1455" i="1"/>
  <c r="Y1455" i="1"/>
  <c r="N1456" i="1"/>
  <c r="Y1456" i="1"/>
  <c r="N1457" i="1"/>
  <c r="Y1457" i="1"/>
  <c r="N1458" i="1"/>
  <c r="Y1458" i="1"/>
  <c r="N1459" i="1"/>
  <c r="Y1459" i="1"/>
  <c r="N1460" i="1"/>
  <c r="Y1460" i="1"/>
  <c r="N1461" i="1"/>
  <c r="Y1461" i="1"/>
  <c r="N1462" i="1"/>
  <c r="Y1462" i="1"/>
  <c r="N1463" i="1"/>
  <c r="Y1463" i="1"/>
  <c r="N1464" i="1"/>
  <c r="Y1464" i="1"/>
  <c r="N1465" i="1"/>
  <c r="Y1465" i="1"/>
  <c r="N1466" i="1"/>
  <c r="Y1466" i="1"/>
  <c r="N1467" i="1"/>
  <c r="Y1467" i="1"/>
  <c r="N1468" i="1"/>
  <c r="Y1468" i="1"/>
  <c r="N1469" i="1"/>
  <c r="Y1469" i="1"/>
  <c r="N1470" i="1"/>
  <c r="Y1470" i="1"/>
  <c r="N1471" i="1"/>
  <c r="Y1471" i="1"/>
  <c r="N1472" i="1"/>
  <c r="Y1472" i="1"/>
  <c r="N1473" i="1"/>
  <c r="Y1473" i="1"/>
  <c r="N1474" i="1"/>
  <c r="Y1474" i="1"/>
  <c r="N1475" i="1"/>
  <c r="Y1475" i="1"/>
  <c r="N1476" i="1"/>
  <c r="Y1476" i="1"/>
  <c r="N1477" i="1"/>
  <c r="Y1477" i="1"/>
  <c r="N1478" i="1"/>
  <c r="Y1478" i="1"/>
  <c r="N1479" i="1"/>
  <c r="Y1479" i="1"/>
  <c r="N1480" i="1"/>
  <c r="Y1480" i="1"/>
  <c r="N1481" i="1"/>
  <c r="Y1481" i="1"/>
  <c r="N1482" i="1"/>
  <c r="Y1482" i="1"/>
  <c r="N1483" i="1"/>
  <c r="Y1483" i="1"/>
  <c r="N1484" i="1"/>
  <c r="Y1484" i="1"/>
  <c r="N1485" i="1"/>
  <c r="Y1485" i="1"/>
  <c r="N1486" i="1"/>
  <c r="Y1486" i="1"/>
  <c r="N1487" i="1"/>
  <c r="Y1487" i="1"/>
  <c r="N1488" i="1"/>
  <c r="Y1488" i="1"/>
  <c r="N1489" i="1"/>
  <c r="Y1489" i="1"/>
  <c r="N1490" i="1"/>
  <c r="Y1490" i="1"/>
  <c r="N1491" i="1"/>
  <c r="Y1491" i="1"/>
  <c r="N1492" i="1"/>
  <c r="Y1492" i="1"/>
  <c r="N1493" i="1"/>
  <c r="Y1493" i="1"/>
  <c r="N1494" i="1"/>
  <c r="Y1494" i="1"/>
  <c r="N1495" i="1"/>
  <c r="Y1495" i="1"/>
  <c r="N1496" i="1"/>
  <c r="Y1496" i="1"/>
  <c r="N1497" i="1"/>
  <c r="Y1497" i="1"/>
  <c r="N1498" i="1"/>
  <c r="Y1498" i="1"/>
  <c r="N1499" i="1"/>
  <c r="Y1499" i="1"/>
  <c r="N1500" i="1"/>
  <c r="Y1500" i="1"/>
  <c r="N1501" i="1"/>
  <c r="Y1501" i="1"/>
  <c r="N1502" i="1"/>
  <c r="Y1502" i="1"/>
  <c r="N1503" i="1"/>
  <c r="Y1503" i="1"/>
  <c r="N1504" i="1"/>
  <c r="Y1504" i="1"/>
  <c r="N1505" i="1"/>
  <c r="Y1505" i="1"/>
  <c r="N1506" i="1"/>
  <c r="Y1506" i="1"/>
  <c r="N1507" i="1"/>
  <c r="Y1507" i="1"/>
  <c r="N1508" i="1"/>
  <c r="Y1508" i="1"/>
  <c r="N1509" i="1"/>
  <c r="Y1509" i="1"/>
  <c r="N1510" i="1"/>
  <c r="Y1510" i="1"/>
  <c r="N1511" i="1"/>
  <c r="Y1511" i="1"/>
  <c r="N1512" i="1"/>
  <c r="Y1512" i="1"/>
  <c r="N1513" i="1"/>
  <c r="Y1513" i="1"/>
  <c r="N1514" i="1"/>
  <c r="Y1514" i="1"/>
  <c r="N1515" i="1"/>
  <c r="Y1515" i="1"/>
  <c r="N1516" i="1"/>
  <c r="Y1516" i="1"/>
  <c r="N1517" i="1"/>
  <c r="Y1517" i="1"/>
  <c r="N1518" i="1"/>
  <c r="Y1518" i="1"/>
  <c r="N1519" i="1"/>
  <c r="Y1519" i="1"/>
  <c r="N1520" i="1"/>
  <c r="Y1520" i="1"/>
  <c r="N1521" i="1"/>
  <c r="Y1521" i="1"/>
  <c r="N1522" i="1"/>
  <c r="Y1522" i="1"/>
  <c r="N1523" i="1"/>
  <c r="Y1523" i="1"/>
  <c r="N1524" i="1"/>
  <c r="Y1524" i="1"/>
  <c r="N1525" i="1"/>
  <c r="Y1525" i="1"/>
  <c r="N1526" i="1"/>
  <c r="Y1526" i="1"/>
  <c r="N1527" i="1"/>
  <c r="Y1527" i="1"/>
  <c r="N1528" i="1"/>
  <c r="Y1528" i="1"/>
  <c r="N1529" i="1"/>
  <c r="Y1529" i="1"/>
  <c r="N1530" i="1"/>
  <c r="Y1530" i="1"/>
  <c r="N1531" i="1"/>
  <c r="Y1531" i="1"/>
  <c r="N1532" i="1"/>
  <c r="Y1532" i="1"/>
  <c r="N1533" i="1"/>
  <c r="Y1533" i="1"/>
  <c r="N1534" i="1"/>
  <c r="Y1534" i="1"/>
  <c r="N1535" i="1"/>
  <c r="Y1535" i="1"/>
  <c r="N1536" i="1"/>
  <c r="Y1536" i="1"/>
  <c r="N1537" i="1"/>
  <c r="Y1537" i="1"/>
  <c r="N1538" i="1"/>
  <c r="Y1538" i="1"/>
  <c r="N1539" i="1"/>
  <c r="Y1539" i="1"/>
  <c r="N1540" i="1"/>
  <c r="Y1540" i="1"/>
  <c r="N1541" i="1"/>
  <c r="Y1541" i="1"/>
  <c r="N1542" i="1"/>
  <c r="Y1542" i="1"/>
  <c r="N1543" i="1"/>
  <c r="Y1543" i="1"/>
  <c r="N1544" i="1"/>
  <c r="Y1544" i="1"/>
  <c r="N1545" i="1"/>
  <c r="Y1545" i="1"/>
  <c r="N1546" i="1"/>
  <c r="Y1546" i="1"/>
  <c r="N1547" i="1"/>
  <c r="Y1547" i="1"/>
  <c r="N1548" i="1"/>
  <c r="Y1548" i="1"/>
  <c r="N1549" i="1"/>
  <c r="Y1549" i="1"/>
  <c r="N1550" i="1"/>
  <c r="Y1550" i="1"/>
  <c r="N1551" i="1"/>
  <c r="Y1551" i="1"/>
  <c r="N1552" i="1"/>
  <c r="Y1552" i="1"/>
  <c r="N1553" i="1"/>
  <c r="Y1553" i="1"/>
  <c r="N1554" i="1"/>
  <c r="Y1554" i="1"/>
  <c r="N1555" i="1"/>
  <c r="Y1555" i="1"/>
  <c r="N1556" i="1"/>
  <c r="Y1556" i="1"/>
  <c r="N1557" i="1"/>
  <c r="Y1557" i="1"/>
  <c r="N1558" i="1"/>
  <c r="Y1558" i="1"/>
  <c r="N1559" i="1"/>
  <c r="Y1559" i="1"/>
  <c r="N1560" i="1"/>
  <c r="Y1560" i="1"/>
  <c r="N1561" i="1"/>
  <c r="Y1561" i="1"/>
  <c r="N1562" i="1"/>
  <c r="Y1562" i="1"/>
  <c r="N1563" i="1"/>
  <c r="Y1563" i="1"/>
  <c r="N1564" i="1"/>
  <c r="Y1564" i="1"/>
  <c r="N1565" i="1"/>
  <c r="Y1565" i="1"/>
  <c r="N1566" i="1"/>
  <c r="Y1566" i="1"/>
  <c r="N1567" i="1"/>
  <c r="Y1567" i="1"/>
  <c r="N1568" i="1"/>
  <c r="Y1568" i="1"/>
  <c r="N1569" i="1"/>
  <c r="Y1569" i="1"/>
  <c r="N1570" i="1"/>
  <c r="Y1570" i="1"/>
  <c r="N1571" i="1"/>
  <c r="Y1571" i="1"/>
  <c r="N1572" i="1"/>
  <c r="Y1572" i="1"/>
  <c r="N1573" i="1"/>
  <c r="Y1573" i="1"/>
  <c r="N1574" i="1"/>
  <c r="Y1574" i="1"/>
  <c r="N1575" i="1"/>
  <c r="Y1575" i="1"/>
  <c r="N1576" i="1"/>
  <c r="Y1576" i="1"/>
  <c r="N1577" i="1"/>
  <c r="Y1577" i="1"/>
  <c r="N1578" i="1"/>
  <c r="Y1578" i="1"/>
  <c r="N1579" i="1"/>
  <c r="Y1579" i="1"/>
  <c r="N1580" i="1"/>
  <c r="Y1580" i="1"/>
  <c r="N1581" i="1"/>
  <c r="Y1581" i="1"/>
  <c r="N1582" i="1"/>
  <c r="Y1582" i="1"/>
  <c r="N1583" i="1"/>
  <c r="Y1583" i="1"/>
  <c r="N1584" i="1"/>
  <c r="Y1584" i="1"/>
  <c r="N1585" i="1"/>
  <c r="Y1585" i="1"/>
  <c r="N1586" i="1"/>
  <c r="Y1586" i="1"/>
  <c r="N1587" i="1"/>
  <c r="Y1587" i="1"/>
  <c r="N1588" i="1"/>
  <c r="Y1588" i="1"/>
  <c r="N1589" i="1"/>
  <c r="Y1589" i="1"/>
  <c r="N1590" i="1"/>
  <c r="Y1590" i="1"/>
  <c r="N1591" i="1"/>
  <c r="Y1591" i="1"/>
  <c r="N1592" i="1"/>
  <c r="Y1592" i="1"/>
  <c r="N1593" i="1"/>
  <c r="Y1593" i="1"/>
  <c r="N1594" i="1"/>
  <c r="Y1594" i="1"/>
  <c r="N1595" i="1"/>
  <c r="Y1595" i="1"/>
  <c r="N1596" i="1"/>
  <c r="Y1596" i="1"/>
  <c r="N1597" i="1"/>
  <c r="Y1597" i="1"/>
  <c r="N1598" i="1"/>
  <c r="Y1598" i="1"/>
  <c r="N1599" i="1"/>
  <c r="Y1599" i="1"/>
  <c r="N1600" i="1"/>
  <c r="Y1600" i="1"/>
  <c r="N1601" i="1"/>
  <c r="Y1601" i="1"/>
  <c r="N1602" i="1"/>
  <c r="Y1602" i="1"/>
  <c r="N1603" i="1"/>
  <c r="Y1603" i="1"/>
  <c r="N1604" i="1"/>
  <c r="Y1604" i="1"/>
  <c r="N1605" i="1"/>
  <c r="Y1605" i="1"/>
  <c r="N1606" i="1"/>
  <c r="Y1606" i="1"/>
  <c r="N1607" i="1"/>
  <c r="Y1607" i="1"/>
  <c r="N1608" i="1"/>
  <c r="Y1608" i="1"/>
  <c r="N1609" i="1"/>
  <c r="Y1609" i="1"/>
</calcChain>
</file>

<file path=xl/sharedStrings.xml><?xml version="1.0" encoding="utf-8"?>
<sst xmlns="http://schemas.openxmlformats.org/spreadsheetml/2006/main" count="36061" uniqueCount="7295">
  <si>
    <t>Account</t>
  </si>
  <si>
    <t xml:space="preserve"> Account Barcode</t>
  </si>
  <si>
    <t xml:space="preserve"> Year</t>
  </si>
  <si>
    <t xml:space="preserve">  Tax-Unit</t>
  </si>
  <si>
    <t xml:space="preserve"> # Pmnts</t>
  </si>
  <si>
    <t xml:space="preserve"> Owner Name</t>
  </si>
  <si>
    <t xml:space="preserve"> Fido</t>
  </si>
  <si>
    <t xml:space="preserve"> Mail To Fido</t>
  </si>
  <si>
    <t xml:space="preserve"> Legal Source</t>
  </si>
  <si>
    <t xml:space="preserve"> Amount</t>
  </si>
  <si>
    <t xml:space="preserve"> Agreed Judgement</t>
  </si>
  <si>
    <t xml:space="preserve"> Remit Seq.</t>
  </si>
  <si>
    <t xml:space="preserve"> Deposit Date</t>
  </si>
  <si>
    <t xml:space="preserve"> Deposit</t>
  </si>
  <si>
    <t xml:space="preserve"> LG Status</t>
  </si>
  <si>
    <t xml:space="preserve"> Suit</t>
  </si>
  <si>
    <t xml:space="preserve"> In Queue</t>
  </si>
  <si>
    <t xml:space="preserve"> On Hold</t>
  </si>
  <si>
    <t xml:space="preserve"> Check Payee Name</t>
  </si>
  <si>
    <t xml:space="preserve"> Check Payee Addr1</t>
  </si>
  <si>
    <t xml:space="preserve"> Check Payee Addr2</t>
  </si>
  <si>
    <t xml:space="preserve"> Check Payee Addr3</t>
  </si>
  <si>
    <t xml:space="preserve"> Check Payee City</t>
  </si>
  <si>
    <t xml:space="preserve"> Check Payee State</t>
  </si>
  <si>
    <t xml:space="preserve">  Check Payee Zip</t>
  </si>
  <si>
    <t>0001-00-000-0305-907</t>
  </si>
  <si>
    <t>*0001000000305907*</t>
  </si>
  <si>
    <t>NGUYEN TUAN &amp; DUNG VIEN-CAO</t>
  </si>
  <si>
    <t>Y</t>
  </si>
  <si>
    <t xml:space="preserve"> </t>
  </si>
  <si>
    <t>CAPITAL TITLE OF TEXAS LLC</t>
  </si>
  <si>
    <t>CORPORATE MITCHELL ESCROW ACCT</t>
  </si>
  <si>
    <t>2400 DALLAS PKWY STE 560</t>
  </si>
  <si>
    <t>PLANO</t>
  </si>
  <si>
    <t>TX</t>
  </si>
  <si>
    <t>0001-00-000-1519-907</t>
  </si>
  <si>
    <t>*0001000001519907*</t>
  </si>
  <si>
    <t>SUGAR LAND FOREIGN CAR SERVICE</t>
  </si>
  <si>
    <t>SATELLITE AUTO SERVISE</t>
  </si>
  <si>
    <t>2639 CORDES DR</t>
  </si>
  <si>
    <t>SUGAR LAND</t>
  </si>
  <si>
    <t>0002-00-000-2544-906</t>
  </si>
  <si>
    <t>*0002000002544906*</t>
  </si>
  <si>
    <t>ELSTER ALLEN &amp; HELENE</t>
  </si>
  <si>
    <t>ALLEN ELSTER</t>
  </si>
  <si>
    <t>19710 COW CREEK ROAD</t>
  </si>
  <si>
    <t>DAMON</t>
  </si>
  <si>
    <t>0002-00-000-2545-906</t>
  </si>
  <si>
    <t>*0002000002545906*</t>
  </si>
  <si>
    <t>0002-00-000-2570-906</t>
  </si>
  <si>
    <t>*0002000002570906*</t>
  </si>
  <si>
    <t>0003-00-000-0261-901</t>
  </si>
  <si>
    <t>*0003000000261901*</t>
  </si>
  <si>
    <t>RANCHO BELLA LLC</t>
  </si>
  <si>
    <t>BONITA SABELLA ADMIN ESTATE OF</t>
  </si>
  <si>
    <t>5718 STRATFORD GARDENS DRIVE</t>
  </si>
  <si>
    <t>0006-13-000-3611-903</t>
  </si>
  <si>
    <t>*0006130003611903*</t>
  </si>
  <si>
    <t>MACHA MARK D &amp; SCHERRI</t>
  </si>
  <si>
    <t xml:space="preserve">3611 FM 1952 RD                         </t>
  </si>
  <si>
    <t xml:space="preserve">                                        </t>
  </si>
  <si>
    <t xml:space="preserve">WALLIS                  </t>
  </si>
  <si>
    <t>0007-00-000-0346-907</t>
  </si>
  <si>
    <t>*0007000000346907*</t>
  </si>
  <si>
    <t>ANGLIN CLYDE D</t>
  </si>
  <si>
    <t>NEWREZ LLC</t>
  </si>
  <si>
    <t>DBA SHELLPOINT MORTGAGE SERVICING</t>
  </si>
  <si>
    <t>55 BEATTIE PLACE STE 110</t>
  </si>
  <si>
    <t>GREENVILLE</t>
  </si>
  <si>
    <t>SC</t>
  </si>
  <si>
    <t>0007-00-000-0685-907</t>
  </si>
  <si>
    <t>*0007000000685907*</t>
  </si>
  <si>
    <t>SONG THOMAS GIL &amp; CHIN SUK</t>
  </si>
  <si>
    <t>T.S. ALL SEASON</t>
  </si>
  <si>
    <t>10333 HRWIN DR 110</t>
  </si>
  <si>
    <t>HOUSTON</t>
  </si>
  <si>
    <t>0008-00-000-1500-906</t>
  </si>
  <si>
    <t>*0008000001500906*</t>
  </si>
  <si>
    <t>TEXAS PARKS AND WILDLIFE DEPARTMENT</t>
  </si>
  <si>
    <t>SELECT TITLE LLC</t>
  </si>
  <si>
    <t>1117 FM 359 RD STE 110</t>
  </si>
  <si>
    <t>RICHMOND</t>
  </si>
  <si>
    <t>0009-00-000-6695-907</t>
  </si>
  <si>
    <t>*0009000006695907*</t>
  </si>
  <si>
    <t>MANSI ORMAR</t>
  </si>
  <si>
    <t>EXCEL TITLE GROUP LLC</t>
  </si>
  <si>
    <t>KIRBY ESCROW ACCOUNT</t>
  </si>
  <si>
    <t>701 NORTH POST OAK RD STE 605</t>
  </si>
  <si>
    <t>0010-00-000-7415-906</t>
  </si>
  <si>
    <t>*0010000007415906*</t>
  </si>
  <si>
    <t>MOORE JOHN RUSSELL</t>
  </si>
  <si>
    <t xml:space="preserve">2012 COACHLAMP DR                       </t>
  </si>
  <si>
    <t xml:space="preserve">CEDAR PARK              </t>
  </si>
  <si>
    <t>0011-00-000-2634-906</t>
  </si>
  <si>
    <t>*0011000002634906*</t>
  </si>
  <si>
    <t>CORDOVA KAYLA DANIELLE</t>
  </si>
  <si>
    <t>FOJTIK DAVID</t>
  </si>
  <si>
    <t xml:space="preserve">PO BOX 609                              </t>
  </si>
  <si>
    <t xml:space="preserve">NEEDVILLE               </t>
  </si>
  <si>
    <t>0011-00-000-2635-906</t>
  </si>
  <si>
    <t>*0011000002635906*</t>
  </si>
  <si>
    <t>FOJTIK DAVID ESTATE</t>
  </si>
  <si>
    <t>0015-00-000-1215-907</t>
  </si>
  <si>
    <t>*0015000001215907*</t>
  </si>
  <si>
    <t>SUGAR LAKES HOMEOWNERS ASSOCIATION</t>
  </si>
  <si>
    <t>SUGAR LAKES HOMEOWNERS ASSOC</t>
  </si>
  <si>
    <t>2022 W GRAND PARKWAY N STE 100</t>
  </si>
  <si>
    <t>KATY</t>
  </si>
  <si>
    <t>0015-00-000-1728-907</t>
  </si>
  <si>
    <t>*0015000001728907*</t>
  </si>
  <si>
    <t>AFK PROPERTIES LLC</t>
  </si>
  <si>
    <t>12501 REED ROAD</t>
  </si>
  <si>
    <t>SUGARLAND</t>
  </si>
  <si>
    <t>0017-00-037-0023-901</t>
  </si>
  <si>
    <t>*0017000370023901*</t>
  </si>
  <si>
    <t>HILARY CHENAULT</t>
  </si>
  <si>
    <t>KERRIS OLIVER</t>
  </si>
  <si>
    <t>3310 BENBROOK SPRINGS LN</t>
  </si>
  <si>
    <t>0018-00-026-0070-901</t>
  </si>
  <si>
    <t>*0018000260070901*</t>
  </si>
  <si>
    <t>ELLIOTT JOSEPH SCOTT &amp; BRYAN ERIC E</t>
  </si>
  <si>
    <t xml:space="preserve">109 S CALIFORNIA ST                     </t>
  </si>
  <si>
    <t xml:space="preserve">HOBART                  </t>
  </si>
  <si>
    <t>IN</t>
  </si>
  <si>
    <t>0022-01-000-0010-906</t>
  </si>
  <si>
    <t>*0022010000010906*</t>
  </si>
  <si>
    <t>ORZECHOWSKI DIANA</t>
  </si>
  <si>
    <t>THE TITLE COMPANY</t>
  </si>
  <si>
    <t>GHRIST LAW PLLC ESCROW ACCOUNT</t>
  </si>
  <si>
    <t>9125 BELSHIRE DR STE 100</t>
  </si>
  <si>
    <t>NORTH RICHLAND HILLS</t>
  </si>
  <si>
    <t>0025-00-000-3100-907</t>
  </si>
  <si>
    <t>*0025000003100907*</t>
  </si>
  <si>
    <t>SYKES J D</t>
  </si>
  <si>
    <t xml:space="preserve">8642 DAFFODIL ST                        </t>
  </si>
  <si>
    <t xml:space="preserve">HOUSTON                 </t>
  </si>
  <si>
    <t>0025-00-000-4621-907</t>
  </si>
  <si>
    <t>*0025000004621907*</t>
  </si>
  <si>
    <t>BROLLIER MATTHEW SYDNOR</t>
  </si>
  <si>
    <t>TOLL-GTIS PROPERTY OWNER LLC</t>
  </si>
  <si>
    <t>(SIENNA JV OPERATING)</t>
  </si>
  <si>
    <t>1140 VIRGINIA DR</t>
  </si>
  <si>
    <t>FT WASHINGTON</t>
  </si>
  <si>
    <t>PA</t>
  </si>
  <si>
    <t>0025-00-000-7251-907</t>
  </si>
  <si>
    <t>*0025000007251907*</t>
  </si>
  <si>
    <t>HERRERA BRENDA</t>
  </si>
  <si>
    <t>BRENDA HERNANDEZ</t>
  </si>
  <si>
    <t>6713 KEATS ST</t>
  </si>
  <si>
    <t>0026-00-000-0086-901</t>
  </si>
  <si>
    <t>*0026000000086901*</t>
  </si>
  <si>
    <t>TILLMAN MICHAEL W &amp; JANET F</t>
  </si>
  <si>
    <t>JANET TILLMAN</t>
  </si>
  <si>
    <t>1020 BAKER TD</t>
  </si>
  <si>
    <t>ROSENBERG</t>
  </si>
  <si>
    <t>0026-00-000-0092-901</t>
  </si>
  <si>
    <t>*0026000000092901*</t>
  </si>
  <si>
    <t>0029-00-000-0445-901</t>
  </si>
  <si>
    <t>*0029000000445901*</t>
  </si>
  <si>
    <t>MANIGAULT CAROL W</t>
  </si>
  <si>
    <t xml:space="preserve">1288 TAFT RD                            </t>
  </si>
  <si>
    <t xml:space="preserve">TEANECK                 </t>
  </si>
  <si>
    <t>NJ</t>
  </si>
  <si>
    <t>0029-00-000-0758-901</t>
  </si>
  <si>
    <t>*0029000000758901*</t>
  </si>
  <si>
    <t>CENTURY LAND HOLDINGS OF TEXAS LLC</t>
  </si>
  <si>
    <t>CENTURY COMMUNITIES INC</t>
  </si>
  <si>
    <t>8390 E CRESCENT PARKWAY 650</t>
  </si>
  <si>
    <t>GREENWOOD VILLAGE</t>
  </si>
  <si>
    <t>CO</t>
  </si>
  <si>
    <t>0029-00-000-0878-901</t>
  </si>
  <si>
    <t>*0029000000878901*</t>
  </si>
  <si>
    <t>CITY OF FULSHEAR</t>
  </si>
  <si>
    <t>FULSHEAR LAND PARTNERS LTD</t>
  </si>
  <si>
    <t>1600 WEST LOOP S STE 2600</t>
  </si>
  <si>
    <t>0029-00-000-0891-901</t>
  </si>
  <si>
    <t>*0029000000891901*</t>
  </si>
  <si>
    <t>RANDERMANN RANDY N &amp; BRANDYE A</t>
  </si>
  <si>
    <t>FRONTIER TITLE COMPANY</t>
  </si>
  <si>
    <t>WH LLC ESCROW ACCOUNT</t>
  </si>
  <si>
    <t>23501 CINCO RANCH BLVD STE F200</t>
  </si>
  <si>
    <t>0029-00-000-0903-901</t>
  </si>
  <si>
    <t>*0029000000903901*</t>
  </si>
  <si>
    <t>0029-00-000-0952-901</t>
  </si>
  <si>
    <t>*0029000000952901*</t>
  </si>
  <si>
    <t>SROUR EMAD</t>
  </si>
  <si>
    <t>EMAD SROUR</t>
  </si>
  <si>
    <t>4114 ANGEL SPRINGS DR</t>
  </si>
  <si>
    <t>0029-00-000-1199-901</t>
  </si>
  <si>
    <t>*0029000001199901*</t>
  </si>
  <si>
    <t>ANDERSON BRENT &amp; LESLIE</t>
  </si>
  <si>
    <t>BRENT ANDERSON</t>
  </si>
  <si>
    <t>5235 JAMES LN</t>
  </si>
  <si>
    <t>FULSHEAR</t>
  </si>
  <si>
    <t>0033-00-000-8103-906</t>
  </si>
  <si>
    <t>*0033000008103906*</t>
  </si>
  <si>
    <t>HOLLINGSWORTH LINDA FAY</t>
  </si>
  <si>
    <t xml:space="preserve">5716 TWIN BROOKS DR                     </t>
  </si>
  <si>
    <t xml:space="preserve">DALLAS                  </t>
  </si>
  <si>
    <t>0034-06-030-0320-908</t>
  </si>
  <si>
    <t>*0034060300320908*</t>
  </si>
  <si>
    <t>CONTELLO NICCOLI DENISE</t>
  </si>
  <si>
    <t>MONARCH TITLE OF TEXAS LLC</t>
  </si>
  <si>
    <t>ESCROW ACCOUNT</t>
  </si>
  <si>
    <t>6615 WEST CROSS CREEK BEND LANE</t>
  </si>
  <si>
    <t>0034-07-030-0110-908</t>
  </si>
  <si>
    <t>*0034070300110908*</t>
  </si>
  <si>
    <t>VLB (571-157944)</t>
  </si>
  <si>
    <t>CASA TITLE LLC</t>
  </si>
  <si>
    <t>1201 TELEPHONE RD STE A</t>
  </si>
  <si>
    <t>0034-08-030-0010-908</t>
  </si>
  <si>
    <t>*0034080300010908*</t>
  </si>
  <si>
    <t>LUEVANOS JAIME</t>
  </si>
  <si>
    <t xml:space="preserve">815 EDGEWOOD DR                         </t>
  </si>
  <si>
    <t xml:space="preserve">RICHMOND                </t>
  </si>
  <si>
    <t>0042-00-000-0070-901</t>
  </si>
  <si>
    <t>*0042000000070901*</t>
  </si>
  <si>
    <t>VENTANA DEVELOPMENT MCCRARY LTD</t>
  </si>
  <si>
    <t xml:space="preserve">410 BROOKS ST                           </t>
  </si>
  <si>
    <t xml:space="preserve">SUGAR LAND              </t>
  </si>
  <si>
    <t>0042-00-000-0079-901</t>
  </si>
  <si>
    <t>*0042000000079901*</t>
  </si>
  <si>
    <t>THOMPSON BILL R</t>
  </si>
  <si>
    <t>RYAN TAX COMPLIANCE SERVICES LLV</t>
  </si>
  <si>
    <t>PAYING FOR CROWN CASTLE</t>
  </si>
  <si>
    <t>16220 NORTH SCOTTSDALE RD STE 450</t>
  </si>
  <si>
    <t>SCOTTSDALE</t>
  </si>
  <si>
    <t>AZ</t>
  </si>
  <si>
    <t>0042-15-000-0120-901</t>
  </si>
  <si>
    <t>*0042150000120901*</t>
  </si>
  <si>
    <t>QUIJANO VICTOR &amp; EMMA</t>
  </si>
  <si>
    <t>TEXAS TITLE</t>
  </si>
  <si>
    <t>601 ZENA RUCKER RD STE 107</t>
  </si>
  <si>
    <t>SOUTHLAKE</t>
  </si>
  <si>
    <t>0044-00-000-0068-901</t>
  </si>
  <si>
    <t>*0044000000068901*</t>
  </si>
  <si>
    <t>MATILDA CALHOUN (ESTATE)</t>
  </si>
  <si>
    <t>JOHN C OR RHONDA CALHOUN</t>
  </si>
  <si>
    <t>7806 PEACHTREE ST</t>
  </si>
  <si>
    <t>0046-00-000-0831-901</t>
  </si>
  <si>
    <t>*0046000000831901*</t>
  </si>
  <si>
    <t>BERRY VERNA</t>
  </si>
  <si>
    <t>ROCKET MORTGAGE</t>
  </si>
  <si>
    <t>1050 WOODWARD AVE</t>
  </si>
  <si>
    <t>DETROIT</t>
  </si>
  <si>
    <t>MI</t>
  </si>
  <si>
    <t>0049-00-000-0883-901</t>
  </si>
  <si>
    <t>*0049000000883901*</t>
  </si>
  <si>
    <t>WOODS GERTRUDE THOMAS</t>
  </si>
  <si>
    <t>DICKSON CO</t>
  </si>
  <si>
    <t>3934 ROSENEATH DR</t>
  </si>
  <si>
    <t>0050-00-000-0211-901</t>
  </si>
  <si>
    <t>*0050000000211901*</t>
  </si>
  <si>
    <t>RAY NETTIE HARRIS ESTATE</t>
  </si>
  <si>
    <t>CINDY NGOCTHUY NGUYEN</t>
  </si>
  <si>
    <t>THIEN H NGUYEN</t>
  </si>
  <si>
    <t>719 LEANING OAK TRL</t>
  </si>
  <si>
    <t>0050-00-000-0243-901</t>
  </si>
  <si>
    <t>*0050000000243901*</t>
  </si>
  <si>
    <t>AT&amp;T CORP</t>
  </si>
  <si>
    <t>N</t>
  </si>
  <si>
    <t xml:space="preserve">909 CHESTNUT ST                         </t>
  </si>
  <si>
    <t xml:space="preserve">RM 36M1                                 </t>
  </si>
  <si>
    <t xml:space="preserve">SAINT LOUIS             </t>
  </si>
  <si>
    <t>MO</t>
  </si>
  <si>
    <t>0050-00-000-0244-901</t>
  </si>
  <si>
    <t>*0050000000244901*</t>
  </si>
  <si>
    <t>0050-00-000-0245-901</t>
  </si>
  <si>
    <t>*0050000000245901*</t>
  </si>
  <si>
    <t>0050-00-000-0321-901</t>
  </si>
  <si>
    <t>*0050000000321901*</t>
  </si>
  <si>
    <t>MCKINNEY LINDA FAYE &amp; ERIC J GRANT</t>
  </si>
  <si>
    <t xml:space="preserve">PO BOX 216                              </t>
  </si>
  <si>
    <t xml:space="preserve">FULSHEAR                </t>
  </si>
  <si>
    <t>0055-00-000-0394-901</t>
  </si>
  <si>
    <t>*0055000000394901*</t>
  </si>
  <si>
    <t>TRUSTEES OF PILGRIM JOURNEY MISSION</t>
  </si>
  <si>
    <t>PILGRIM JOURNEY BAPTIST CHURCH</t>
  </si>
  <si>
    <t>PO BOX 129</t>
  </si>
  <si>
    <t>0055-00-000-0800-901</t>
  </si>
  <si>
    <t>*0055000000800901*</t>
  </si>
  <si>
    <t>PILGRIM JOURNEY MISSIONARY BAPTIST</t>
  </si>
  <si>
    <t>0056-00-000-0023-901</t>
  </si>
  <si>
    <t>*0056000000023901*</t>
  </si>
  <si>
    <t>DRY CREEK (HOUSTON) ASLI VII LLC</t>
  </si>
  <si>
    <t>CAREFREE TITLE AGENCY INC</t>
  </si>
  <si>
    <t>3250 BRIARPARK DR STE 100A</t>
  </si>
  <si>
    <t>0057-01-110-0000-908</t>
  </si>
  <si>
    <t>*0057011100000908*</t>
  </si>
  <si>
    <t>VLB (461-113123)</t>
  </si>
  <si>
    <t>JEROME H MITCHELL</t>
  </si>
  <si>
    <t>5138 TAVENOR LN</t>
  </si>
  <si>
    <t>0057-01-170-0010-908</t>
  </si>
  <si>
    <t>*0057011700010908*</t>
  </si>
  <si>
    <t>MELTON KOECADEE</t>
  </si>
  <si>
    <t xml:space="preserve">12719 BATTLE RD                         </t>
  </si>
  <si>
    <t xml:space="preserve">BEASLEY                 </t>
  </si>
  <si>
    <t>0057-01-170-0020-908</t>
  </si>
  <si>
    <t>*0057011700020908*</t>
  </si>
  <si>
    <t>0057-02-040-0001-908</t>
  </si>
  <si>
    <t>*0057020400001908*</t>
  </si>
  <si>
    <t>FOSTER YOLANDA LIVINGS</t>
  </si>
  <si>
    <t>CELESTINO GARCIA</t>
  </si>
  <si>
    <t>PO BOX 841</t>
  </si>
  <si>
    <t>KENDLETON</t>
  </si>
  <si>
    <t>0058-00-490-0006-908</t>
  </si>
  <si>
    <t>*0058004900006908*</t>
  </si>
  <si>
    <t>NUNEZJOSE LUIS &amp; MARIA SANTA TORRES</t>
  </si>
  <si>
    <t>LUIS ENRIQUE MONTES</t>
  </si>
  <si>
    <t>MARGARITA NUNEZ MONTES</t>
  </si>
  <si>
    <t>325 ROCKY FALLS PKWY</t>
  </si>
  <si>
    <t>0058-01-700-0000-908</t>
  </si>
  <si>
    <t>*0058017000000908*</t>
  </si>
  <si>
    <t>GUESS GERTHA ETAL</t>
  </si>
  <si>
    <t>SHIRLEY Y COVINGTON</t>
  </si>
  <si>
    <t>11332 GREENBRIER ST</t>
  </si>
  <si>
    <t>OAKLAND</t>
  </si>
  <si>
    <t>CA</t>
  </si>
  <si>
    <t>0058-02-330-0001-908</t>
  </si>
  <si>
    <t>*0058023300001908*</t>
  </si>
  <si>
    <t>RESENDIZ ISMAEL &amp; JULIA</t>
  </si>
  <si>
    <t xml:space="preserve">1031 FM 2919 RD                         </t>
  </si>
  <si>
    <t>0058-02-360-0000-908</t>
  </si>
  <si>
    <t>*0058023600000908*</t>
  </si>
  <si>
    <t>BAUGH GEORGE III</t>
  </si>
  <si>
    <t xml:space="preserve">2509 12TH ST                            </t>
  </si>
  <si>
    <t xml:space="preserve">GALENA PARK             </t>
  </si>
  <si>
    <t>0058-03-610-0000-908</t>
  </si>
  <si>
    <t>*0058036100000908*</t>
  </si>
  <si>
    <t>MCNEIL WILLIAM M ESTATE</t>
  </si>
  <si>
    <t>BERNARD SHAW</t>
  </si>
  <si>
    <t>4000 PARKSIDE CENTER BLVD #150</t>
  </si>
  <si>
    <t>DALLAS</t>
  </si>
  <si>
    <t>0058-03-680-0004-908</t>
  </si>
  <si>
    <t>*0058036800004908*</t>
  </si>
  <si>
    <t>BROWN WILBERT &amp; ODESSIA B</t>
  </si>
  <si>
    <t>ODESSA TAYLOR BROWN</t>
  </si>
  <si>
    <t>PO BOX 14</t>
  </si>
  <si>
    <t>0060-00-000-2300-906</t>
  </si>
  <si>
    <t>*0060000002300906*</t>
  </si>
  <si>
    <t>POCASANGRE CARLOS &amp; SUSAN I</t>
  </si>
  <si>
    <t>STEWART TITLE COMPANY</t>
  </si>
  <si>
    <t>14100 SOUTHWEST FRWY STE 200</t>
  </si>
  <si>
    <t>0060-00-000-5072-906</t>
  </si>
  <si>
    <t>*0060000005072906*</t>
  </si>
  <si>
    <t>0061-00-000-0580-901</t>
  </si>
  <si>
    <t>*0061000000580901*</t>
  </si>
  <si>
    <t>QUICK CLINIC MEDICAL CENTER LLC</t>
  </si>
  <si>
    <t>QUICK CLINIC MEDICAL CENTER</t>
  </si>
  <si>
    <t>9722 GASTON RD SUITE 150-102</t>
  </si>
  <si>
    <t>0062-00-000-0337-901</t>
  </si>
  <si>
    <t>*0062000000337901*</t>
  </si>
  <si>
    <t>KELWYN KENNEL PROPERTIES LLC</t>
  </si>
  <si>
    <t xml:space="preserve">615 PITTS RD                            </t>
  </si>
  <si>
    <t>0062-00-000-0757-901</t>
  </si>
  <si>
    <t>*0062000000757901*</t>
  </si>
  <si>
    <t>DMJ LIVING TRUST</t>
  </si>
  <si>
    <t>CLASSIC IRRIGATION</t>
  </si>
  <si>
    <t>&amp; LANDSCAPE</t>
  </si>
  <si>
    <t>1121 EDGEWOOD DR</t>
  </si>
  <si>
    <t>0064-00-000-0972-907</t>
  </si>
  <si>
    <t>*0064000000972907*</t>
  </si>
  <si>
    <t>ONTIVEROS FRANCISCO</t>
  </si>
  <si>
    <t>FIRST AMERICAN TITLE INSURANCE COMPANY</t>
  </si>
  <si>
    <t>1801 W WHITE OAK TERRACE STE A</t>
  </si>
  <si>
    <t>CONROE</t>
  </si>
  <si>
    <t>0064-00-000-1353-907</t>
  </si>
  <si>
    <t>*0064000001353907*</t>
  </si>
  <si>
    <t>RAMOS ORACIO &amp; CECILIA</t>
  </si>
  <si>
    <t>CECILIA RAMOS</t>
  </si>
  <si>
    <t>2700 JO ANN ST #21</t>
  </si>
  <si>
    <t>STAFFORD</t>
  </si>
  <si>
    <t>0064-00-000-2920-907</t>
  </si>
  <si>
    <t>*0064000002920907*</t>
  </si>
  <si>
    <t>RAMIREZ ALEJANDRA</t>
  </si>
  <si>
    <t xml:space="preserve">1943 ROTHWELL ST                        </t>
  </si>
  <si>
    <t xml:space="preserve">STAFFORD                </t>
  </si>
  <si>
    <t>0064-00-000-2959-907</t>
  </si>
  <si>
    <t>*0064000002959907*</t>
  </si>
  <si>
    <t>THOMAS ABRAHAM</t>
  </si>
  <si>
    <t>FIDELITY NATIONAL TITLE AGENCY INC</t>
  </si>
  <si>
    <t>1900 WEST LOOP SOUTH SUITE 100</t>
  </si>
  <si>
    <t>0064-00-000-3910-907</t>
  </si>
  <si>
    <t>*0064000003910907*</t>
  </si>
  <si>
    <t>ROSAS GREGORIO</t>
  </si>
  <si>
    <t>GEORGE ROSAS JR</t>
  </si>
  <si>
    <t>3234 FIFTH ST</t>
  </si>
  <si>
    <t>0064-00-000-3940-907</t>
  </si>
  <si>
    <t>*0064000003940907*</t>
  </si>
  <si>
    <t>JOHN JULIE P &amp; BLESSY J ABRAHAM</t>
  </si>
  <si>
    <t>JULIE P JOHN</t>
  </si>
  <si>
    <t>3727 HERITAGE COLONY DR</t>
  </si>
  <si>
    <t>MISSOURI CITY</t>
  </si>
  <si>
    <t>0064-00-000-3952-907</t>
  </si>
  <si>
    <t>*0064000003952907*</t>
  </si>
  <si>
    <t>ROSAS GEORGE JR</t>
  </si>
  <si>
    <t xml:space="preserve">3234 5TH ST                             </t>
  </si>
  <si>
    <t>0064-00-000-4036-907</t>
  </si>
  <si>
    <t>*0064000004036907*</t>
  </si>
  <si>
    <t>MITCHELL MILDRED</t>
  </si>
  <si>
    <t>MILDRED WILLIAMS</t>
  </si>
  <si>
    <t>11025 LARKWOOD DR APT 502</t>
  </si>
  <si>
    <t>0065-02-003-4442-903</t>
  </si>
  <si>
    <t>*0065020034442903*</t>
  </si>
  <si>
    <t>MARTINEZ FEDERICO MARTINEZ</t>
  </si>
  <si>
    <t>LAURA ORTIZ MARTNEZ</t>
  </si>
  <si>
    <t>12019 HIGHWAY 90A #A</t>
  </si>
  <si>
    <t>EAST BERNARD</t>
  </si>
  <si>
    <t>0065-19-005-1800-903</t>
  </si>
  <si>
    <t>*0065190051800903*</t>
  </si>
  <si>
    <t>KUTACH ISABEL</t>
  </si>
  <si>
    <t>KUTACH FARMS</t>
  </si>
  <si>
    <t>DARYL W KUTACH</t>
  </si>
  <si>
    <t>405 HLAVINKA</t>
  </si>
  <si>
    <t>0065-19-005-2001-903</t>
  </si>
  <si>
    <t>*0065190052001903*</t>
  </si>
  <si>
    <t>STEWART R J ESTATE</t>
  </si>
  <si>
    <t xml:space="preserve">PO BOX 27                               </t>
  </si>
  <si>
    <t>0065-22-000-3801-903</t>
  </si>
  <si>
    <t>*0065220003801903*</t>
  </si>
  <si>
    <t>BARROW LEX &amp; DORTHA</t>
  </si>
  <si>
    <t>DIEGO SANCHEZ</t>
  </si>
  <si>
    <t>MARTHA SANCHEZ</t>
  </si>
  <si>
    <t>12641 BULS RD</t>
  </si>
  <si>
    <t>0066-13-002-7400-903</t>
  </si>
  <si>
    <t>*0066130027400903*</t>
  </si>
  <si>
    <t>HLOZEK STEVEN FRANK &amp; CHRIS LYDIA</t>
  </si>
  <si>
    <t>STEVEN HLOZEK</t>
  </si>
  <si>
    <t>MARY HLOZEK</t>
  </si>
  <si>
    <t>523 DARLENE LN</t>
  </si>
  <si>
    <t>WALLIS</t>
  </si>
  <si>
    <t>0070-00-000-0033-901</t>
  </si>
  <si>
    <t>*0070000000033901*</t>
  </si>
  <si>
    <t>DONOVAN MICHAEL F M TRUST</t>
  </si>
  <si>
    <t>MICHAEL F DONOVAN</t>
  </si>
  <si>
    <t>PO BOX 394</t>
  </si>
  <si>
    <t>GUT</t>
  </si>
  <si>
    <t>0072-00-120-0003-901</t>
  </si>
  <si>
    <t>*0072001200003901*</t>
  </si>
  <si>
    <t>COLE CHARLES</t>
  </si>
  <si>
    <t>WQUITY TRUST COMPANY</t>
  </si>
  <si>
    <t>1 EQUITY WAY</t>
  </si>
  <si>
    <t>WESTLAKE</t>
  </si>
  <si>
    <t>OH</t>
  </si>
  <si>
    <t>0075-00-000-0690-901</t>
  </si>
  <si>
    <t>*0075000000690901*</t>
  </si>
  <si>
    <t>CUNNINGHAM CHRISTOPHER &amp; BETHANY</t>
  </si>
  <si>
    <t>0075-23-000-0482-901</t>
  </si>
  <si>
    <t>*0075230000482901*</t>
  </si>
  <si>
    <t>MEIER GILBERT HELLMUTH III AND MAND</t>
  </si>
  <si>
    <t xml:space="preserve">26006 CHAPMAN FALLS DR                  </t>
  </si>
  <si>
    <t>0076-00-000-0552-901</t>
  </si>
  <si>
    <t>*0076000000552901*</t>
  </si>
  <si>
    <t>GONZALES MARGARITA</t>
  </si>
  <si>
    <t>MARGARITA GONZALES</t>
  </si>
  <si>
    <t>3430 BOWSER RD.</t>
  </si>
  <si>
    <t>0077-00-000-0502-907</t>
  </si>
  <si>
    <t>*0077000000502907*</t>
  </si>
  <si>
    <t>REYNOLDS ROBERT Y</t>
  </si>
  <si>
    <t>CBRE CORP FACILITIES MGMT INC</t>
  </si>
  <si>
    <t>AAF REGIONS FINANCIAL CORPORATION</t>
  </si>
  <si>
    <t>PO BOX 360567</t>
  </si>
  <si>
    <t>HOOVER</t>
  </si>
  <si>
    <t>AL</t>
  </si>
  <si>
    <t>0077-00-000-0530-907</t>
  </si>
  <si>
    <t>*0077000000530907*</t>
  </si>
  <si>
    <t>BRIGGS OF MISSOURI CITY PROPERTIES</t>
  </si>
  <si>
    <t>MADISON TITLE AGENCY- TX TRUST ACCOUNT</t>
  </si>
  <si>
    <t>13101 PRESTON RD STE 300</t>
  </si>
  <si>
    <t>0077-00-000-1422-907</t>
  </si>
  <si>
    <t>*0077000001422907*</t>
  </si>
  <si>
    <t>EQUITY TRUST COMPANY CUSTODIAN F/B/</t>
  </si>
  <si>
    <t>EQUITY TRUST COMPANY</t>
  </si>
  <si>
    <t>0078-00-000-0010-901</t>
  </si>
  <si>
    <t>*0078000000010901*</t>
  </si>
  <si>
    <t>HOULIHAN DAVID J &amp; MARY</t>
  </si>
  <si>
    <t xml:space="preserve">PO BOX 586                              </t>
  </si>
  <si>
    <t xml:space="preserve">SIMONTON                </t>
  </si>
  <si>
    <t>0078-00-000-0314-901</t>
  </si>
  <si>
    <t>*0078000000314901*</t>
  </si>
  <si>
    <t>DAY ROBIN</t>
  </si>
  <si>
    <t>TERRY BRADLEY</t>
  </si>
  <si>
    <t>38715 BOOTHILL WEST RD</t>
  </si>
  <si>
    <t>0078-00-000-0459-901</t>
  </si>
  <si>
    <t>*0078000000459901*</t>
  </si>
  <si>
    <t>DAVIS JACOB W</t>
  </si>
  <si>
    <t xml:space="preserve">PO BOX 961                              </t>
  </si>
  <si>
    <t>0079-00-000-0255-901</t>
  </si>
  <si>
    <t>*0079000000255901*</t>
  </si>
  <si>
    <t>PECK DUANE BENTLEY</t>
  </si>
  <si>
    <t>MELINDA J GARDNER</t>
  </si>
  <si>
    <t>513 STONEWOOD</t>
  </si>
  <si>
    <t>BUDA</t>
  </si>
  <si>
    <t>0079-00-000-0614-901</t>
  </si>
  <si>
    <t>*0079000000614901*</t>
  </si>
  <si>
    <t>TWINWOOD (U.S.) INC</t>
  </si>
  <si>
    <t xml:space="preserve">PO BOX 649                              </t>
  </si>
  <si>
    <t>0080-00-000-2810-906</t>
  </si>
  <si>
    <t>*0080000002810906*</t>
  </si>
  <si>
    <t>BOURGEOIS SAMMY</t>
  </si>
  <si>
    <t>SAMUEL L BOURGEOIS</t>
  </si>
  <si>
    <t>7023 DUNMEYER CT</t>
  </si>
  <si>
    <t>0080-00-000-4690-906</t>
  </si>
  <si>
    <t>*0080000004690906*</t>
  </si>
  <si>
    <t>LA TUAT-LONG &amp; LISA</t>
  </si>
  <si>
    <t xml:space="preserve">19907 DEER RUN RD                       </t>
  </si>
  <si>
    <t xml:space="preserve">DAMON                   </t>
  </si>
  <si>
    <t>TUAT LONG LA OR</t>
  </si>
  <si>
    <t>LISA M LA</t>
  </si>
  <si>
    <t>19907 DEER RUN RD</t>
  </si>
  <si>
    <t>TUAT-LONG LA</t>
  </si>
  <si>
    <t>0085-02-000-6020-903</t>
  </si>
  <si>
    <t>*0085020006020903*</t>
  </si>
  <si>
    <t>KINSEY LIONEL J &amp; RUTHIE M</t>
  </si>
  <si>
    <t xml:space="preserve">PO BOX 736                              </t>
  </si>
  <si>
    <t>RUTHIE KINSEY</t>
  </si>
  <si>
    <t>P.O. BOX 736</t>
  </si>
  <si>
    <t>0085-02-000-6043-903</t>
  </si>
  <si>
    <t>*0085020006043903*</t>
  </si>
  <si>
    <t>BEAL NOVIE LEE</t>
  </si>
  <si>
    <t>DEBRA LEWIS</t>
  </si>
  <si>
    <t>6002 GRACE LN</t>
  </si>
  <si>
    <t>0085-08-000-8002-903</t>
  </si>
  <si>
    <t>*0085080008002903*</t>
  </si>
  <si>
    <t>HATTON GREGORY &amp; ROSIE HARRIS</t>
  </si>
  <si>
    <t xml:space="preserve">PO BOX 464                              </t>
  </si>
  <si>
    <t xml:space="preserve">ORCHARD                 </t>
  </si>
  <si>
    <t>0085-11-001-3204-903</t>
  </si>
  <si>
    <t>*0085110013204903*</t>
  </si>
  <si>
    <t>JOHNICAN ALONZO JR &amp; JOYCENETT</t>
  </si>
  <si>
    <t>FRANCHEYE L. MACKEY</t>
  </si>
  <si>
    <t>12447 HWY 36</t>
  </si>
  <si>
    <t>0086-00-000-4778-907</t>
  </si>
  <si>
    <t>*0086000004778907*</t>
  </si>
  <si>
    <t>NEELY EMANUEL B JR</t>
  </si>
  <si>
    <t>EMANUEL B NEELY JR</t>
  </si>
  <si>
    <t>11238 OCATE</t>
  </si>
  <si>
    <t>HELOTES</t>
  </si>
  <si>
    <t>0086-86-001-0108-907</t>
  </si>
  <si>
    <t>*0086860010108907*</t>
  </si>
  <si>
    <t>REESE TEENA RAE KNIGHT ETAL</t>
  </si>
  <si>
    <t>TENNA REESE</t>
  </si>
  <si>
    <t>4121 WINDSWEPT DR</t>
  </si>
  <si>
    <t>MONTGOMERY</t>
  </si>
  <si>
    <t>0086-86-001-0109-907</t>
  </si>
  <si>
    <t>*0086860010109907*</t>
  </si>
  <si>
    <t>0086-86-005-0517-907</t>
  </si>
  <si>
    <t>*0086860050517907*</t>
  </si>
  <si>
    <t>WERNER JOHN C ETAL</t>
  </si>
  <si>
    <t>JOHN R WERNER</t>
  </si>
  <si>
    <t>9007 STONES THROW LN</t>
  </si>
  <si>
    <t>0089-00-000-4410-910</t>
  </si>
  <si>
    <t>*0089000004410910*</t>
  </si>
  <si>
    <t>COOPERSURGICAL INC</t>
  </si>
  <si>
    <t xml:space="preserve">ATTN: NANCY LAMONTAGNE                  </t>
  </si>
  <si>
    <t xml:space="preserve">95 CORPORATE DR                         </t>
  </si>
  <si>
    <t xml:space="preserve">TRUMBALL                </t>
  </si>
  <si>
    <t>CT</t>
  </si>
  <si>
    <t>0090-00-000-0461-901</t>
  </si>
  <si>
    <t>*0090000000461901*</t>
  </si>
  <si>
    <t>GREEN TREE SERVICING LLC</t>
  </si>
  <si>
    <t>CORELOGIC TAX SERVICES LLC</t>
  </si>
  <si>
    <t>3001 HACKBERRY RD</t>
  </si>
  <si>
    <t>IRVING</t>
  </si>
  <si>
    <t>0091-00-000-2970-906</t>
  </si>
  <si>
    <t>*0091000002970906*</t>
  </si>
  <si>
    <t>BILY JOHN REVOCABLE TRUST</t>
  </si>
  <si>
    <t xml:space="preserve">303 BROOKS HOLLOW RD                    </t>
  </si>
  <si>
    <t xml:space="preserve">AUSTIN                  </t>
  </si>
  <si>
    <t>0092-00-000-0436-901</t>
  </si>
  <si>
    <t>*0092000000436901*</t>
  </si>
  <si>
    <t>SIEMS ALAN LEE LIFE ESTATE</t>
  </si>
  <si>
    <t>SHIRLEY B SIEMS</t>
  </si>
  <si>
    <t>P O BOX 806</t>
  </si>
  <si>
    <t>SIMONTON</t>
  </si>
  <si>
    <t>0092-00-000-0440-901</t>
  </si>
  <si>
    <t>*0092000000440901*</t>
  </si>
  <si>
    <t>LEE E &amp; SHIRLEY SIEMS 2006 TRUST</t>
  </si>
  <si>
    <t xml:space="preserve">PO BOX 806                              </t>
  </si>
  <si>
    <t>0092-00-000-0890-901</t>
  </si>
  <si>
    <t>*0092000000890901*</t>
  </si>
  <si>
    <t>CBDS INVESTMENTS INC</t>
  </si>
  <si>
    <t>0095-00-000-0500-906</t>
  </si>
  <si>
    <t>*0095000000500906*</t>
  </si>
  <si>
    <t>SBRUSCH DENNIS ETAL</t>
  </si>
  <si>
    <t>9515 BROADWAY SUITE 129</t>
  </si>
  <si>
    <t>PEARLAND</t>
  </si>
  <si>
    <t>0095-00-000-0570-906</t>
  </si>
  <si>
    <t>*0095000000570906*</t>
  </si>
  <si>
    <t>NORRIS HEATH R &amp; KAREN</t>
  </si>
  <si>
    <t>KAREN NORRIS</t>
  </si>
  <si>
    <t>8007 LEROY RD</t>
  </si>
  <si>
    <t>0095-00-000-0664-906</t>
  </si>
  <si>
    <t>*0095000000664906*</t>
  </si>
  <si>
    <t>MESECKE ALTON E</t>
  </si>
  <si>
    <t>ALTON MESECKE</t>
  </si>
  <si>
    <t>8002 LEROY ROAD</t>
  </si>
  <si>
    <t>0095-00-000-5225-906</t>
  </si>
  <si>
    <t>*0095000005225906*</t>
  </si>
  <si>
    <t>BOTTARI PAOLO</t>
  </si>
  <si>
    <t>PAOLO BOTTARI</t>
  </si>
  <si>
    <t>MARGARITA BOTTARI</t>
  </si>
  <si>
    <t>10918 TIMBEROAK DR</t>
  </si>
  <si>
    <t>0095-00-000-7210-906</t>
  </si>
  <si>
    <t>*0095000007210906*</t>
  </si>
  <si>
    <t>MORALES MOYSES &amp; REBECCA</t>
  </si>
  <si>
    <t>TEXAS GULF FEDERAL CREDIT UNION</t>
  </si>
  <si>
    <t>2101 NORTH FULTON</t>
  </si>
  <si>
    <t>WHARTON</t>
  </si>
  <si>
    <t>0097-00-000-5910-907</t>
  </si>
  <si>
    <t>*0097000005910907*</t>
  </si>
  <si>
    <t>STEWART VELMA W</t>
  </si>
  <si>
    <t xml:space="preserve">123 6TH ST                              </t>
  </si>
  <si>
    <t>0098-00-000-5550-906</t>
  </si>
  <si>
    <t>*0098000005550906*</t>
  </si>
  <si>
    <t>DRAEMER ERNEST &amp; NORELIA</t>
  </si>
  <si>
    <t>ERNEST DRAEMER</t>
  </si>
  <si>
    <t>14915 MOODY RD</t>
  </si>
  <si>
    <t>NEEDVILLE</t>
  </si>
  <si>
    <t>0101-00-000-1409-907</t>
  </si>
  <si>
    <t>*0101000001409907*</t>
  </si>
  <si>
    <t>BEECHNUT FEC LLC</t>
  </si>
  <si>
    <t xml:space="preserve">1618 KEENEN CT                          </t>
  </si>
  <si>
    <t>0117-00-000-1100-910</t>
  </si>
  <si>
    <t>*0117000001100910*</t>
  </si>
  <si>
    <t>THOMPSON CHARLES ESTATE</t>
  </si>
  <si>
    <t>DARWIN G HARTMAN</t>
  </si>
  <si>
    <t>240 PLUM TREE CIR</t>
  </si>
  <si>
    <t>LIVINGSTON</t>
  </si>
  <si>
    <t>0117-00-000-1910-910</t>
  </si>
  <si>
    <t>*0117000001910910*</t>
  </si>
  <si>
    <t>FARFOURA LLC</t>
  </si>
  <si>
    <t xml:space="preserve">2338 S MAIN ST                          </t>
  </si>
  <si>
    <t>0125-00-032-0000-901</t>
  </si>
  <si>
    <t>*0125000320000901*</t>
  </si>
  <si>
    <t>PUARIEA BEN &amp; PATRICIA</t>
  </si>
  <si>
    <t xml:space="preserve">4605 BRIARBEND DR                       </t>
  </si>
  <si>
    <t>0133-00-015-0030-901</t>
  </si>
  <si>
    <t>*0133000150030901*</t>
  </si>
  <si>
    <t>BENTON FAMILY PROPERTIES LTD</t>
  </si>
  <si>
    <t>CYNTHIA ALLRED</t>
  </si>
  <si>
    <t>BRENDA ALLRED</t>
  </si>
  <si>
    <t>14823 ALDERWICK DR</t>
  </si>
  <si>
    <t>0133-00-015-0031-901</t>
  </si>
  <si>
    <t>*0133000150031901*</t>
  </si>
  <si>
    <t>0138-00-000-0072-903</t>
  </si>
  <si>
    <t>*0138000000072903*</t>
  </si>
  <si>
    <t>ROSENBAUM CHRIS</t>
  </si>
  <si>
    <t xml:space="preserve">5606 RANDON SCHOOL RD                   </t>
  </si>
  <si>
    <t xml:space="preserve">ROSENBERG               </t>
  </si>
  <si>
    <t>0138-03-002-1600-903</t>
  </si>
  <si>
    <t>*0138030021600903*</t>
  </si>
  <si>
    <t>CORTEZ CELIA &amp; PAUL M CORTEZ JR ETA</t>
  </si>
  <si>
    <t>PAUL CORTEZ</t>
  </si>
  <si>
    <t>4534 RANDOM SCHOOL RD</t>
  </si>
  <si>
    <t>0146-00-000-0023-901</t>
  </si>
  <si>
    <t>*0146000000023901*</t>
  </si>
  <si>
    <t>ROSENBERG 1036 LLC</t>
  </si>
  <si>
    <t xml:space="preserve">15010 LAKEFAIR DR                       </t>
  </si>
  <si>
    <t>0149-00-078-0001-914</t>
  </si>
  <si>
    <t>*0149000780001914*</t>
  </si>
  <si>
    <t>FORT BEND COUNTY</t>
  </si>
  <si>
    <t>WILLOW LAKES HOLDINGS LLC</t>
  </si>
  <si>
    <t>400 LOCUST ST STE 790</t>
  </si>
  <si>
    <t>DES MOINES</t>
  </si>
  <si>
    <t>IA</t>
  </si>
  <si>
    <t>0152-00-000-0201-907</t>
  </si>
  <si>
    <t>*0152000000201907*</t>
  </si>
  <si>
    <t>YOKUBAITIS KATHRIN ETAL</t>
  </si>
  <si>
    <t>CAMCORP INTERESTS LTD</t>
  </si>
  <si>
    <t>10410 WINDEMERE LAKES BLVD</t>
  </si>
  <si>
    <t>0157-03-029-0000-914</t>
  </si>
  <si>
    <t>*0157030290000914*</t>
  </si>
  <si>
    <t>FLORES TRANSITO O &amp; MARIA C</t>
  </si>
  <si>
    <t>TRANSITO OSWALDO FLORES</t>
  </si>
  <si>
    <t>MARIA CONSUELO FLORES</t>
  </si>
  <si>
    <t>OSWALDO E FLORES</t>
  </si>
  <si>
    <t>26810 PRAIRIE LN</t>
  </si>
  <si>
    <t>0158-00-000-0106-907</t>
  </si>
  <si>
    <t>*0158000000106907*</t>
  </si>
  <si>
    <t>SOUTHWELL INVESTMENTS LLC</t>
  </si>
  <si>
    <t>SUNBELT TREES LLC</t>
  </si>
  <si>
    <t>16008 SAM BROOKINS ST</t>
  </si>
  <si>
    <t>0158-00-000-2401-907</t>
  </si>
  <si>
    <t>*0158000002401907*</t>
  </si>
  <si>
    <t>JAFRI PROPERTIES LLC</t>
  </si>
  <si>
    <t>PROVIDENCE TITLE COMPANY</t>
  </si>
  <si>
    <t>7219 FAIRMONT OARKWAY SUITE 115</t>
  </si>
  <si>
    <t>PASADENA</t>
  </si>
  <si>
    <t>0158-00-000-2650-907</t>
  </si>
  <si>
    <t>*0158000002650907*</t>
  </si>
  <si>
    <t>ANSAR-UD DEED SOCIETY OF NIGERIA SO</t>
  </si>
  <si>
    <t>FIRST AMERICAN TITLE INSURANCE CO</t>
  </si>
  <si>
    <t>24275 KATY FRWY STE 120</t>
  </si>
  <si>
    <t>0158-00-000-2658-907</t>
  </si>
  <si>
    <t>*0158000002658907*</t>
  </si>
  <si>
    <t>SORANAKA MATTHEU HARRY &amp; ALMY QUIAM</t>
  </si>
  <si>
    <t>CONNECT TITLE LLC</t>
  </si>
  <si>
    <t>21418 PROVINCIAL BLVD</t>
  </si>
  <si>
    <t>0158-00-000-3204-907</t>
  </si>
  <si>
    <t>*0158000003204907*</t>
  </si>
  <si>
    <t>HARRIS IVORY SMITH</t>
  </si>
  <si>
    <t>PAMELA W MOORE</t>
  </si>
  <si>
    <t>16020 1/2 SAM BROOKINS ST</t>
  </si>
  <si>
    <t>0160-00-000-7310-906</t>
  </si>
  <si>
    <t>*0160000007310906*</t>
  </si>
  <si>
    <t>MAROUL FRANK JR</t>
  </si>
  <si>
    <t>FRANKIE M MAROUL</t>
  </si>
  <si>
    <t>BETH M MAROUL</t>
  </si>
  <si>
    <t>PAT MAROUL</t>
  </si>
  <si>
    <t>14042 SHENLEY RD</t>
  </si>
  <si>
    <t>GUY</t>
  </si>
  <si>
    <t>0166-00-000-0630-906</t>
  </si>
  <si>
    <t>*0166000000630906*</t>
  </si>
  <si>
    <t>SNEDECOR STEVEN DEAN</t>
  </si>
  <si>
    <t>JIMMIE SNEDECOR</t>
  </si>
  <si>
    <t>15336 MUECK RD</t>
  </si>
  <si>
    <t>0170-00-000-3012-907</t>
  </si>
  <si>
    <t>*0170000003012907*</t>
  </si>
  <si>
    <t>MURRAY KEVIN L</t>
  </si>
  <si>
    <t xml:space="preserve">4910 DOREEN                             </t>
  </si>
  <si>
    <t xml:space="preserve">ROSHARON                </t>
  </si>
  <si>
    <t>0170-00-000-3048-907</t>
  </si>
  <si>
    <t>*0170000003048907*</t>
  </si>
  <si>
    <t>GONZALEZ ADVENTO S &amp; BRIGIDA</t>
  </si>
  <si>
    <t>ADVENTO GONZALEZ</t>
  </si>
  <si>
    <t>213 POST RD</t>
  </si>
  <si>
    <t>ARCOLA</t>
  </si>
  <si>
    <t>0170-00-000-6203-907</t>
  </si>
  <si>
    <t>*0170000006203907*</t>
  </si>
  <si>
    <t>WHITE CLAY MILTON</t>
  </si>
  <si>
    <t>PAMELA POLK WHITE</t>
  </si>
  <si>
    <t>875 W LITTLE YORK RD</t>
  </si>
  <si>
    <t>0171-00-000-0165-907</t>
  </si>
  <si>
    <t>*0171000000165907*</t>
  </si>
  <si>
    <t>GRAND MISSION MUD 2</t>
  </si>
  <si>
    <t xml:space="preserve">C/O COATS ROSE PC                       </t>
  </si>
  <si>
    <t xml:space="preserve">9 GREENWAY PLZ                          </t>
  </si>
  <si>
    <t xml:space="preserve">STE 1000                                </t>
  </si>
  <si>
    <t>0193-00-000-3621-907</t>
  </si>
  <si>
    <t>*0193000003621907*</t>
  </si>
  <si>
    <t>REYNA JOSE M &amp; MARIA E</t>
  </si>
  <si>
    <t>JOSE M REYNA</t>
  </si>
  <si>
    <t>15310 SAM RD</t>
  </si>
  <si>
    <t>0193-00-000-3924-907</t>
  </si>
  <si>
    <t>*0193000003924907*</t>
  </si>
  <si>
    <t>GARCIA SANTOS &amp; AURORA</t>
  </si>
  <si>
    <t xml:space="preserve">15327 PAUL RD                           </t>
  </si>
  <si>
    <t>0193-00-000-4147-907</t>
  </si>
  <si>
    <t>*0193000004147907*</t>
  </si>
  <si>
    <t>RODRIGUEZ ANTONIO &amp; GABRIELA ROSALE</t>
  </si>
  <si>
    <t>YECENIA BORJA</t>
  </si>
  <si>
    <t>15227 W BELLFORT ST</t>
  </si>
  <si>
    <t>0193-00-000-4361-907</t>
  </si>
  <si>
    <t>*0193000004361907*</t>
  </si>
  <si>
    <t>RUIZ RUBEN &amp; RAUL RUIZ</t>
  </si>
  <si>
    <t>RAUL RUIZ</t>
  </si>
  <si>
    <t>15102 ADELFINA ST</t>
  </si>
  <si>
    <t>0193-00-000-4367-907</t>
  </si>
  <si>
    <t>*0193000004367907*</t>
  </si>
  <si>
    <t>FLORES OTILA</t>
  </si>
  <si>
    <t>ROSA FLORES BANDA</t>
  </si>
  <si>
    <t>18711 BUFFALO RIVER WAY</t>
  </si>
  <si>
    <t>0193-00-001-4368-907</t>
  </si>
  <si>
    <t>*0193000014368907*</t>
  </si>
  <si>
    <t>NIETO NARCISO</t>
  </si>
  <si>
    <t xml:space="preserve">15126B FRANK RD                         </t>
  </si>
  <si>
    <t>0207-00-001-0211-901</t>
  </si>
  <si>
    <t>*0207000010211901*</t>
  </si>
  <si>
    <t>SANFORD GEORGE H &amp; DELORA Y WALDROF</t>
  </si>
  <si>
    <t>D WALDROFF</t>
  </si>
  <si>
    <t>2422 TEXANA WAY</t>
  </si>
  <si>
    <t>0211-00-009-0020-901</t>
  </si>
  <si>
    <t>*0211000090020901*</t>
  </si>
  <si>
    <t>SAB JUBILEE LLC</t>
  </si>
  <si>
    <t>CELEBRITY TITLE COMPANY LLC</t>
  </si>
  <si>
    <t>1650 HIGHWAY 6 S STE 160</t>
  </si>
  <si>
    <t>0213-00-015-0065-901</t>
  </si>
  <si>
    <t>*0213000150065901*</t>
  </si>
  <si>
    <t>RODRIGUEZ RAFE</t>
  </si>
  <si>
    <t>2717 COMMERICIAL CENTER BLVD STE J200</t>
  </si>
  <si>
    <t>0219-00-000-2112-906</t>
  </si>
  <si>
    <t>*0219000002112906*</t>
  </si>
  <si>
    <t>LUCAS LUKE &amp; SANDI L</t>
  </si>
  <si>
    <t xml:space="preserve">146J  J BARBER RD                       </t>
  </si>
  <si>
    <t xml:space="preserve">REFUGIO                 </t>
  </si>
  <si>
    <t>0222-00-000-0470-906</t>
  </si>
  <si>
    <t>*0222000000470906*</t>
  </si>
  <si>
    <t>ENTRUST RETIREMENT SERVICES F/B/O W</t>
  </si>
  <si>
    <t>QUEST TRUST COMPANY</t>
  </si>
  <si>
    <t>17171 PARK ROW STE 100</t>
  </si>
  <si>
    <t>0222-00-000-0570-906</t>
  </si>
  <si>
    <t>*0222000000570906*</t>
  </si>
  <si>
    <t>0223-00-000-0021-906</t>
  </si>
  <si>
    <t>*0223000000021906*</t>
  </si>
  <si>
    <t>STATE OF TEXAS</t>
  </si>
  <si>
    <t>AUGUST AND CHARLES SCHENDEL TRUST</t>
  </si>
  <si>
    <t>OR WILLIAM R SHCENDEL III TRUSTEE</t>
  </si>
  <si>
    <t>208 ANDERSON RANCH LN</t>
  </si>
  <si>
    <t>FREINDSWOOD</t>
  </si>
  <si>
    <t>0226-00-000-0270-906</t>
  </si>
  <si>
    <t>*0226000000270906*</t>
  </si>
  <si>
    <t>OBERHOFF ELWOOD</t>
  </si>
  <si>
    <t xml:space="preserve">9921 PETERSON RD                        </t>
  </si>
  <si>
    <t>0228-00-000-0290-906</t>
  </si>
  <si>
    <t>*0228000000290906*</t>
  </si>
  <si>
    <t>RICHTER RENEE</t>
  </si>
  <si>
    <t>ROGER OR RENEE RICHTER</t>
  </si>
  <si>
    <t>12341 ROESLER RD.</t>
  </si>
  <si>
    <t>0228-00-000-0292-906</t>
  </si>
  <si>
    <t>*0228000000292906*</t>
  </si>
  <si>
    <t>RICHTER ROGER &amp; RENEE</t>
  </si>
  <si>
    <t>0228-00-000-2166-906</t>
  </si>
  <si>
    <t>*0228000002166906*</t>
  </si>
  <si>
    <t>RICHTER ROGER DALE &amp; RENEE</t>
  </si>
  <si>
    <t>0228-00-000-2180-906</t>
  </si>
  <si>
    <t>*0228000002180906*</t>
  </si>
  <si>
    <t>RICHTER ROGER</t>
  </si>
  <si>
    <t>0241-00-000-0744-906</t>
  </si>
  <si>
    <t>*0241000000744906*</t>
  </si>
  <si>
    <t>BARRIOS OSVIN HAROLDO CABALLEROS</t>
  </si>
  <si>
    <t>GENDY Y GUZMAN MENDEZ</t>
  </si>
  <si>
    <t>OSVIN H CABALLEROS</t>
  </si>
  <si>
    <t>13233 WEBB LN</t>
  </si>
  <si>
    <t>0241-00-000-0752-906</t>
  </si>
  <si>
    <t>*0241000000752906*</t>
  </si>
  <si>
    <t>CABALLEROS CESAR AUGUSTO</t>
  </si>
  <si>
    <t>CESAR CABALLEROS</t>
  </si>
  <si>
    <t>7127 GLENRIDGE LN</t>
  </si>
  <si>
    <t>0243-00-000-1330-906</t>
  </si>
  <si>
    <t>*0243000001330906*</t>
  </si>
  <si>
    <t>CEBALLOS LAURA</t>
  </si>
  <si>
    <t xml:space="preserve">10319 CREEK BEND DR                     </t>
  </si>
  <si>
    <t xml:space="preserve">6A                                      </t>
  </si>
  <si>
    <t>0247-00-000-1262-906</t>
  </si>
  <si>
    <t>*0247000001262906*</t>
  </si>
  <si>
    <t>360 REALTY GROUP LLC</t>
  </si>
  <si>
    <t>360 R LLC</t>
  </si>
  <si>
    <t>702 OVERDELL DR</t>
  </si>
  <si>
    <t>0254-00-000-0885-906</t>
  </si>
  <si>
    <t>*0254000000885906*</t>
  </si>
  <si>
    <t>GEORGI STACY &amp; KARL</t>
  </si>
  <si>
    <t>NICKY JERNIGAN</t>
  </si>
  <si>
    <t>15610 JOHN MILLER RD</t>
  </si>
  <si>
    <t>0291-00-000-0100-907</t>
  </si>
  <si>
    <t>*0291000000100907*</t>
  </si>
  <si>
    <t>ALLIED EQUITY PARTNERS LP</t>
  </si>
  <si>
    <t>ABDUL ZAKARIA</t>
  </si>
  <si>
    <t>6161 SAVOY DRSTE 904</t>
  </si>
  <si>
    <t>0310-00-000-0014-901</t>
  </si>
  <si>
    <t>*0310000000014901*</t>
  </si>
  <si>
    <t>RASKA TERRY A</t>
  </si>
  <si>
    <t>TERRY RASKA</t>
  </si>
  <si>
    <t>LISA A RASKA</t>
  </si>
  <si>
    <t>3238 KLOSTERHOFF RD</t>
  </si>
  <si>
    <t>0313-00-000-0181-907</t>
  </si>
  <si>
    <t>*0313000000181907*</t>
  </si>
  <si>
    <t>PARKS EDGE RESIDENTIAL COMMUNITY IN</t>
  </si>
  <si>
    <t>0332-00-001-0024-901</t>
  </si>
  <si>
    <t>*0332000010024901*</t>
  </si>
  <si>
    <t>MAY SAMANTHA</t>
  </si>
  <si>
    <t xml:space="preserve">2925 HIGHWAY  90A  W                    </t>
  </si>
  <si>
    <t>0341-00-000-0060-901</t>
  </si>
  <si>
    <t>*0341000000060901*</t>
  </si>
  <si>
    <t>0351-00-000-0029-901</t>
  </si>
  <si>
    <t>*0351000000029901*</t>
  </si>
  <si>
    <t>MAHLMANN BRENT</t>
  </si>
  <si>
    <t>NORMAN P KONZEM</t>
  </si>
  <si>
    <t>PO BOX 116</t>
  </si>
  <si>
    <t>BEASLEY</t>
  </si>
  <si>
    <t>0353-00-000-0009-901</t>
  </si>
  <si>
    <t>*0353000000009901*</t>
  </si>
  <si>
    <t>CATHEXIS LEGACY HOLDINGS LLC</t>
  </si>
  <si>
    <t xml:space="preserve">1000 LOUISIANA ST                       </t>
  </si>
  <si>
    <t xml:space="preserve">STE 7000                                </t>
  </si>
  <si>
    <t>0361-00-000-0322-907</t>
  </si>
  <si>
    <t>*0361000000322907*</t>
  </si>
  <si>
    <t>HA PHILLIP DUY &amp; AILINH THI NGUYEN</t>
  </si>
  <si>
    <t xml:space="preserve">10511 PULP MILL CT                      </t>
  </si>
  <si>
    <t>0388-00-000-0040-901</t>
  </si>
  <si>
    <t>*0388000000040901*</t>
  </si>
  <si>
    <t>FOYT BYPASS TRUST</t>
  </si>
  <si>
    <t>BEAZER HOMES TEXAS LP - HOUSTON</t>
  </si>
  <si>
    <t>10235 W LITTLE YORK RD STE 200</t>
  </si>
  <si>
    <t>0389-00-001-0090-906</t>
  </si>
  <si>
    <t>*0389000010090906*</t>
  </si>
  <si>
    <t>MARTINEZ CATALINA</t>
  </si>
  <si>
    <t>CATALINA MARTINEZ</t>
  </si>
  <si>
    <t>19445 DAVIS ESTATE RD # 9</t>
  </si>
  <si>
    <t>0389-00-001-0310-906</t>
  </si>
  <si>
    <t>*0389000010310906*</t>
  </si>
  <si>
    <t>MONTEMAYOR CARLA I</t>
  </si>
  <si>
    <t>CARLA MONTEMAYOR</t>
  </si>
  <si>
    <t>14014 DEL PAPA ST TRLR 411</t>
  </si>
  <si>
    <t>0389-00-125-0320-906</t>
  </si>
  <si>
    <t>*0389001250320906*</t>
  </si>
  <si>
    <t>TORRES TELESFORO ZUNIGA</t>
  </si>
  <si>
    <t>TELESFORO ZUNIGA TORRES</t>
  </si>
  <si>
    <t>5248 S WASHTENAW AVE</t>
  </si>
  <si>
    <t>CHICAGO</t>
  </si>
  <si>
    <t>IL</t>
  </si>
  <si>
    <t>0391-00-008-0100-901</t>
  </si>
  <si>
    <t>*0391000080100901*</t>
  </si>
  <si>
    <t>MORENO FRANK</t>
  </si>
  <si>
    <t>QUICKEN LOANS</t>
  </si>
  <si>
    <t>0408-00-072-0031-901</t>
  </si>
  <si>
    <t>*0408000720031901*</t>
  </si>
  <si>
    <t>CATHERINE MEYER LANGE TRUST</t>
  </si>
  <si>
    <t>CATHERINE M LANGE</t>
  </si>
  <si>
    <t>7 ELMCOURT ST</t>
  </si>
  <si>
    <t>SAN ANTONIO</t>
  </si>
  <si>
    <t>0446-00-000-0036-906</t>
  </si>
  <si>
    <t>*0446000000036906*</t>
  </si>
  <si>
    <t>ESKEW CARLA ETAL</t>
  </si>
  <si>
    <t>CARLA ESKEW</t>
  </si>
  <si>
    <t>17630 ROAD R</t>
  </si>
  <si>
    <t>0446-00-000-0052-906</t>
  </si>
  <si>
    <t>*0446000000052906*</t>
  </si>
  <si>
    <t>IBARRA JAIME &amp; ISABEL</t>
  </si>
  <si>
    <t>JAIME IBARRA</t>
  </si>
  <si>
    <t>4222 ROGERS ST.</t>
  </si>
  <si>
    <t>0449-00-000-0025-906</t>
  </si>
  <si>
    <t>*0449000000025906*</t>
  </si>
  <si>
    <t>HERNANDEZ SALOMON ETAL</t>
  </si>
  <si>
    <t>YOLANDA HERNANDEZ</t>
  </si>
  <si>
    <t>4907 DANFIELD DR</t>
  </si>
  <si>
    <t>0463-00-001-0016-914</t>
  </si>
  <si>
    <t>*0463000010016914*</t>
  </si>
  <si>
    <t>LAKESIDE VILLAS APARTMENTS LP</t>
  </si>
  <si>
    <t>LAKESIDE VILLAS APARTMENTS</t>
  </si>
  <si>
    <t>1700 WEST LOOP SOUTH STE 350</t>
  </si>
  <si>
    <t>0464-00-000-1897-906</t>
  </si>
  <si>
    <t>*0464000001897906*</t>
  </si>
  <si>
    <t>WENZEL DONALD P ESTATE</t>
  </si>
  <si>
    <t>DUSTIN P WENZEL</t>
  </si>
  <si>
    <t>27203 ALLIE CT</t>
  </si>
  <si>
    <t>SPRING</t>
  </si>
  <si>
    <t>0464-00-000-1971-906</t>
  </si>
  <si>
    <t>*0464000001971906*</t>
  </si>
  <si>
    <t>CEDAR CRYO TRANSPORT INC</t>
  </si>
  <si>
    <t>7834 FM 2977 RD</t>
  </si>
  <si>
    <t>0464-00-000-2230-906</t>
  </si>
  <si>
    <t>*0464000002230906*</t>
  </si>
  <si>
    <t>CASTANEDA ALFREDO</t>
  </si>
  <si>
    <t xml:space="preserve">6232 COUNTY ROAD 244                    </t>
  </si>
  <si>
    <t xml:space="preserve">BRAZORIA                </t>
  </si>
  <si>
    <t>0477-00-000-1020-906</t>
  </si>
  <si>
    <t>*0477000001020906*</t>
  </si>
  <si>
    <t>MARTINEZ MARIA E</t>
  </si>
  <si>
    <t xml:space="preserve">8819 NOBLE ST                           </t>
  </si>
  <si>
    <t>0477-00-000-1080-906</t>
  </si>
  <si>
    <t>*0477000001080906*</t>
  </si>
  <si>
    <t>BLYTHE JOHN ROBERT ESTATE</t>
  </si>
  <si>
    <t>JAMES L BLYTHE</t>
  </si>
  <si>
    <t>5780 SW 44TH ST</t>
  </si>
  <si>
    <t>PORT ORCHARD</t>
  </si>
  <si>
    <t>WA</t>
  </si>
  <si>
    <t>0479-00-000-1086-906</t>
  </si>
  <si>
    <t>*0479000001086906*</t>
  </si>
  <si>
    <t>MOORE KENNETH</t>
  </si>
  <si>
    <t>DREW WILLIAMS</t>
  </si>
  <si>
    <t>19298 FM 44 WEST</t>
  </si>
  <si>
    <t>DE KALB</t>
  </si>
  <si>
    <t>0479-00-000-1087-906</t>
  </si>
  <si>
    <t>*0479000001087906*</t>
  </si>
  <si>
    <t>HORTON CRYSTAL</t>
  </si>
  <si>
    <t>CRYSTAL HORTON</t>
  </si>
  <si>
    <t>3321 E BAYOU</t>
  </si>
  <si>
    <t>DICKINSON</t>
  </si>
  <si>
    <t>0482-00-000-0200-906</t>
  </si>
  <si>
    <t>*0482000000200906*</t>
  </si>
  <si>
    <t>ROENIGK ROBERT G JR</t>
  </si>
  <si>
    <t>ROBERT ROENIGK</t>
  </si>
  <si>
    <t>P O BOX 1127</t>
  </si>
  <si>
    <t>0485-00-012-0011-901</t>
  </si>
  <si>
    <t>*0485000120011901*</t>
  </si>
  <si>
    <t>EASTWOOD CARL JR</t>
  </si>
  <si>
    <t>HOU FT ESCROW TRUST ACCOUNT FTH 30</t>
  </si>
  <si>
    <t>2333 TOWN CENTER DR STE 200</t>
  </si>
  <si>
    <t>0491-00-068-0063-901</t>
  </si>
  <si>
    <t>*0491000680063901*</t>
  </si>
  <si>
    <t>JONES TARKUS</t>
  </si>
  <si>
    <t>KRISTIN JONES</t>
  </si>
  <si>
    <t>2727 SOUTHWEST FREEWAY</t>
  </si>
  <si>
    <t>0516-00-000-0015-906</t>
  </si>
  <si>
    <t>*0516000000015906*</t>
  </si>
  <si>
    <t>VERRET SEAN MICHAEL &amp; KELLY CAMPBEL</t>
  </si>
  <si>
    <t>KELLY C VERRET</t>
  </si>
  <si>
    <t>12330 DANNHAUS ROAD</t>
  </si>
  <si>
    <t>0516-00-000-0061-906</t>
  </si>
  <si>
    <t>*0516000000061906*</t>
  </si>
  <si>
    <t>VERRET SEAN M &amp; KELLY C</t>
  </si>
  <si>
    <t>0573-00-000-1031-906</t>
  </si>
  <si>
    <t>*0573000001031906*</t>
  </si>
  <si>
    <t>ROSENBERG HOLDINGS LLC</t>
  </si>
  <si>
    <t>DECLARATION TITLE</t>
  </si>
  <si>
    <t>6901 CORPORATE DR 102</t>
  </si>
  <si>
    <t>0594-00-000-0174-906</t>
  </si>
  <si>
    <t>*0594000000174906*</t>
  </si>
  <si>
    <t>TRIVITT MARY A</t>
  </si>
  <si>
    <t xml:space="preserve">P O BOX 741445                          </t>
  </si>
  <si>
    <t>0621-00-000-0521-906</t>
  </si>
  <si>
    <t>*0621000000521906*</t>
  </si>
  <si>
    <t>MANVILLE RANDALL &amp; CAROLYN</t>
  </si>
  <si>
    <t>RANDALL MANVILLE</t>
  </si>
  <si>
    <t>OR CAROLYN MANVILLE</t>
  </si>
  <si>
    <t>FARM ACCOUNT</t>
  </si>
  <si>
    <t>11410 JESKE RD</t>
  </si>
  <si>
    <t>0695-00-008-0050-901</t>
  </si>
  <si>
    <t>*0695000080050901*</t>
  </si>
  <si>
    <t>0695-00-008-0070-901</t>
  </si>
  <si>
    <t>*0695000080070901*</t>
  </si>
  <si>
    <t>0703-00-000-0283-906</t>
  </si>
  <si>
    <t>*0703000000283906*</t>
  </si>
  <si>
    <t>SCHUMANN DARRYL &amp; JAIME</t>
  </si>
  <si>
    <t>3001 HACKBERRY ROAD</t>
  </si>
  <si>
    <t>0750-00-000-0280-906</t>
  </si>
  <si>
    <t>*0750000000280906*</t>
  </si>
  <si>
    <t>MOORE MICHAEL SCOTT</t>
  </si>
  <si>
    <t>CORELOGIC</t>
  </si>
  <si>
    <t>0761-55-003-0016</t>
  </si>
  <si>
    <t>*0761550030016*</t>
  </si>
  <si>
    <t>11721 N GARDEN LP</t>
  </si>
  <si>
    <t>JEFF CORCORRAN</t>
  </si>
  <si>
    <t>2795 ROLLO RD</t>
  </si>
  <si>
    <t>SANTA ROSA</t>
  </si>
  <si>
    <t>0850-00-025-7646-906</t>
  </si>
  <si>
    <t>*0850000257646906*</t>
  </si>
  <si>
    <t>HARPER ROY &amp; LINDA</t>
  </si>
  <si>
    <t xml:space="preserve">5900 GUTTENBERGER RD                    </t>
  </si>
  <si>
    <t>0964-59-000-0019</t>
  </si>
  <si>
    <t>*0964590000019*</t>
  </si>
  <si>
    <t>NORRIS MALIKA</t>
  </si>
  <si>
    <t>SPECIALIZED LOAN SERVICING</t>
  </si>
  <si>
    <t>6200 S QUEBEC ST</t>
  </si>
  <si>
    <t>0983-09-000-0012</t>
  </si>
  <si>
    <t>*0983090000012*</t>
  </si>
  <si>
    <t>GARCIA NICOLAS M &amp; GUILLERMINA J</t>
  </si>
  <si>
    <t>AFFORDABLE HOME IMPROVEMENTS</t>
  </si>
  <si>
    <t>NICOLAS M GARCIA</t>
  </si>
  <si>
    <t>17619 QUIET LOCH LN</t>
  </si>
  <si>
    <t>1001-02-002-0190-907</t>
  </si>
  <si>
    <t>*1001020020190907*</t>
  </si>
  <si>
    <t>VU DONNA NGO</t>
  </si>
  <si>
    <t>INTERAMERICA TITLE GROUP LLC</t>
  </si>
  <si>
    <t>2200 WEST LOOP SOUTH STE 500</t>
  </si>
  <si>
    <t>1001-07-003-0260-907</t>
  </si>
  <si>
    <t>*1001070030260907*</t>
  </si>
  <si>
    <t>EWERE MERCY</t>
  </si>
  <si>
    <t xml:space="preserve">17410 BROWNING TRACE LN                 </t>
  </si>
  <si>
    <t>1001-07-004-0040-907</t>
  </si>
  <si>
    <t>*1001070040040907*</t>
  </si>
  <si>
    <t>QASIM ABOUL</t>
  </si>
  <si>
    <t>1001-09-003-0040-907</t>
  </si>
  <si>
    <t>*1001090030040907*</t>
  </si>
  <si>
    <t>ILIYAS SYED</t>
  </si>
  <si>
    <t>1001-20-001-0070-907</t>
  </si>
  <si>
    <t>*1001200010070907*</t>
  </si>
  <si>
    <t>AYANGA BERNARD A &amp; GRACE M CHIURI</t>
  </si>
  <si>
    <t>BERNARD AYANGA</t>
  </si>
  <si>
    <t>11002 SHETTLESTON DR</t>
  </si>
  <si>
    <t>1001-35-001-0210-907</t>
  </si>
  <si>
    <t>*1001350010210907*</t>
  </si>
  <si>
    <t>LAM THANG &amp; QUYEN LU</t>
  </si>
  <si>
    <t xml:space="preserve">17326 GALLOWAY FOREST DR                </t>
  </si>
  <si>
    <t>1001-36-001-0140-907</t>
  </si>
  <si>
    <t>*1001360010140907*</t>
  </si>
  <si>
    <t>ALI YEHIA &amp; SALWA KHATAB</t>
  </si>
  <si>
    <t>1511 CENLAR</t>
  </si>
  <si>
    <t>SERVICED BY CORELOGIC TAX SERVICES LLC</t>
  </si>
  <si>
    <t>1001-54-004-0150-907</t>
  </si>
  <si>
    <t>*1001540040150907*</t>
  </si>
  <si>
    <t>MARTINEZ ANTONIO &amp; ANGELICA</t>
  </si>
  <si>
    <t>AMROCK LLC - TEXAS ESCROW</t>
  </si>
  <si>
    <t>9800 HILLWOOD PKWY STE 150</t>
  </si>
  <si>
    <t>FORT WORTH</t>
  </si>
  <si>
    <t>1001-55-001-0120-907</t>
  </si>
  <si>
    <t>*1001550010120907*</t>
  </si>
  <si>
    <t>AMEY URIEL</t>
  </si>
  <si>
    <t>1001-56-007-0120-907</t>
  </si>
  <si>
    <t>*1001560070120907*</t>
  </si>
  <si>
    <t>YILMAZ ALI &amp; YASEMIN</t>
  </si>
  <si>
    <t>1001-69-001-0240-907</t>
  </si>
  <si>
    <t>*1001690010240907*</t>
  </si>
  <si>
    <t>MAKNOJIA RAFIK RAHIM &amp; ANISA</t>
  </si>
  <si>
    <t>RAFIK MAKNOJIA</t>
  </si>
  <si>
    <t>12511 HYDELAND DR</t>
  </si>
  <si>
    <t>1004-01-001-0100-907</t>
  </si>
  <si>
    <t>*1004010010100907*</t>
  </si>
  <si>
    <t>KHAKI AFTAB A &amp; SALIMA A</t>
  </si>
  <si>
    <t>AFTAB A KHAKI</t>
  </si>
  <si>
    <t>SALIMA A KHAKI</t>
  </si>
  <si>
    <t>3126 BRANNON HILL LN</t>
  </si>
  <si>
    <t>1004-02-002-0111-907</t>
  </si>
  <si>
    <t>*1004020020111907*</t>
  </si>
  <si>
    <t>PARSA2 ADAM A &amp; MARIAM MALIK</t>
  </si>
  <si>
    <t>1010-00-007-0180-908</t>
  </si>
  <si>
    <t>*1010000070180908*</t>
  </si>
  <si>
    <t>TRMMA INC</t>
  </si>
  <si>
    <t>1117 FM 359 SUITE 110</t>
  </si>
  <si>
    <t>1131-03-004-0130-907</t>
  </si>
  <si>
    <t>*1131030040130907*</t>
  </si>
  <si>
    <t>CROWNE PROPERTY ACQUISITIONS LLC</t>
  </si>
  <si>
    <t>COLD RIVER LAND LLC</t>
  </si>
  <si>
    <t>TAX PAYMENT ACCOUNT</t>
  </si>
  <si>
    <t>PO BOX 2249</t>
  </si>
  <si>
    <t>CUMMING</t>
  </si>
  <si>
    <t>GA</t>
  </si>
  <si>
    <t>1136-04-002-0070-914</t>
  </si>
  <si>
    <t>*1136040020070914*</t>
  </si>
  <si>
    <t>SUBERU AYODELE ADENIYI &amp; PATIENCE A</t>
  </si>
  <si>
    <t>AYODELE SUBERU</t>
  </si>
  <si>
    <t>28510 BUFFALO FORK LN</t>
  </si>
  <si>
    <t>1150-00-002-3300-907</t>
  </si>
  <si>
    <t>*1150000023300907*</t>
  </si>
  <si>
    <t>LANDA MARTIN RODRIGUEZ</t>
  </si>
  <si>
    <t xml:space="preserve">14619 CARADINE ST                       </t>
  </si>
  <si>
    <t>1150-00-004-1000-907</t>
  </si>
  <si>
    <t>*1150000041000907*</t>
  </si>
  <si>
    <t>OVATION SERVICES LLC</t>
  </si>
  <si>
    <t>OVATION SERVICES</t>
  </si>
  <si>
    <t>8401 DATAPOINT DR #1000</t>
  </si>
  <si>
    <t>1150-00-004-1110-907</t>
  </si>
  <si>
    <t>*1150000041110907*</t>
  </si>
  <si>
    <t>1150-00-004-5101-907</t>
  </si>
  <si>
    <t>*1150000045101907*</t>
  </si>
  <si>
    <t>BARRERA GELACIO &amp; JUANA CARRERA</t>
  </si>
  <si>
    <t>GELACIO BARRERA</t>
  </si>
  <si>
    <t>715 S PINE ST</t>
  </si>
  <si>
    <t>1150-00-004-5906-907</t>
  </si>
  <si>
    <t>*1150000045906907*</t>
  </si>
  <si>
    <t>SIMON REGINALD</t>
  </si>
  <si>
    <t xml:space="preserve">807 S PINE ST                           </t>
  </si>
  <si>
    <t>1187-45-003-0015</t>
  </si>
  <si>
    <t>*1187450030015*</t>
  </si>
  <si>
    <t>STARY JEFF D Y SELENA</t>
  </si>
  <si>
    <t xml:space="preserve">22810 CANTIGNY CT                       </t>
  </si>
  <si>
    <t xml:space="preserve">KATY                    </t>
  </si>
  <si>
    <t>1200-00-046-1800-907</t>
  </si>
  <si>
    <t>*1200000461800907*</t>
  </si>
  <si>
    <t>RHOADE BRIAN E &amp; XINYANG</t>
  </si>
  <si>
    <t>STARTEX TITLE AGENCY LLC</t>
  </si>
  <si>
    <t>STARTEX TITLE AGENCY LLC- BANK OF TEXAS</t>
  </si>
  <si>
    <t>9330 BROADWAY ST STE 330</t>
  </si>
  <si>
    <t>1200-00-060-1700-907</t>
  </si>
  <si>
    <t>*1200000601700907*</t>
  </si>
  <si>
    <t>PERKINS ABE &amp; AUDREY</t>
  </si>
  <si>
    <t>ABE A PERKINS</t>
  </si>
  <si>
    <t>AUDREY ANN PERKINS</t>
  </si>
  <si>
    <t>PO BOX 662</t>
  </si>
  <si>
    <t>ROSHARON</t>
  </si>
  <si>
    <t>1200-00-060-1701-907</t>
  </si>
  <si>
    <t>*1200000601701907*</t>
  </si>
  <si>
    <t xml:space="preserve">230 COMPTON                             </t>
  </si>
  <si>
    <t>1200-00-106-0501-907</t>
  </si>
  <si>
    <t>*1200001060501907*</t>
  </si>
  <si>
    <t>RD MOBILE HOMES LLC</t>
  </si>
  <si>
    <t>GUSTAVO CORONADO, JR.</t>
  </si>
  <si>
    <t>DBA CORONADO LANDSCAPING</t>
  </si>
  <si>
    <t>3010 WOOD ST</t>
  </si>
  <si>
    <t>FRESNO</t>
  </si>
  <si>
    <t>1258-01-002-0010-907</t>
  </si>
  <si>
    <t>*1258010020010907*</t>
  </si>
  <si>
    <t>DENNAR CLEMENT E &amp; UGBANA A</t>
  </si>
  <si>
    <t>CLEMENT E DENNAR</t>
  </si>
  <si>
    <t>12319 ASHFORD MEADOWS DR</t>
  </si>
  <si>
    <t>1258-05-002-0141-907</t>
  </si>
  <si>
    <t>*1258050020141907*</t>
  </si>
  <si>
    <t>CHOW WILLIAM</t>
  </si>
  <si>
    <t xml:space="preserve">11454 ASHFORD HAVEN DR                  </t>
  </si>
  <si>
    <t>1265-01-001-0182-901</t>
  </si>
  <si>
    <t>*1265010010182901*</t>
  </si>
  <si>
    <t>VARGAS-GUZMAN EMILIO G ETAL</t>
  </si>
  <si>
    <t>HENSLEY LEON ESTATE &amp; RAYDEAN HENSL</t>
  </si>
  <si>
    <t xml:space="preserve">1822 AUSTIN ST                          </t>
  </si>
  <si>
    <t>1270-00-000-0381-906</t>
  </si>
  <si>
    <t>*1270000000381906*</t>
  </si>
  <si>
    <t>FLORES JASON</t>
  </si>
  <si>
    <t>ULTIMATE BUILDING &amp; REMODELING INC</t>
  </si>
  <si>
    <t>4922 WOODWAY AVE</t>
  </si>
  <si>
    <t>1270-00-000-0510-906</t>
  </si>
  <si>
    <t>*1270000000510906*</t>
  </si>
  <si>
    <t>REEH REBECCA KUNZ</t>
  </si>
  <si>
    <t>BRAZOS VALLEY SCHOOLS CREDIT UNION</t>
  </si>
  <si>
    <t>25525 KATY MILLS PKWY</t>
  </si>
  <si>
    <t>1271-01-002-0070-907</t>
  </si>
  <si>
    <t>*1271010020070907*</t>
  </si>
  <si>
    <t>KOONG JAU S &amp; JOANNA J</t>
  </si>
  <si>
    <t xml:space="preserve">2731 OAKLAND DR                         </t>
  </si>
  <si>
    <t>JAU-SUH KOONG</t>
  </si>
  <si>
    <t>JOANNA KOONG</t>
  </si>
  <si>
    <t>570 WILCREST DR</t>
  </si>
  <si>
    <t>1272-02-006-0390-907</t>
  </si>
  <si>
    <t>*1272020060390907*</t>
  </si>
  <si>
    <t>GOREL LANCE &amp; MARILYN ETAL</t>
  </si>
  <si>
    <t>JOSEPH TAWIL</t>
  </si>
  <si>
    <t>1005 E DEL MAR BLVD</t>
  </si>
  <si>
    <t>LAREDO</t>
  </si>
  <si>
    <t>1273-01-001-0040-907</t>
  </si>
  <si>
    <t>*1273010010040907*</t>
  </si>
  <si>
    <t>THIBODEAUX-JACKSON MONIQUE A &amp; DAVI</t>
  </si>
  <si>
    <t>NORTH AMERICAN TITLE COMPANY</t>
  </si>
  <si>
    <t>1470 FIRST COLONY BLVD STE 210</t>
  </si>
  <si>
    <t>1273-01-003-0430-907</t>
  </si>
  <si>
    <t>*1273010030430907*</t>
  </si>
  <si>
    <t>JUDGE JOSEPH A JR</t>
  </si>
  <si>
    <t xml:space="preserve">431 HIGH MEADOWS DR                     </t>
  </si>
  <si>
    <t>1276-01-001-0140-907</t>
  </si>
  <si>
    <t>*1276010010140907*</t>
  </si>
  <si>
    <t>TIAN XIAOHONG</t>
  </si>
  <si>
    <t>HONGBO ZHANG</t>
  </si>
  <si>
    <t>3119 OLD MASTER DR</t>
  </si>
  <si>
    <t>1277-03-001-0080-914</t>
  </si>
  <si>
    <t>*1277030010080914*</t>
  </si>
  <si>
    <t>ALLEN ALVIN DAMEYON &amp; HOPE DIGGS</t>
  </si>
  <si>
    <t>ALVIN D ALLEN</t>
  </si>
  <si>
    <t>2838 RAINFLOWER MEADOW LN</t>
  </si>
  <si>
    <t>1281-02-002-0280-914</t>
  </si>
  <si>
    <t>*1281020020280914*</t>
  </si>
  <si>
    <t>BAIDEN KWESI A</t>
  </si>
  <si>
    <t xml:space="preserve">26219 HALBROOK GLEN LN                  </t>
  </si>
  <si>
    <t>1284-02-002-0010-907</t>
  </si>
  <si>
    <t>*1284020020010907*</t>
  </si>
  <si>
    <t>LIU ZHENGWEI &amp; XIAORUI GUAN</t>
  </si>
  <si>
    <t>ZHENGWEI LIU</t>
  </si>
  <si>
    <t>5923 BROOK BEND DR</t>
  </si>
  <si>
    <t>1284-03-002-0190-907</t>
  </si>
  <si>
    <t>*1284030020190907*</t>
  </si>
  <si>
    <t>MEKALA MALLA REDDY &amp; RAMASHILPA SUD</t>
  </si>
  <si>
    <t>MALLA MEKALA</t>
  </si>
  <si>
    <t>5514 CRANSTON CT</t>
  </si>
  <si>
    <t>1286-53-001-0130-907</t>
  </si>
  <si>
    <t>*1286530010130907*</t>
  </si>
  <si>
    <t>VIKAS VIKAS &amp; FNU SHAMA</t>
  </si>
  <si>
    <t>BLUEPRINT TITLE TX</t>
  </si>
  <si>
    <t>405 NORTH SAINT MARYS ST STE 800</t>
  </si>
  <si>
    <t>1286-53-001-0150-907</t>
  </si>
  <si>
    <t>*1286530010150907*</t>
  </si>
  <si>
    <t>BHEDA HARDIK RASHIK &amp; VARSHA BHASKA</t>
  </si>
  <si>
    <t>1286-86-002-0271-907</t>
  </si>
  <si>
    <t>*1286860020271907*</t>
  </si>
  <si>
    <t>MOOSA IMRAN</t>
  </si>
  <si>
    <t>1293-03-001-0120-907</t>
  </si>
  <si>
    <t>*1293030010120907*</t>
  </si>
  <si>
    <t>FRANCIS THOMAS &amp; SHERIN THOMAS</t>
  </si>
  <si>
    <t>FIDELITY NATIONAL TITLE INS CO</t>
  </si>
  <si>
    <t>601 RIVERSIDE AVE BLDG 5 6TH FL</t>
  </si>
  <si>
    <t>JACKSONVILLE</t>
  </si>
  <si>
    <t>FL</t>
  </si>
  <si>
    <t>1400-01-002-0150-907</t>
  </si>
  <si>
    <t>*1400010020150907*</t>
  </si>
  <si>
    <t>COCHINWALA MUSTAFA &amp; LISA PARRIS</t>
  </si>
  <si>
    <t>LISA PARRIS</t>
  </si>
  <si>
    <t>25 WINDERMERE LN</t>
  </si>
  <si>
    <t>1400-01-002-0160-907</t>
  </si>
  <si>
    <t>*1400010020160907*</t>
  </si>
  <si>
    <t>1400-01-007-0040-907</t>
  </si>
  <si>
    <t>*1400010070040907*</t>
  </si>
  <si>
    <t>BARRIOS JOE E &amp; CAROLINA T</t>
  </si>
  <si>
    <t>JOE BARRIOS</t>
  </si>
  <si>
    <t>2419 BARRINGTON PLACE DR</t>
  </si>
  <si>
    <t>1400-01-009-0320-907</t>
  </si>
  <si>
    <t>*1400010090320907*</t>
  </si>
  <si>
    <t>ZOLAYVAR PAUL B &amp; LYDIA V</t>
  </si>
  <si>
    <t>LERETA</t>
  </si>
  <si>
    <t>C/O LERETA-TEXAS OPERATIONS</t>
  </si>
  <si>
    <t>PO BOX 35605</t>
  </si>
  <si>
    <t>1400-02-007-0070-907</t>
  </si>
  <si>
    <t>*1400020070070907*</t>
  </si>
  <si>
    <t>BROWN ROBERT L &amp; CONNIE E</t>
  </si>
  <si>
    <t>C ELIZABETH BROWN</t>
  </si>
  <si>
    <t>2131 COLLINGSFIELD</t>
  </si>
  <si>
    <t>1400-03-005-0190-907</t>
  </si>
  <si>
    <t>*1400030050190907*</t>
  </si>
  <si>
    <t>RODRIGUEZ JOEL EDWARD</t>
  </si>
  <si>
    <t>MILLER TITLE LLC-ESCROW ACCOUNT</t>
  </si>
  <si>
    <t>10185 CUSTER RD STE 300</t>
  </si>
  <si>
    <t>1400-51-001-0030-907</t>
  </si>
  <si>
    <t>*1400510010030907*</t>
  </si>
  <si>
    <t>NGO JAMIE A &amp; SON HA</t>
  </si>
  <si>
    <t>TITLE HOUSTON HOLDINGS LTD</t>
  </si>
  <si>
    <t>DBA TITLE HOUSTON HOLDINGS</t>
  </si>
  <si>
    <t>7500 SAN FELIPE SUITE 1020</t>
  </si>
  <si>
    <t>1401-00-000-0330-901</t>
  </si>
  <si>
    <t>*1401000000330901*</t>
  </si>
  <si>
    <t>SCHMIDT NANCY</t>
  </si>
  <si>
    <t xml:space="preserve">2411 HICKORY WAY                        </t>
  </si>
  <si>
    <t>1405-01-001-0150-907</t>
  </si>
  <si>
    <t>*1405010010150907*</t>
  </si>
  <si>
    <t>STEVENSON ANNE V</t>
  </si>
  <si>
    <t>ANNE V STEVENSON TTEE</t>
  </si>
  <si>
    <t>ANNE V STEVERSON REV TRUST</t>
  </si>
  <si>
    <t>403 NIGHTHAWK COURT</t>
  </si>
  <si>
    <t>1405-01-002-0100-907</t>
  </si>
  <si>
    <t>*1405010020100907*</t>
  </si>
  <si>
    <t>KITTY LING LING CHAN TRUST 3-9-2015</t>
  </si>
  <si>
    <t>KITTY CHAN</t>
  </si>
  <si>
    <t>150 ALTO LOMA</t>
  </si>
  <si>
    <t>MILLBRAE</t>
  </si>
  <si>
    <t>1415-02-003-0080-901</t>
  </si>
  <si>
    <t>*1415020030080901*</t>
  </si>
  <si>
    <t>GIBSON MELISSA R</t>
  </si>
  <si>
    <t>GRANT GIBSON</t>
  </si>
  <si>
    <t>16360 PARK TEN PLACE STE 206</t>
  </si>
  <si>
    <t>1425-00-048-0030-901</t>
  </si>
  <si>
    <t>*1425000480030901*</t>
  </si>
  <si>
    <t>ALBRIGHT GRETCHEN MARIE</t>
  </si>
  <si>
    <t>TEXAS AMERICAN TITLE COMPANY</t>
  </si>
  <si>
    <t>4610 SWEETWATER BLVD STE 100</t>
  </si>
  <si>
    <t>1450-00-000-0302-907</t>
  </si>
  <si>
    <t>*1450000000302907*</t>
  </si>
  <si>
    <t>JAIN SOCIETY OF HOUSTON INC</t>
  </si>
  <si>
    <t xml:space="preserve">3905 ARC ST                             </t>
  </si>
  <si>
    <t>1450-00-000-2604-907</t>
  </si>
  <si>
    <t>*1450000002604907*</t>
  </si>
  <si>
    <t>KUANG MICHELLE XIAO YUN</t>
  </si>
  <si>
    <t>MICHELLE X KUANG</t>
  </si>
  <si>
    <t>12612 W BELLFORT AVE</t>
  </si>
  <si>
    <t>1500-02-001-0300-907</t>
  </si>
  <si>
    <t>*1500020010300907*</t>
  </si>
  <si>
    <t>CAIN KIMBERLY GOERLITZ</t>
  </si>
  <si>
    <t>MICHEAL HEATHCOCK</t>
  </si>
  <si>
    <t>5930 FM 723</t>
  </si>
  <si>
    <t>1537-01-001-0171-907</t>
  </si>
  <si>
    <t>*1537010010171907*</t>
  </si>
  <si>
    <t>NAIR SIVAKANTH</t>
  </si>
  <si>
    <t>FREEDOM MORTGAGE</t>
  </si>
  <si>
    <t>907 PLEASANT VALLEY AVE STE 3</t>
  </si>
  <si>
    <t>MT LAUREL</t>
  </si>
  <si>
    <t>1550-01-002-0410-907</t>
  </si>
  <si>
    <t>*1550010020410907*</t>
  </si>
  <si>
    <t>EVANS ALVIN A &amp; BERTHA A</t>
  </si>
  <si>
    <t xml:space="preserve">4007 MISSION VALLEY DR                  </t>
  </si>
  <si>
    <t xml:space="preserve">MISSOURI CITY           </t>
  </si>
  <si>
    <t>1615-01-000-0015-901</t>
  </si>
  <si>
    <t>*1615010000015901*</t>
  </si>
  <si>
    <t>PLAZA ON FM 1640 LLC</t>
  </si>
  <si>
    <t xml:space="preserve">ATTN: SALMAN Q MIRAJWALA                </t>
  </si>
  <si>
    <t xml:space="preserve">12651 BRIAR FOREST DR                   </t>
  </si>
  <si>
    <t xml:space="preserve">STE 350                                 </t>
  </si>
  <si>
    <t>1651-05-001-0140-901</t>
  </si>
  <si>
    <t>*1651050010140901*</t>
  </si>
  <si>
    <t>FREDERICK DEVLIN</t>
  </si>
  <si>
    <t xml:space="preserve">9706 CHEAT MOUNTAIN CT                  </t>
  </si>
  <si>
    <t>1651-05-001-0300-901</t>
  </si>
  <si>
    <t>*1651050010300901*</t>
  </si>
  <si>
    <t>CEK ALI &amp; MERVE</t>
  </si>
  <si>
    <t>ALI E CEK</t>
  </si>
  <si>
    <t>9606 SUMTER CT</t>
  </si>
  <si>
    <t>1651-05-001-0570-901</t>
  </si>
  <si>
    <t>*1651050010570901*</t>
  </si>
  <si>
    <t>BANFIELD DAVE RICHARD</t>
  </si>
  <si>
    <t xml:space="preserve">9515 WHEATFIELD LN                      </t>
  </si>
  <si>
    <t>1651-07-003-0250-901</t>
  </si>
  <si>
    <t>*1651070030250901*</t>
  </si>
  <si>
    <t>WANG ZHIPING</t>
  </si>
  <si>
    <t xml:space="preserve">8819  JONQIL DR                         </t>
  </si>
  <si>
    <t>1651-08-000-0030-901</t>
  </si>
  <si>
    <t>*1651080000030901*</t>
  </si>
  <si>
    <t>BEAZER HOMES TEXAS LP</t>
  </si>
  <si>
    <t xml:space="preserve">10235 W LITTLE YORK RD                  </t>
  </si>
  <si>
    <t xml:space="preserve">STE 200                                 </t>
  </si>
  <si>
    <t>1695-01-001-0040-901</t>
  </si>
  <si>
    <t>*1695010010040901*</t>
  </si>
  <si>
    <t>PEZZIA WILLY &amp; PATRICIA A</t>
  </si>
  <si>
    <t xml:space="preserve">5419 GOLDEN MANOR DR                    </t>
  </si>
  <si>
    <t>1850-02-001-0180-907</t>
  </si>
  <si>
    <t>*1850020010180907*</t>
  </si>
  <si>
    <t>CALLOWAY LEROY &amp; LARUNDA</t>
  </si>
  <si>
    <t>BNT OF TEXAS LLC</t>
  </si>
  <si>
    <t>2801 NETWORK BLVD STE 105</t>
  </si>
  <si>
    <t>FRISCO</t>
  </si>
  <si>
    <t>1855-00-011-0150-901</t>
  </si>
  <si>
    <t>*1855000110150901*</t>
  </si>
  <si>
    <t>GARCIA SISTA</t>
  </si>
  <si>
    <t xml:space="preserve">1600 BRANCH AVE                         </t>
  </si>
  <si>
    <t>1860-01-002-0010-901</t>
  </si>
  <si>
    <t>*1860010020010901*</t>
  </si>
  <si>
    <t>WILSON ROBIN &amp; ROCKY H</t>
  </si>
  <si>
    <t>ROCKY H WILSON</t>
  </si>
  <si>
    <t>6406 N SHORE BND</t>
  </si>
  <si>
    <t>1865-02-010-0160-901</t>
  </si>
  <si>
    <t>*1865020100160901*</t>
  </si>
  <si>
    <t>GARCIA KEVIN</t>
  </si>
  <si>
    <t>FRONTIER TITLE COMPANY - WH LLC</t>
  </si>
  <si>
    <t>1865-02-012-0020-901</t>
  </si>
  <si>
    <t>*1865020120020901*</t>
  </si>
  <si>
    <t>PAUL E GASTON REVOCABLE TRUST</t>
  </si>
  <si>
    <t xml:space="preserve">16 BRYNWOOD LN                          </t>
  </si>
  <si>
    <t xml:space="preserve">GREENWICH               </t>
  </si>
  <si>
    <t>1865-02-016-0100-901</t>
  </si>
  <si>
    <t>*1865020160100901*</t>
  </si>
  <si>
    <t>CURFMAN BRIAN</t>
  </si>
  <si>
    <t>AMROCK LLC TEXAS ESCROW</t>
  </si>
  <si>
    <t>9800 HILLWOOD PARKWAY STE 150</t>
  </si>
  <si>
    <t>1865-03-038-0110-901</t>
  </si>
  <si>
    <t>*1865030380110901*</t>
  </si>
  <si>
    <t>FLORES JOE</t>
  </si>
  <si>
    <t>JOE FLORES</t>
  </si>
  <si>
    <t>5253 LOS ARBOLES AVE</t>
  </si>
  <si>
    <t>BROWNSVILLE</t>
  </si>
  <si>
    <t>1865-03-042-0051-901</t>
  </si>
  <si>
    <t>*1865030420051901*</t>
  </si>
  <si>
    <t>GOOTEE JAY LANCE &amp; STACEY ANN</t>
  </si>
  <si>
    <t>JAY L GOOTEE</t>
  </si>
  <si>
    <t>420 FORT BEND DR.</t>
  </si>
  <si>
    <t>1865-03-045-0090-901</t>
  </si>
  <si>
    <t>*1865030450090901*</t>
  </si>
  <si>
    <t>BANK OF NEW YORK MELLON</t>
  </si>
  <si>
    <t xml:space="preserve">1600 S DOUGLASS RD                      </t>
  </si>
  <si>
    <t xml:space="preserve">STE 200 A                               </t>
  </si>
  <si>
    <t xml:space="preserve">ANAHEIM                 </t>
  </si>
  <si>
    <t>1900-00-026-0160-903</t>
  </si>
  <si>
    <t>*1900000260160903*</t>
  </si>
  <si>
    <t>LOZANO HUBALDO &amp; CHRISTINA</t>
  </si>
  <si>
    <t>HUBALDO LOZANO</t>
  </si>
  <si>
    <t>CRISTINA LOZANO</t>
  </si>
  <si>
    <t>ORCHARD</t>
  </si>
  <si>
    <t>1952-01-002-0250-901</t>
  </si>
  <si>
    <t>*1952010020250901*</t>
  </si>
  <si>
    <t>KHAN ASIF</t>
  </si>
  <si>
    <t>NORTH STAR TITLE COMPANY LLC</t>
  </si>
  <si>
    <t>1305 ANTOINE DR</t>
  </si>
  <si>
    <t>1952-02-005-0010-901</t>
  </si>
  <si>
    <t>*1952020050010901*</t>
  </si>
  <si>
    <t>TEXAS LUXURY LIVING INC</t>
  </si>
  <si>
    <t>FRONTIER TITLE COMPANY WH LLC</t>
  </si>
  <si>
    <t>8030 FM 359 SUITE G</t>
  </si>
  <si>
    <t>2000-00-004-0600-910</t>
  </si>
  <si>
    <t>*2000000040600910*</t>
  </si>
  <si>
    <t>COOPER RONALD W</t>
  </si>
  <si>
    <t>NEW DAWN ENTERPRISES</t>
  </si>
  <si>
    <t>14019 SOUTHWEST FWY 301</t>
  </si>
  <si>
    <t>2011-01-002-0200-901</t>
  </si>
  <si>
    <t>*2011010020200901*</t>
  </si>
  <si>
    <t>CARTER PATRICK</t>
  </si>
  <si>
    <t>EXODUS TITLE LLC</t>
  </si>
  <si>
    <t>14505 TORREY CHASE SUITE 100</t>
  </si>
  <si>
    <t>2015-01-005-0150-901</t>
  </si>
  <si>
    <t>*2015010050150901*</t>
  </si>
  <si>
    <t>BIELAMOWICZ GERALD S &amp; THERESA L</t>
  </si>
  <si>
    <t>GERALD S OR T LYNN BIELAMOWICZ</t>
  </si>
  <si>
    <t>2709 MADISON AVE</t>
  </si>
  <si>
    <t>2150-01-010-4700-907</t>
  </si>
  <si>
    <t>*2150010104700907*</t>
  </si>
  <si>
    <t>BOULDIN M L &amp; HELEN</t>
  </si>
  <si>
    <t xml:space="preserve">6802 INDIAN FALLS DR                    </t>
  </si>
  <si>
    <t>2150-02-008-0600-907</t>
  </si>
  <si>
    <t>*2150020080600907*</t>
  </si>
  <si>
    <t>ROGERS CEDRIC</t>
  </si>
  <si>
    <t>9800 HILLWOOD PARKWAY SUITE 150</t>
  </si>
  <si>
    <t>2150-02-008-0800-907</t>
  </si>
  <si>
    <t>*2150020080800907*</t>
  </si>
  <si>
    <t>OZUNA CODY</t>
  </si>
  <si>
    <t>LOANCARE</t>
  </si>
  <si>
    <t>PO BOX 8068</t>
  </si>
  <si>
    <t>VIRGINIA BEACH</t>
  </si>
  <si>
    <t>VA</t>
  </si>
  <si>
    <t>2150-02-009-3300-907</t>
  </si>
  <si>
    <t>*2150020093300907*</t>
  </si>
  <si>
    <t>GOMEZ ANTONIO</t>
  </si>
  <si>
    <t xml:space="preserve">7018 CASTLEVIEW LN                      </t>
  </si>
  <si>
    <t>2150-02-014-0100-907</t>
  </si>
  <si>
    <t>*2150020140100907*</t>
  </si>
  <si>
    <t>MOORE WALLACE A &amp; JUANITA</t>
  </si>
  <si>
    <t>W A MOORE</t>
  </si>
  <si>
    <t>J S MOORE</t>
  </si>
  <si>
    <t>7319 TOWERVIEW</t>
  </si>
  <si>
    <t>2150-02-014-3500-907</t>
  </si>
  <si>
    <t>*2150020143500907*</t>
  </si>
  <si>
    <t>DICKSON ROBERT L II &amp; ROBBIE</t>
  </si>
  <si>
    <t>2150-03-007-2500-907</t>
  </si>
  <si>
    <t>*2150030072500907*</t>
  </si>
  <si>
    <t>OPENDOOR PROPERTY TRUST I</t>
  </si>
  <si>
    <t>OSN TEXAS LLC ESCROW ACCOUNT</t>
  </si>
  <si>
    <t>2701 DALLAS PKWY STE 340</t>
  </si>
  <si>
    <t>2150-03-008-3100-907</t>
  </si>
  <si>
    <t>*2150030083100907*</t>
  </si>
  <si>
    <t>WEBB SAMUEL L &amp; RENNE M</t>
  </si>
  <si>
    <t>TITLE PARTNERS</t>
  </si>
  <si>
    <t>13131 DAIRY ASHFORD RD STE 125</t>
  </si>
  <si>
    <t>2150-03-011-1900-907</t>
  </si>
  <si>
    <t>*2150030111900907*</t>
  </si>
  <si>
    <t>HAMILTON TONYA DENISE</t>
  </si>
  <si>
    <t>LATONYA HAMILTON CANTY</t>
  </si>
  <si>
    <t>15819 CHIMNEY ROCK RD</t>
  </si>
  <si>
    <t>2150-04-001-0920-907</t>
  </si>
  <si>
    <t>*2150040010920907*</t>
  </si>
  <si>
    <t>PACE BOBBIE B &amp; BILLY R</t>
  </si>
  <si>
    <t>2251 COUNTY ROAD 94</t>
  </si>
  <si>
    <t>2150-04-003-0200-907</t>
  </si>
  <si>
    <t>*2150040030200907*</t>
  </si>
  <si>
    <t>CAMPBELL MARY MAE PETERS ESTATE</t>
  </si>
  <si>
    <t>PRIMEWAY</t>
  </si>
  <si>
    <t>PO BOX 53088</t>
  </si>
  <si>
    <t>2150-04-003-6500-907</t>
  </si>
  <si>
    <t>*2150040036500907*</t>
  </si>
  <si>
    <t>ROBERT R HILL &amp; ASSOCIATES LLC</t>
  </si>
  <si>
    <t>A B J PROPERTY MANAGEMENT INC</t>
  </si>
  <si>
    <t>PO BOX 313</t>
  </si>
  <si>
    <t>BARKER</t>
  </si>
  <si>
    <t>2150-05-015-0270-907</t>
  </si>
  <si>
    <t>*2150050150270907*</t>
  </si>
  <si>
    <t>MALONE HERMAN</t>
  </si>
  <si>
    <t>COMMUNITY OF FAITH CHURCH</t>
  </si>
  <si>
    <t>16107 KESINGTON DR SUITE 414</t>
  </si>
  <si>
    <t>2150-06-003-0600-907</t>
  </si>
  <si>
    <t>*2150060030600907*</t>
  </si>
  <si>
    <t>PAYNE GENEVA</t>
  </si>
  <si>
    <t xml:space="preserve">7010 MACZALI DR                         </t>
  </si>
  <si>
    <t>2150-06-003-0710-907</t>
  </si>
  <si>
    <t>*2150060030710907*</t>
  </si>
  <si>
    <t>HORTON URENENA A</t>
  </si>
  <si>
    <t>URENENA HORTON</t>
  </si>
  <si>
    <t>12810 QUAIL CREEK</t>
  </si>
  <si>
    <t>5870 THRUSH DR.</t>
  </si>
  <si>
    <t>2150-06-016-0010-907</t>
  </si>
  <si>
    <t>*2150060160010907*</t>
  </si>
  <si>
    <t>HOOPER ROBERT L</t>
  </si>
  <si>
    <t xml:space="preserve">6923 TRIGATE DR                         </t>
  </si>
  <si>
    <t>2150-08-007-0200-907</t>
  </si>
  <si>
    <t>*2150080070200907*</t>
  </si>
  <si>
    <t>GARCIA ALEJANDRO &amp; NELLY S GONZALEZ</t>
  </si>
  <si>
    <t>NELLY GONZALEZ</t>
  </si>
  <si>
    <t>7510 MACZALI DRIVE</t>
  </si>
  <si>
    <t>2150-08-007-0230-907</t>
  </si>
  <si>
    <t>*2150080070230907*</t>
  </si>
  <si>
    <t>LOGAN THURMAN D</t>
  </si>
  <si>
    <t xml:space="preserve">15911 MACZALI CT                        </t>
  </si>
  <si>
    <t>2150-09-002-0060-907</t>
  </si>
  <si>
    <t>*2150090020060907*</t>
  </si>
  <si>
    <t>CAHANIN J C</t>
  </si>
  <si>
    <t xml:space="preserve">6511 BAZEL BROOK DR                     </t>
  </si>
  <si>
    <t>2150-09-003-0271-907</t>
  </si>
  <si>
    <t>*2150090030271907*</t>
  </si>
  <si>
    <t>CRUZ IGNACIA</t>
  </si>
  <si>
    <t xml:space="preserve">15587 RAVEN TRL                         </t>
  </si>
  <si>
    <t>2150-09-004-0940-907</t>
  </si>
  <si>
    <t>*2150090040940907*</t>
  </si>
  <si>
    <t>WOODARDS FLOYD &amp; HELEN R</t>
  </si>
  <si>
    <t xml:space="preserve">15511 WINTER BRIAR DR                   </t>
  </si>
  <si>
    <t>2150-09-004-1060-907</t>
  </si>
  <si>
    <t>*2150090041060907*</t>
  </si>
  <si>
    <t>LOPEZ SALVADOR &amp; MARIA</t>
  </si>
  <si>
    <t>MILADY J LOPEZ</t>
  </si>
  <si>
    <t>6318 W RIDGECREEK</t>
  </si>
  <si>
    <t>2152-01-004-0090-901</t>
  </si>
  <si>
    <t>*2152010040090901*</t>
  </si>
  <si>
    <t>BOSTANI GHULAM ETAL</t>
  </si>
  <si>
    <t>BCHH TITLE OF TEXAS LLC</t>
  </si>
  <si>
    <t>TEXAS MAIN ESCROW</t>
  </si>
  <si>
    <t>8668 JOHN HICKMAN PKWY STE 203</t>
  </si>
  <si>
    <t>2152-14-001-0300-901</t>
  </si>
  <si>
    <t>*2152140010300901*</t>
  </si>
  <si>
    <t>WILLIAMS STANLEY E &amp; TOMIKAH LOROSE</t>
  </si>
  <si>
    <t>SOUTH LAND TITLE</t>
  </si>
  <si>
    <t>15915 KATY FWY STE 170</t>
  </si>
  <si>
    <t>2155-01-002-0130-907</t>
  </si>
  <si>
    <t>*2155010020130907*</t>
  </si>
  <si>
    <t>RIEBSCHLAGER MATTHEW ETAL</t>
  </si>
  <si>
    <t>8742 LUCENT BLVD STE 300</t>
  </si>
  <si>
    <t>HIGHLAND RANCH</t>
  </si>
  <si>
    <t>2156-04-002-0520-901</t>
  </si>
  <si>
    <t>*2156040020520901*</t>
  </si>
  <si>
    <t>MBIDOAKA EMMANUEL &amp; KATE ALOKA</t>
  </si>
  <si>
    <t>EVENING STAR HEALTHCARE INC</t>
  </si>
  <si>
    <t>6111 EVENING SUN CT</t>
  </si>
  <si>
    <t>2160-00-000-0240-906</t>
  </si>
  <si>
    <t>*2160000000240906*</t>
  </si>
  <si>
    <t>ROGUE PEDRO JIMENEZ &amp; MARIA DELALUZ</t>
  </si>
  <si>
    <t>KRISTAL ORELLANA</t>
  </si>
  <si>
    <t>6602 COUNTRY LN</t>
  </si>
  <si>
    <t>2168-72-2</t>
  </si>
  <si>
    <t>*2168722*</t>
  </si>
  <si>
    <t>NCVEN CORPORATION</t>
  </si>
  <si>
    <t xml:space="preserve">2501 S MASON RD STE 237                 </t>
  </si>
  <si>
    <t>2175-01-024-1040-907</t>
  </si>
  <si>
    <t>*2175010241040907*</t>
  </si>
  <si>
    <t>SHYNE JO ANN &amp; JIMMY</t>
  </si>
  <si>
    <t>JOANN HARRIS</t>
  </si>
  <si>
    <t>5643 LYCOMB DR</t>
  </si>
  <si>
    <t>2175-02-024-0080-907</t>
  </si>
  <si>
    <t>*2175020240080907*</t>
  </si>
  <si>
    <t>WOOTEN DEBRA</t>
  </si>
  <si>
    <t>DEBRA A ROBINSON</t>
  </si>
  <si>
    <t>16215 SAMOA WAY</t>
  </si>
  <si>
    <t>2177-01-001-0290-907</t>
  </si>
  <si>
    <t>*2177010010290907*</t>
  </si>
  <si>
    <t>LOPEZ LAURENCIA CUADROS</t>
  </si>
  <si>
    <t>JOSE LUIS L PORTILLA</t>
  </si>
  <si>
    <t>6315 MARINWOOD DR.</t>
  </si>
  <si>
    <t>2177-01-004-0521-907</t>
  </si>
  <si>
    <t>*2177010040521907*</t>
  </si>
  <si>
    <t>EDENS SANDRA D</t>
  </si>
  <si>
    <t xml:space="preserve">6318 COSTA MESA DR                      </t>
  </si>
  <si>
    <t>2177-01-004-0790-907</t>
  </si>
  <si>
    <t>*2177010040790907*</t>
  </si>
  <si>
    <t>VARNER LEATHA C</t>
  </si>
  <si>
    <t xml:space="preserve">16306 SAN MATEO DR                      </t>
  </si>
  <si>
    <t>2177-02-001-0480-907</t>
  </si>
  <si>
    <t>*2177020010480907*</t>
  </si>
  <si>
    <t>ALISIGWE AUGUSTA</t>
  </si>
  <si>
    <t>DAUGHTERS OF MARY MOTHER OF MERC</t>
  </si>
  <si>
    <t>6211 SONOMA WAY</t>
  </si>
  <si>
    <t>2208-03-001-0090-901</t>
  </si>
  <si>
    <t>*2208030010090901*</t>
  </si>
  <si>
    <t>KB HOME LOAN STAR INC.</t>
  </si>
  <si>
    <t>FIRST AMERICAN TITLE INSURENCE COMPANY</t>
  </si>
  <si>
    <t>11314 RICHMOND AVENUE</t>
  </si>
  <si>
    <t>2215-00-004-0040-907</t>
  </si>
  <si>
    <t>*2215000040040907*</t>
  </si>
  <si>
    <t>W HOLT HOLDINGS LLC</t>
  </si>
  <si>
    <t>US DEPARTMENT OF TREASURY</t>
  </si>
  <si>
    <t>BUREAU OF THE FISCAL SERVICE</t>
  </si>
  <si>
    <t>P O BOX 51320</t>
  </si>
  <si>
    <t>PHILADELPHIA</t>
  </si>
  <si>
    <t>2215-02-002-0130-907</t>
  </si>
  <si>
    <t>*2215020020130907*</t>
  </si>
  <si>
    <t>CORRAL-CANO SIGIFREDO</t>
  </si>
  <si>
    <t>SIGIFREDO CORRAL</t>
  </si>
  <si>
    <t>8311 CHELSEA BEND CT</t>
  </si>
  <si>
    <t>2221-02-002-0100-907</t>
  </si>
  <si>
    <t>*2221020020100907*</t>
  </si>
  <si>
    <t>QURAISH MOHAMMED ABDULLAH</t>
  </si>
  <si>
    <t>ABDULLAH QURAISH</t>
  </si>
  <si>
    <t>14230 ASHMORE REEF CT</t>
  </si>
  <si>
    <t>2221-02-002-0110-907</t>
  </si>
  <si>
    <t>*2221020020110907*</t>
  </si>
  <si>
    <t>ZACHARIA SUNIMOL &amp; MANOJ THOMAS</t>
  </si>
  <si>
    <t>COTTONWOOD CLOSING COMPANY LLC</t>
  </si>
  <si>
    <t>7070 KNIGHTS CT STE 401</t>
  </si>
  <si>
    <t>2245-01-002-0090-901</t>
  </si>
  <si>
    <t>*2245010020090901*</t>
  </si>
  <si>
    <t>ALI MOHAMMAD MUNAF</t>
  </si>
  <si>
    <t>SUN SHINES STAR CORPORATION</t>
  </si>
  <si>
    <t>DBA SUNRISE SUPER STOP</t>
  </si>
  <si>
    <t>10602 FUQUA ST</t>
  </si>
  <si>
    <t>2245-02-002-0170-901</t>
  </si>
  <si>
    <t>*2245020020170901*</t>
  </si>
  <si>
    <t>ABBAS ZAHEER</t>
  </si>
  <si>
    <t>ZAHEER ABBAS</t>
  </si>
  <si>
    <t>1207 OAK CANYON LN</t>
  </si>
  <si>
    <t>2245-06-004-0322-901</t>
  </si>
  <si>
    <t>*2245060040322901*</t>
  </si>
  <si>
    <t>MONSOOR MAAZ ALI</t>
  </si>
  <si>
    <t xml:space="preserve">1523 ROCKY BAR LN                       </t>
  </si>
  <si>
    <t>2245-09-001-0161-901</t>
  </si>
  <si>
    <t>*2245090010161901*</t>
  </si>
  <si>
    <t>HANIF MUHAMMAD</t>
  </si>
  <si>
    <t>FAIZAN HANIF</t>
  </si>
  <si>
    <t>5515 CARTA VALLEY LN</t>
  </si>
  <si>
    <t>2245-09-001-0162-901</t>
  </si>
  <si>
    <t>*2245090010162901*</t>
  </si>
  <si>
    <t>HANIF FAIZAN</t>
  </si>
  <si>
    <t>2245-09-001-0163-901</t>
  </si>
  <si>
    <t>*2245090010163901*</t>
  </si>
  <si>
    <t>ZAKARIA AHMED</t>
  </si>
  <si>
    <t>2245-11-001-0260-901</t>
  </si>
  <si>
    <t>*2245110010260901*</t>
  </si>
  <si>
    <t>PACE WAYNE A &amp; REBECCA A</t>
  </si>
  <si>
    <t>WAYNE A PACE</t>
  </si>
  <si>
    <t>OR REBECCA A PACE</t>
  </si>
  <si>
    <t>1114 DEEP RIVER DR</t>
  </si>
  <si>
    <t>2248-01-002-0300-901</t>
  </si>
  <si>
    <t>*2248010020300901*</t>
  </si>
  <si>
    <t>REVENAUGH ROBERT L SR &amp; BARBARA A</t>
  </si>
  <si>
    <t xml:space="preserve">11011 RIGGS MILL LN                     </t>
  </si>
  <si>
    <t>2248-02-003-0140-901</t>
  </si>
  <si>
    <t>*2248020030140901*</t>
  </si>
  <si>
    <t>HATCH JOHN</t>
  </si>
  <si>
    <t>CORELOGIC TAX SERVICES</t>
  </si>
  <si>
    <t>2249-22-0</t>
  </si>
  <si>
    <t>*2249220*</t>
  </si>
  <si>
    <t>LOS BALITOS TACOS SHOP</t>
  </si>
  <si>
    <t xml:space="preserve">LIZETH'S TACO SHOP LLC                  </t>
  </si>
  <si>
    <t xml:space="preserve">3200 S FRY RD                           </t>
  </si>
  <si>
    <t>2251-04-001-0270-914</t>
  </si>
  <si>
    <t>*2251040010270914*</t>
  </si>
  <si>
    <t>JUAREZ JESSICA JASMIN</t>
  </si>
  <si>
    <t>PROVIDENCE TITLE  COMPANY</t>
  </si>
  <si>
    <t>5120 WOODWAY DR STE 7036</t>
  </si>
  <si>
    <t>DECORATIVE CENTER OF HOUSTON</t>
  </si>
  <si>
    <t>2251-04-003-0191-914</t>
  </si>
  <si>
    <t>*2251040030191914*</t>
  </si>
  <si>
    <t>BUTTON ROXANNE</t>
  </si>
  <si>
    <t>C/O CORELOGIC TAX SERVICES LLC</t>
  </si>
  <si>
    <t>2251-06-002-0020-914</t>
  </si>
  <si>
    <t>*2251060020020914*</t>
  </si>
  <si>
    <t>GOKDEMIR HACER &amp; OKTAY METIN</t>
  </si>
  <si>
    <t>OKTAY M GOKDEMIR</t>
  </si>
  <si>
    <t>20502 VERDE CANYON DR</t>
  </si>
  <si>
    <t>2254-01-002-0350-914</t>
  </si>
  <si>
    <t>*2254010020350914*</t>
  </si>
  <si>
    <t>STANLEY THEODORE &amp; LATASHA J</t>
  </si>
  <si>
    <t>THEODORE STANLEY</t>
  </si>
  <si>
    <t>27406 CANYON REACH DR</t>
  </si>
  <si>
    <t>2255-01-001-0111-901</t>
  </si>
  <si>
    <t>*2255010010111901*</t>
  </si>
  <si>
    <t>ODUOK2 CHRIS</t>
  </si>
  <si>
    <t>CENLAR</t>
  </si>
  <si>
    <t>SERV BY CORELOGIC TAX SERVICE LLC</t>
  </si>
  <si>
    <t>2255-01-002-0020-901</t>
  </si>
  <si>
    <t>*2255010020020901*</t>
  </si>
  <si>
    <t>SALEEM MOHAMAD &amp; FARIDA M</t>
  </si>
  <si>
    <t>2255-01-002-0021-901</t>
  </si>
  <si>
    <t>*2255010020021901*</t>
  </si>
  <si>
    <t>SIDDIQUE NEELOFAR</t>
  </si>
  <si>
    <t>2255-01-003-0420-901</t>
  </si>
  <si>
    <t>*2255010030420901*</t>
  </si>
  <si>
    <t>BHAMANI RAMZAN A</t>
  </si>
  <si>
    <t xml:space="preserve">1218 WATERMOON                          </t>
  </si>
  <si>
    <t>2255-01-003-0440-901</t>
  </si>
  <si>
    <t>*2255010030440901*</t>
  </si>
  <si>
    <t>PAN YAO &amp; JIAOLING ZOU</t>
  </si>
  <si>
    <t>DOUGLAS D ALORGBEY</t>
  </si>
  <si>
    <t>6721 HERMOSO DEL SOL</t>
  </si>
  <si>
    <t>EL PASO</t>
  </si>
  <si>
    <t>2256-01-001-0210-901</t>
  </si>
  <si>
    <t>*2256010010210901*</t>
  </si>
  <si>
    <t>HARRIS ROBIN</t>
  </si>
  <si>
    <t xml:space="preserve">13406  HEDGLEY PL                       </t>
  </si>
  <si>
    <t>2256-02-006-0040-901</t>
  </si>
  <si>
    <t>*2256020060040901*</t>
  </si>
  <si>
    <t>ELGHAWANMEH BASIM</t>
  </si>
  <si>
    <t>FLOORS M LLC</t>
  </si>
  <si>
    <t>25607 KINCIAD CT</t>
  </si>
  <si>
    <t>2257-02-004-0170-901</t>
  </si>
  <si>
    <t>*2257020040170901*</t>
  </si>
  <si>
    <t>CHAPELLI BLAS DE LA LUZ</t>
  </si>
  <si>
    <t>HIGHLANDS RANCH</t>
  </si>
  <si>
    <t>2259-01-002-0450-914</t>
  </si>
  <si>
    <t>*2259010020450914*</t>
  </si>
  <si>
    <t>GLEASON GREGORY C &amp; BETH S</t>
  </si>
  <si>
    <t xml:space="preserve">4310 MAILY MEADOW LN                    </t>
  </si>
  <si>
    <t>2259-02-001-0500-914</t>
  </si>
  <si>
    <t>*2259020010500914*</t>
  </si>
  <si>
    <t>MIGLICCO JEFFERY &amp; ERICA</t>
  </si>
  <si>
    <t xml:space="preserve">22923 DEFOREST RIDGE LN                 </t>
  </si>
  <si>
    <t>2263-05-002-0070-914</t>
  </si>
  <si>
    <t>*2263050020070914*</t>
  </si>
  <si>
    <t>ADESIDA ADEBAYO BANKOLE</t>
  </si>
  <si>
    <t>MOYOSORE OLAJIGA</t>
  </si>
  <si>
    <t>3410 WALKER FALLS LN</t>
  </si>
  <si>
    <t>2265-01-002-0120-914</t>
  </si>
  <si>
    <t>*2265010020120914*</t>
  </si>
  <si>
    <t>DRAKE CYNTHIA L</t>
  </si>
  <si>
    <t>GREAT AMERICAN TITLE COMPANY</t>
  </si>
  <si>
    <t>25410 NW FWY STE B-10</t>
  </si>
  <si>
    <t>CYPRESS</t>
  </si>
  <si>
    <t>2265-03-002-0291-914</t>
  </si>
  <si>
    <t>*2265030020291914*</t>
  </si>
  <si>
    <t>NAIK SAMIR MAHABALESHWAR</t>
  </si>
  <si>
    <t>SAMIR NAIK</t>
  </si>
  <si>
    <t>VINANTI S NAIK</t>
  </si>
  <si>
    <t>9723 DILL CANYON LN</t>
  </si>
  <si>
    <t>2267-01-001-0340-914</t>
  </si>
  <si>
    <t>*2267010010340914*</t>
  </si>
  <si>
    <t>SHILTS BARBARA C &amp; JOHN R</t>
  </si>
  <si>
    <t xml:space="preserve">21314 SOMERSET PARK LN                  </t>
  </si>
  <si>
    <t>2267-01-002-0080-914</t>
  </si>
  <si>
    <t>*2267010020080914*</t>
  </si>
  <si>
    <t>MOSS WAYNE &amp; RITA</t>
  </si>
  <si>
    <t xml:space="preserve">21106 SOMERSET PARK LN                  </t>
  </si>
  <si>
    <t>2269-04-002-0040-914</t>
  </si>
  <si>
    <t>*2269040020040914*</t>
  </si>
  <si>
    <t>ALLEN MARGARET ANN</t>
  </si>
  <si>
    <t>JAMES C HARVIE JR AKA MATT HARVIE</t>
  </si>
  <si>
    <t>SHERRYL A HARVIE</t>
  </si>
  <si>
    <t>2307 MERRIL HILLS CR</t>
  </si>
  <si>
    <t>2271-03-001-0110-914</t>
  </si>
  <si>
    <t>*2271030010110914*</t>
  </si>
  <si>
    <t>ZHAO XIAODONG &amp; YING CHEN</t>
  </si>
  <si>
    <t>CHARTER TITLE COMPANY</t>
  </si>
  <si>
    <t>AMEGY BANK 1821 CH 4750</t>
  </si>
  <si>
    <t>1717 W LOOP S 12TH FL</t>
  </si>
  <si>
    <t>2271-04-003-0040-914</t>
  </si>
  <si>
    <t>*2271040030040914*</t>
  </si>
  <si>
    <t>POULIN MICHAEL P &amp; BETSY L ROSS-POU</t>
  </si>
  <si>
    <t xml:space="preserve">3507 CINCO LAKES DR                     </t>
  </si>
  <si>
    <t>2271-04-003-0100-914</t>
  </si>
  <si>
    <t>*2271040030100914*</t>
  </si>
  <si>
    <t>JOHNSTON BRYAN L &amp; MEGAN M</t>
  </si>
  <si>
    <t>SUNTRUST BANK</t>
  </si>
  <si>
    <t>CORELOGIC INC AS AGENT FOR SUNTRUST BANK</t>
  </si>
  <si>
    <t>2271-05-003-0050-914</t>
  </si>
  <si>
    <t>*2271050030050914*</t>
  </si>
  <si>
    <t>MOORE AMY MICHELLE</t>
  </si>
  <si>
    <t>2271-05-004-0290-914</t>
  </si>
  <si>
    <t>*2271050040290914*</t>
  </si>
  <si>
    <t>BRUMMETT GENEAL DUNN</t>
  </si>
  <si>
    <t xml:space="preserve">3003 FAIR DAWN CT                       </t>
  </si>
  <si>
    <t>2273-02-002-0180-914</t>
  </si>
  <si>
    <t>*2273020020180914*</t>
  </si>
  <si>
    <t>OWEN MARGARET CATHERINE ESTATE</t>
  </si>
  <si>
    <t>UNITED STATES TREASURY</t>
  </si>
  <si>
    <t>PO BOX 51320</t>
  </si>
  <si>
    <t>2273-08-001-0790-914</t>
  </si>
  <si>
    <t>*2273080010790914*</t>
  </si>
  <si>
    <t>HACKETT MICHAEL A &amp; SUE</t>
  </si>
  <si>
    <t xml:space="preserve">23214 GREENRUSH DR                      </t>
  </si>
  <si>
    <t>2273-11-002-0640-914</t>
  </si>
  <si>
    <t>*2273110020640914*</t>
  </si>
  <si>
    <t>JORDA EDUARDO E &amp; OLIVIA M</t>
  </si>
  <si>
    <t>EDUARDO JORDA</t>
  </si>
  <si>
    <t>5410 MONTBURY LN</t>
  </si>
  <si>
    <t>2274-02-003-0040-914</t>
  </si>
  <si>
    <t>*2274020030040914*</t>
  </si>
  <si>
    <t>HALVORSON STEVEN C</t>
  </si>
  <si>
    <t xml:space="preserve">22515 PARKVINE LN                       </t>
  </si>
  <si>
    <t>2274-04-003-0320-914</t>
  </si>
  <si>
    <t>*2274040030320914*</t>
  </si>
  <si>
    <t>SHOW ME PROPERTIES LLC</t>
  </si>
  <si>
    <t>JPMORGAN CHASE BANK NA</t>
  </si>
  <si>
    <t>2274-05-002-0200-914</t>
  </si>
  <si>
    <t>*2274050020200914*</t>
  </si>
  <si>
    <t>HEBERT GYPSY R</t>
  </si>
  <si>
    <t>PATTEN TITLE COMPANY</t>
  </si>
  <si>
    <t>820 GESSNER DR ST 220</t>
  </si>
  <si>
    <t>2276-01-001-0360-914</t>
  </si>
  <si>
    <t>*2276010010360914*</t>
  </si>
  <si>
    <t>CAMMARATA DONNA L</t>
  </si>
  <si>
    <t xml:space="preserve">6406 TOWNSGATE CIR                      </t>
  </si>
  <si>
    <t>2276-01-002-0030-914</t>
  </si>
  <si>
    <t>*2276010020030914*</t>
  </si>
  <si>
    <t>TALLEY BENJAMIN</t>
  </si>
  <si>
    <t>2276-01-004-0030-914</t>
  </si>
  <si>
    <t>*2276010040030914*</t>
  </si>
  <si>
    <t>BAKER COURTNEY Y &amp; JASON M</t>
  </si>
  <si>
    <t>M&amp;T BANK</t>
  </si>
  <si>
    <t>PO BOX 1288</t>
  </si>
  <si>
    <t>BUFFALO</t>
  </si>
  <si>
    <t>NY</t>
  </si>
  <si>
    <t>2276-03-004-0480-914</t>
  </si>
  <si>
    <t>*2276030040480914*</t>
  </si>
  <si>
    <t>LAWRENCE SUSAN</t>
  </si>
  <si>
    <t>LOANCARE A SERVICELINK COMPANY</t>
  </si>
  <si>
    <t>2278-06-001-0210-914</t>
  </si>
  <si>
    <t>*2278060010210914*</t>
  </si>
  <si>
    <t>OKOKO BLESSING &amp; ONYEKWERE N</t>
  </si>
  <si>
    <t>BLESSING ONYENYE OKOKO</t>
  </si>
  <si>
    <t>9415 HERONS GROVE LN</t>
  </si>
  <si>
    <t>2278-12-001-0350-914</t>
  </si>
  <si>
    <t>*2278120010350914*</t>
  </si>
  <si>
    <t>SHRIVER DONALD JR &amp; DEBORAH</t>
  </si>
  <si>
    <t>DEBORAH T SHRIVER</t>
  </si>
  <si>
    <t>9530 AMETHYST ARBOR LANE</t>
  </si>
  <si>
    <t>2278-16-001-0110-914</t>
  </si>
  <si>
    <t>*2278160010110914*</t>
  </si>
  <si>
    <t>BELLEVILLE KARLA ETAL</t>
  </si>
  <si>
    <t>ONE NATIION TITLE LLC</t>
  </si>
  <si>
    <t>ESCROW ACCOUNT KIRKWOOD MEMORIAL</t>
  </si>
  <si>
    <t>14201 MEMORIAL DR</t>
  </si>
  <si>
    <t>2278-23-005-0170-914</t>
  </si>
  <si>
    <t>*2278230050170914*</t>
  </si>
  <si>
    <t>WONG SHEUNG K &amp; JEANETTE PINEDA</t>
  </si>
  <si>
    <t>AGAUSTIN WONG</t>
  </si>
  <si>
    <t>24439 RANCHWOOD SPRINGS LN</t>
  </si>
  <si>
    <t>2278-24-002-0100-914</t>
  </si>
  <si>
    <t>*2278240020100914*</t>
  </si>
  <si>
    <t>SHAHAN GREGORY</t>
  </si>
  <si>
    <t>GREGORY SHAHAN</t>
  </si>
  <si>
    <t>6134 GATEWOOD MANOR DR</t>
  </si>
  <si>
    <t>2278-26-005-0100-914</t>
  </si>
  <si>
    <t>*2278260050100914*</t>
  </si>
  <si>
    <t>HUNTER JEFFREY J &amp; CHRISTINA ANDRUS</t>
  </si>
  <si>
    <t>2278-29-002-0020-914</t>
  </si>
  <si>
    <t>*2278290020020914*</t>
  </si>
  <si>
    <t>ARCURI ANDREW C &amp; JULIA A</t>
  </si>
  <si>
    <t>2278-32-003-0110-914</t>
  </si>
  <si>
    <t>*2278320030110914*</t>
  </si>
  <si>
    <t>BRICENO ALBERTO</t>
  </si>
  <si>
    <t xml:space="preserve">4711 MIDDLEWOOD MANOR LN                </t>
  </si>
  <si>
    <t>2278-34-001-0080-914</t>
  </si>
  <si>
    <t>*2278340010080914*</t>
  </si>
  <si>
    <t>CHANG JUN YONG &amp; YULING SHI</t>
  </si>
  <si>
    <t>PLASTIQ</t>
  </si>
  <si>
    <t>1475 FOLSOM ST STE 400</t>
  </si>
  <si>
    <t>SAN FRANCISCO</t>
  </si>
  <si>
    <t>2278-38-001-0490-914</t>
  </si>
  <si>
    <t>*2278380010490914*</t>
  </si>
  <si>
    <t>MATA DE NUNEZ LEIZA OFELIA</t>
  </si>
  <si>
    <t>LEIZA O MATA DE NUNEZ</t>
  </si>
  <si>
    <t>24911 BAY MIST RIDGE LN</t>
  </si>
  <si>
    <t>2278-38-001-0500-914</t>
  </si>
  <si>
    <t>*2278380010500914*</t>
  </si>
  <si>
    <t>2278-56-001-0150-914</t>
  </si>
  <si>
    <t>*2278560010150914*</t>
  </si>
  <si>
    <t>SRIBHASHYAM KULASEKHAR &amp; PRASANTHI</t>
  </si>
  <si>
    <t xml:space="preserve">10206 KESSLER COVE LN                   </t>
  </si>
  <si>
    <t>2278-69-002-0100-914</t>
  </si>
  <si>
    <t>*2278690020100914*</t>
  </si>
  <si>
    <t>GAA KIRK &amp; JENNIFER</t>
  </si>
  <si>
    <t>2278-70-001-0050-914</t>
  </si>
  <si>
    <t>*2278700010050914*</t>
  </si>
  <si>
    <t>VILLANUEVA ALAN C &amp; MARIAM K</t>
  </si>
  <si>
    <t>NATIONSTAR MORTGAGE</t>
  </si>
  <si>
    <t>2278-71-002-0060-914</t>
  </si>
  <si>
    <t>*2278710020060914*</t>
  </si>
  <si>
    <t>NUNEZ DANIEL A &amp; VERONICA LICERAS</t>
  </si>
  <si>
    <t>DANIEL NUNEZ</t>
  </si>
  <si>
    <t>2279-01-001-0190-914</t>
  </si>
  <si>
    <t>*2279010010190914*</t>
  </si>
  <si>
    <t>ZHU WU</t>
  </si>
  <si>
    <t>HOU FT ESCROW TRUST</t>
  </si>
  <si>
    <t>ACCOUNT FTH 89F</t>
  </si>
  <si>
    <t>2825 WILCREST DR STE 559</t>
  </si>
  <si>
    <t>2279-04-001-0110-914</t>
  </si>
  <si>
    <t>*2279040010110914*</t>
  </si>
  <si>
    <t>COLLINS LAMBERT &amp; LORETTA</t>
  </si>
  <si>
    <t>PENNYMAC LOAN SERVICES LLC</t>
  </si>
  <si>
    <t>PO BOX 514387</t>
  </si>
  <si>
    <t>LOS ANGELES</t>
  </si>
  <si>
    <t>2279-06-003-0330-914</t>
  </si>
  <si>
    <t>*2279060030330914*</t>
  </si>
  <si>
    <t>SPICER JAMIE &amp; MELISSA</t>
  </si>
  <si>
    <t>JAMIE SPICER</t>
  </si>
  <si>
    <t>3022 CUMBERLAND BROOK LANE</t>
  </si>
  <si>
    <t>2279-07-001-0020-914</t>
  </si>
  <si>
    <t>*2279070010020914*</t>
  </si>
  <si>
    <t>BRIX &amp; STIX INC</t>
  </si>
  <si>
    <t xml:space="preserve">4834 BELL MOUNTAIN DR                   </t>
  </si>
  <si>
    <t>2279-07-001-0280-914</t>
  </si>
  <si>
    <t>*2279070010280914*</t>
  </si>
  <si>
    <t>VARDHAN HARSH &amp; RENUKA KAUL</t>
  </si>
  <si>
    <t>SPRING GREEN PHARMACY</t>
  </si>
  <si>
    <t>1443 FM 1463 RD STE 650</t>
  </si>
  <si>
    <t>2279-08-002-0280-914</t>
  </si>
  <si>
    <t>*2279080020280914*</t>
  </si>
  <si>
    <t>LEE KYU JIN</t>
  </si>
  <si>
    <t xml:space="preserve">2907 CHAPEL ROCK CT                     </t>
  </si>
  <si>
    <t>2290-01-002-0210-914</t>
  </si>
  <si>
    <t>*2290010020210914*</t>
  </si>
  <si>
    <t>BRASEN ULRIK &amp; JOHANNA ELIZABETH</t>
  </si>
  <si>
    <t>KNUT ULRIK BRASEN</t>
  </si>
  <si>
    <t>23718 COLLINFORD CT</t>
  </si>
  <si>
    <t>2290-01-002-0350-914</t>
  </si>
  <si>
    <t>*2290010020350914*</t>
  </si>
  <si>
    <t>BRASEN KNUT ULRIK &amp; JOHANNA ELISABE</t>
  </si>
  <si>
    <t>2290-05-003-0480-914</t>
  </si>
  <si>
    <t>*2290050030480914*</t>
  </si>
  <si>
    <t>COHEN YASMIN &amp; DOGU EREN SOYLU</t>
  </si>
  <si>
    <t>ZILLOW CLOSING SERVICES TX LLC</t>
  </si>
  <si>
    <t>ZCS TX ESCROW ACCOUNT</t>
  </si>
  <si>
    <t>5215 N O CONNOR BLVD STE 1200</t>
  </si>
  <si>
    <t>2290-07-001-0120-914</t>
  </si>
  <si>
    <t>*2290070010120914*</t>
  </si>
  <si>
    <t>LOO ALEX G &amp; TANIA</t>
  </si>
  <si>
    <t>ALEX LOO</t>
  </si>
  <si>
    <t>3230 LOGANCREST CT</t>
  </si>
  <si>
    <t>2290-13-001-0400-914</t>
  </si>
  <si>
    <t>*2290130010400914*</t>
  </si>
  <si>
    <t>ORTIZ JUAN A &amp; BLANCA G</t>
  </si>
  <si>
    <t>BLANCA ORTIZ</t>
  </si>
  <si>
    <t>26722 LUCAS CANYON LANE</t>
  </si>
  <si>
    <t>2290-15-003-0710-914</t>
  </si>
  <si>
    <t>*2290150030710914*</t>
  </si>
  <si>
    <t>BASHIR NIGHAT</t>
  </si>
  <si>
    <t>NIGHAT BASHIR</t>
  </si>
  <si>
    <t>4210 WINDY CHASE LN</t>
  </si>
  <si>
    <t>2290-18-002-0120-914</t>
  </si>
  <si>
    <t>*2290180020120914*</t>
  </si>
  <si>
    <t>WATERS WILLIAM P &amp; DEBRA S</t>
  </si>
  <si>
    <t>DEBRA S WATERS</t>
  </si>
  <si>
    <t>22702 ROYAL ARMS CT</t>
  </si>
  <si>
    <t>2290-21-001-0180-914</t>
  </si>
  <si>
    <t>*2290210010180914*</t>
  </si>
  <si>
    <t>ADODO HOPE &amp; GEORGE</t>
  </si>
  <si>
    <t>CREATION LIVING CENTER</t>
  </si>
  <si>
    <t>16325 WESTHEIMER ROAD SUITE 101</t>
  </si>
  <si>
    <t>2290-24-001-0250-914</t>
  </si>
  <si>
    <t>*2290240010250914*</t>
  </si>
  <si>
    <t>REYES GRACIA MARIA</t>
  </si>
  <si>
    <t>2295-01-003-0380-914</t>
  </si>
  <si>
    <t>*2295010030380914*</t>
  </si>
  <si>
    <t>VAN DER ZWAN PETER &amp; BUNSRI SUWANKH</t>
  </si>
  <si>
    <t>PETER VAN DER ZWAN</t>
  </si>
  <si>
    <t>5102 JUNIPER WALK LANE</t>
  </si>
  <si>
    <t>2295-02-001-0120-914</t>
  </si>
  <si>
    <t>*2295020010120914*</t>
  </si>
  <si>
    <t>COETZEE JACQUES &amp; TRIZELDA GENRETTE</t>
  </si>
  <si>
    <t>2295-03-002-0270-914</t>
  </si>
  <si>
    <t>*2295030020270914*</t>
  </si>
  <si>
    <t>VILLALOBOS JOSE YNDALECIO BENCOMO &amp;</t>
  </si>
  <si>
    <t>2332-80-2</t>
  </si>
  <si>
    <t>*2332802*</t>
  </si>
  <si>
    <t>COCA-COLA SOUTHWEST BEVERAGES, LLC</t>
  </si>
  <si>
    <t xml:space="preserve">14185 DALLAS PKWY #1300                 </t>
  </si>
  <si>
    <t>2410-01-003-0210-907</t>
  </si>
  <si>
    <t>*2410010030210907*</t>
  </si>
  <si>
    <t>MALIK JALIL U &amp; FATIMA RAZA</t>
  </si>
  <si>
    <t xml:space="preserve">9914  CORBEN CREEK LN                   </t>
  </si>
  <si>
    <t>2410-01-006-0820-907</t>
  </si>
  <si>
    <t>*2410010060820907*</t>
  </si>
  <si>
    <t>KHAN FAIZA NAZIR &amp; MUHAMMAD BHITTI</t>
  </si>
  <si>
    <t>FAIZA N KHAN</t>
  </si>
  <si>
    <t>13422 VENICE VILLA LN</t>
  </si>
  <si>
    <t>2410-02-001-0500-907</t>
  </si>
  <si>
    <t>*2410020010500907*</t>
  </si>
  <si>
    <t>CAMILLO HOUSES CV #2 LLC</t>
  </si>
  <si>
    <t>MIDLAND LOAN SERVICES A PNC RE BUSINESS</t>
  </si>
  <si>
    <t>2727 LBJ FWY STE 806</t>
  </si>
  <si>
    <t>2419-01-001-0130-907</t>
  </si>
  <si>
    <t>*2419010010130907*</t>
  </si>
  <si>
    <t>GEE KIRK LIN &amp; JOYCE FENG</t>
  </si>
  <si>
    <t>DHI TITLE AGENCY</t>
  </si>
  <si>
    <t>HOUSTON NORTH ESCROW TRUST ACCOUNT</t>
  </si>
  <si>
    <t>410 CARRIAGE HILLS BLVD STE 200</t>
  </si>
  <si>
    <t>2419-02-002-0040-907</t>
  </si>
  <si>
    <t>*2419020020040907*</t>
  </si>
  <si>
    <t>HUSSAIN NOORALI &amp; NOORIE</t>
  </si>
  <si>
    <t>TTM LLC</t>
  </si>
  <si>
    <t>12670 JEBBIA LN</t>
  </si>
  <si>
    <t>2500-01-003-5200-907</t>
  </si>
  <si>
    <t>*2500010035200907*</t>
  </si>
  <si>
    <t>ST MARY WINIFRED S</t>
  </si>
  <si>
    <t>WINIFRED SOWELL</t>
  </si>
  <si>
    <t>7703 CHASEWOOD DRIVE</t>
  </si>
  <si>
    <t>2520-01-002-0010-907</t>
  </si>
  <si>
    <t>*2520010020010907*</t>
  </si>
  <si>
    <t>UMER MISHA</t>
  </si>
  <si>
    <t xml:space="preserve">2627 OLD FORT RD                        </t>
  </si>
  <si>
    <t>2520-01-010-0430-907</t>
  </si>
  <si>
    <t>*2520010100430907*</t>
  </si>
  <si>
    <t>ZAKI WALI &amp; AISHA</t>
  </si>
  <si>
    <t>GHAZALA DAWSON</t>
  </si>
  <si>
    <t>2807 OLD FORT ROAD</t>
  </si>
  <si>
    <t>2520-02-012-0020-907</t>
  </si>
  <si>
    <t>*2520020120020907*</t>
  </si>
  <si>
    <t>CASEY MICHAEL E</t>
  </si>
  <si>
    <t>MICHAEL E CASEY PROPERTY ACCOUNT</t>
  </si>
  <si>
    <t>3403 DRIFTWOOD CT</t>
  </si>
  <si>
    <t>2525-00-001-0120-901</t>
  </si>
  <si>
    <t>*2525000010120901*</t>
  </si>
  <si>
    <t>JONES KRISTIN KAY</t>
  </si>
  <si>
    <t>2537-01-000-0040-907</t>
  </si>
  <si>
    <t>*2537010000040907*</t>
  </si>
  <si>
    <t>CITY OF SUGAR LAND</t>
  </si>
  <si>
    <t>MERITAGE HOMES OF TEXAS LLC</t>
  </si>
  <si>
    <t>BRIARPARK STE 100</t>
  </si>
  <si>
    <t>2604-03-003-0051-907</t>
  </si>
  <si>
    <t>*2604030030051907*</t>
  </si>
  <si>
    <t>WANG KE WEI</t>
  </si>
  <si>
    <t>RUSHMORE LOAN MANAGEMENT SERVICES</t>
  </si>
  <si>
    <t>2604-04-001-0030-910</t>
  </si>
  <si>
    <t>*2604040010030910*</t>
  </si>
  <si>
    <t>PATEL REKHA SUNIL</t>
  </si>
  <si>
    <t>REKHA S PATEL</t>
  </si>
  <si>
    <t>5300 N BRAESWOOD BLVD STE 4</t>
  </si>
  <si>
    <t>2605-02-004-0022-907</t>
  </si>
  <si>
    <t>*2605020040022907*</t>
  </si>
  <si>
    <t>MAYS MOSES JR</t>
  </si>
  <si>
    <t>PHH MORTGAGES SERVICES</t>
  </si>
  <si>
    <t>PO BOX 5452</t>
  </si>
  <si>
    <t>MT LAUREK</t>
  </si>
  <si>
    <t>2605-07-001-0390-907</t>
  </si>
  <si>
    <t>*2605070010390907*</t>
  </si>
  <si>
    <t>REYES IAN CARLOS BORJA &amp; CATHLEEN N</t>
  </si>
  <si>
    <t>KELVIN WANG</t>
  </si>
  <si>
    <t>11 CROWN TRL</t>
  </si>
  <si>
    <t>2609-01-001-0050-920</t>
  </si>
  <si>
    <t>*2609010010050920*</t>
  </si>
  <si>
    <t>ANIEKWENA EVELYN I &amp; RAYMOND S</t>
  </si>
  <si>
    <t xml:space="preserve">12806 CANDACE CT                        </t>
  </si>
  <si>
    <t>2610-02-005-0390-907</t>
  </si>
  <si>
    <t>*2610020050390907*</t>
  </si>
  <si>
    <t>LU HONGZHUAN</t>
  </si>
  <si>
    <t xml:space="preserve">2907 EDGEWOOD DR                        </t>
  </si>
  <si>
    <t>2610-03-004-0141-907</t>
  </si>
  <si>
    <t>*2610030040141907*</t>
  </si>
  <si>
    <t>HOLSHOUSER ERIC</t>
  </si>
  <si>
    <t>2612-01-002-0020-907</t>
  </si>
  <si>
    <t>*2612010020020907*</t>
  </si>
  <si>
    <t>HABASH CAROLE A</t>
  </si>
  <si>
    <t xml:space="preserve">3911 COLONY OAKS DR                     </t>
  </si>
  <si>
    <t>2650-01-003-0600-907</t>
  </si>
  <si>
    <t>*2650010030600907*</t>
  </si>
  <si>
    <t>LOPEZ MANUELA</t>
  </si>
  <si>
    <t xml:space="preserve">13518 WOODCHESTER DR                    </t>
  </si>
  <si>
    <t>MANUELA LOPEZ</t>
  </si>
  <si>
    <t>OR LAURA C LOPEZ</t>
  </si>
  <si>
    <t>13518 WOODCHESTER DR</t>
  </si>
  <si>
    <t>2650-02-010-0101-907</t>
  </si>
  <si>
    <t>*2650020100101907*</t>
  </si>
  <si>
    <t>SHINAULT LOURDES</t>
  </si>
  <si>
    <t>2650-02-011-0500-907</t>
  </si>
  <si>
    <t>*2650020110500907*</t>
  </si>
  <si>
    <t>GU TIANLIANG &amp; YINGLI DUAN</t>
  </si>
  <si>
    <t>HOMELAND TITLE COMPANY</t>
  </si>
  <si>
    <t>455 E MEDICAL CENTER BLVD STE 250</t>
  </si>
  <si>
    <t>WEBSTER</t>
  </si>
  <si>
    <t>2650-04-004-5900-907</t>
  </si>
  <si>
    <t>*2650040045900907*</t>
  </si>
  <si>
    <t>VAUGHN WALTER LEE</t>
  </si>
  <si>
    <t xml:space="preserve">13530 KNOTTINGHILL DR                   </t>
  </si>
  <si>
    <t>2650-04-009-2000-907</t>
  </si>
  <si>
    <t>*2650040092000907*</t>
  </si>
  <si>
    <t>LARKIN STREET HOMES LLC</t>
  </si>
  <si>
    <t xml:space="preserve">300  MONTGOMERY ST                      </t>
  </si>
  <si>
    <t xml:space="preserve">SAN FRANCISCO           </t>
  </si>
  <si>
    <t>2690-14-001-0210-914</t>
  </si>
  <si>
    <t>*2690140010210914*</t>
  </si>
  <si>
    <t>MARTINEZ JUAN DIEGO &amp; ITALIA GUILLE</t>
  </si>
  <si>
    <t>DIEGO MARTINEZ STATE FARM INSU</t>
  </si>
  <si>
    <t>2575 S DAIRY ASHFORD ST STE M</t>
  </si>
  <si>
    <t>2701-04-001-0160-914</t>
  </si>
  <si>
    <t>*2701040010160914*</t>
  </si>
  <si>
    <t>MARTINEZ RAFAEL ANGEL BERMUDEZ</t>
  </si>
  <si>
    <t>RAFAEL A. BERMUDEZ MARTINEZ</t>
  </si>
  <si>
    <t>9950 WESTPARK DRIVE, SUITE 528</t>
  </si>
  <si>
    <t>2701-13-002-0130-914</t>
  </si>
  <si>
    <t>*2701130020130914*</t>
  </si>
  <si>
    <t>ARCINIEGA MAGALY CRUZ</t>
  </si>
  <si>
    <t>AMROCK LLC</t>
  </si>
  <si>
    <t>TEXAS ESCROW</t>
  </si>
  <si>
    <t>662 WOODWARD AVE</t>
  </si>
  <si>
    <t>2706-02-001-0140-914</t>
  </si>
  <si>
    <t>*2706020010140914*</t>
  </si>
  <si>
    <t>ZHANG YI &amp; XIAOZHONG LI</t>
  </si>
  <si>
    <t>CHICAGO TITLE OF TEXAS LLC</t>
  </si>
  <si>
    <t>23541 WESTHEIMER PARKWAY SUITE 240</t>
  </si>
  <si>
    <t>2710-09-003-0110-907</t>
  </si>
  <si>
    <t>*2710090030110907*</t>
  </si>
  <si>
    <t>MATHEWS GEORGE SAJEEV &amp; SAPNA MARY</t>
  </si>
  <si>
    <t>2711-08-002-0260-914</t>
  </si>
  <si>
    <t>*2711080020260914*</t>
  </si>
  <si>
    <t>LEWIS TRACEY</t>
  </si>
  <si>
    <t xml:space="preserve">28110 LONG MILL LN                      </t>
  </si>
  <si>
    <t>2739-10-003-0080-901</t>
  </si>
  <si>
    <t>*2739100030080901*</t>
  </si>
  <si>
    <t>DUKES EUGENE HENRY &amp; MARGARET ANN</t>
  </si>
  <si>
    <t>EUGENE DUKES</t>
  </si>
  <si>
    <t>203  PAVONIA CT</t>
  </si>
  <si>
    <t>2739-81-002-0150-901</t>
  </si>
  <si>
    <t>*2739810020150901*</t>
  </si>
  <si>
    <t>HARBRECHT JOSEPH W &amp; DIANE B REVOCA</t>
  </si>
  <si>
    <t xml:space="preserve">3607 ANCHOR CV                          </t>
  </si>
  <si>
    <t>2739-92-004-0020-901</t>
  </si>
  <si>
    <t>*2739920040020901*</t>
  </si>
  <si>
    <t>ELLISON GAIL R</t>
  </si>
  <si>
    <t xml:space="preserve">1223 MAJESTIC OAK                       </t>
  </si>
  <si>
    <t>2746-02-004-0230-907</t>
  </si>
  <si>
    <t>*2746020040230907*</t>
  </si>
  <si>
    <t>CHOY ANTHONY Y &amp; JOANNA Y</t>
  </si>
  <si>
    <t xml:space="preserve">17410 GREYSTONE CT                      </t>
  </si>
  <si>
    <t>2753-01-000-0030-901</t>
  </si>
  <si>
    <t>*2753010000030901*</t>
  </si>
  <si>
    <t>COMMUNITY ASSOCIATION OF CRYSTAL LA</t>
  </si>
  <si>
    <t xml:space="preserve">WENTWORTH COURT HOA                     </t>
  </si>
  <si>
    <t xml:space="preserve">C/O JELLYBIRD HOA MANAGEMENT            </t>
  </si>
  <si>
    <t xml:space="preserve">17319 SAN PEDRO  SUITE #300             </t>
  </si>
  <si>
    <t>2756-02-002-0080-907</t>
  </si>
  <si>
    <t>*2756020020080907*</t>
  </si>
  <si>
    <t>MAYA TAHIR M ETAL</t>
  </si>
  <si>
    <t>8800 EAST RAINTREE DRIVE STE 300</t>
  </si>
  <si>
    <t>SCOTTDALE</t>
  </si>
  <si>
    <t>2756-02-003-0080-907</t>
  </si>
  <si>
    <t>*2756020030080907*</t>
  </si>
  <si>
    <t>ORMANOGLU FATIH &amp; GULNUR KUL</t>
  </si>
  <si>
    <t>2756-93-002-0120-907</t>
  </si>
  <si>
    <t>*2756930020120907*</t>
  </si>
  <si>
    <t>MORFIN BAUDELIA</t>
  </si>
  <si>
    <t xml:space="preserve">11 CROWN CT                             </t>
  </si>
  <si>
    <t>2757-00-005-0502-914</t>
  </si>
  <si>
    <t>*2757000050502914*</t>
  </si>
  <si>
    <t>FER INVESTMENT INC</t>
  </si>
  <si>
    <t>FERESHTEN NAFAR</t>
  </si>
  <si>
    <t>19507 MILLS MEADOW</t>
  </si>
  <si>
    <t>FERESHTEH NAFAR</t>
  </si>
  <si>
    <t>19507 MILLS MEADOW LN</t>
  </si>
  <si>
    <t>2759-00-001-0040-914</t>
  </si>
  <si>
    <t>*2759000010040914*</t>
  </si>
  <si>
    <t>LOWE'S HOME CENTERS LLC</t>
  </si>
  <si>
    <t>LOWES</t>
  </si>
  <si>
    <t>1000 LOWES BLVD</t>
  </si>
  <si>
    <t>MOORESVILLE</t>
  </si>
  <si>
    <t>NC</t>
  </si>
  <si>
    <t>2760-02-100-0161-901</t>
  </si>
  <si>
    <t>*2760021000161901*</t>
  </si>
  <si>
    <t>MEJIA ALEX</t>
  </si>
  <si>
    <t xml:space="preserve">5103 WHITEWING DR                       </t>
  </si>
  <si>
    <t>2760-03-100-0361-901</t>
  </si>
  <si>
    <t>*2760031000361901*</t>
  </si>
  <si>
    <t>COVARRUBIAS FRANCISCO G &amp; GLORIA M</t>
  </si>
  <si>
    <t>MARIBEL HERNANDEZ</t>
  </si>
  <si>
    <t>180 HERSHAL LN</t>
  </si>
  <si>
    <t>CEDAR CREEK</t>
  </si>
  <si>
    <t>2770-00-000-0115-901</t>
  </si>
  <si>
    <t>*2770000000115901*</t>
  </si>
  <si>
    <t>GALLARDO STEPHEN</t>
  </si>
  <si>
    <t xml:space="preserve">610 RUSTIC LN                           </t>
  </si>
  <si>
    <t>2775-00-009-0290-907</t>
  </si>
  <si>
    <t>*2775000090290907*</t>
  </si>
  <si>
    <t>ZUNIGA DIANA IVONNE</t>
  </si>
  <si>
    <t xml:space="preserve">2707 MAGNOLIA CT                        </t>
  </si>
  <si>
    <t>2780-01-005-0090-907</t>
  </si>
  <si>
    <t>*2780010050090907*</t>
  </si>
  <si>
    <t>AGUSTIN JOSE MANUEL &amp; ALMA JENELY</t>
  </si>
  <si>
    <t>HOU FT ESCROW TRUST ACCOUNT-FEE</t>
  </si>
  <si>
    <t>ATTORNEY COMPASS 59</t>
  </si>
  <si>
    <t>820 GESSNER RD STE 230</t>
  </si>
  <si>
    <t>2805-00-012-0040-901</t>
  </si>
  <si>
    <t>*2805000120040901*</t>
  </si>
  <si>
    <t>POPE AMANDA GRACE</t>
  </si>
  <si>
    <t>ELLEN BRISCO</t>
  </si>
  <si>
    <t>9018 DIAMANTE DRIVE</t>
  </si>
  <si>
    <t>MAGNOLIA</t>
  </si>
  <si>
    <t>2820-02-001-0830-907</t>
  </si>
  <si>
    <t>*2820020010830907*</t>
  </si>
  <si>
    <t>ERHIAWARIE PROMISE &amp; FRANCA OFUDU</t>
  </si>
  <si>
    <t>3250 BRIARPARK DRIVE SUITE 100A</t>
  </si>
  <si>
    <t>2830-04-003-0280-907</t>
  </si>
  <si>
    <t>*2830040030280907*</t>
  </si>
  <si>
    <t>DARWOOD CT LLC</t>
  </si>
  <si>
    <t xml:space="preserve">15615 RIVER RIDGE CT                    </t>
  </si>
  <si>
    <t>2830-08-000-0050-907</t>
  </si>
  <si>
    <t>*2830080000050907*</t>
  </si>
  <si>
    <t>EAGLEWOOD HOMEOWNERS ASSOCIATION IN</t>
  </si>
  <si>
    <t xml:space="preserve">C/O STERLING ASSOCIATION                </t>
  </si>
  <si>
    <t xml:space="preserve">6842 N SAM HOUSTON PKWY W               </t>
  </si>
  <si>
    <t>2853-02-001-0250-907</t>
  </si>
  <si>
    <t>*2853020010250907*</t>
  </si>
  <si>
    <t>SMITH DEBBIE J</t>
  </si>
  <si>
    <t>DEBBIE J FINEK</t>
  </si>
  <si>
    <t>3159 WATERS VIEW DR</t>
  </si>
  <si>
    <t>2853-03-001-0430-907</t>
  </si>
  <si>
    <t>*2853030010430907*</t>
  </si>
  <si>
    <t>HUANG THOMAS</t>
  </si>
  <si>
    <t>JILANI SYED KALEEM</t>
  </si>
  <si>
    <t xml:space="preserve">2203 SUMMER BAY CT                      </t>
  </si>
  <si>
    <t>2855-00-022-0070-901</t>
  </si>
  <si>
    <t>*2855000220070901*</t>
  </si>
  <si>
    <t xml:space="preserve">206 DAMON ST                            </t>
  </si>
  <si>
    <t>2855-00-023-0080-901</t>
  </si>
  <si>
    <t>*2855000230080901*</t>
  </si>
  <si>
    <t>LOZANO ADRIANA G &amp; ANAVELL</t>
  </si>
  <si>
    <t>FRANCISCO R YEVERINO</t>
  </si>
  <si>
    <t>308 DAMON ST</t>
  </si>
  <si>
    <t>2855-15-000-0340-901</t>
  </si>
  <si>
    <t>*2855150000340901*</t>
  </si>
  <si>
    <t>LOZANO IRIS</t>
  </si>
  <si>
    <t>2863-02-002-0290-907</t>
  </si>
  <si>
    <t>*2863020020290907*</t>
  </si>
  <si>
    <t>ALBEZEM HOUSSAM</t>
  </si>
  <si>
    <t>HOUSSAM ALBEZEM</t>
  </si>
  <si>
    <t>5511 KIPLING GLEN CT</t>
  </si>
  <si>
    <t>2891-01-003-0230-907</t>
  </si>
  <si>
    <t>*2891010030230907*</t>
  </si>
  <si>
    <t>NGUYEN THUY LI THI &amp; DIEM LI THI</t>
  </si>
  <si>
    <t>TRUCLI NGUYEN</t>
  </si>
  <si>
    <t>13210 BROOKSIDE DR</t>
  </si>
  <si>
    <t>2891-02-001-0020-907</t>
  </si>
  <si>
    <t>*2891020010020907*</t>
  </si>
  <si>
    <t>ALI SADIQ &amp; TALAT</t>
  </si>
  <si>
    <t>TALAT ALI</t>
  </si>
  <si>
    <t>13206 HAVENFALLS LN</t>
  </si>
  <si>
    <t>2891-02-002-0330-907</t>
  </si>
  <si>
    <t>*2891020020330907*</t>
  </si>
  <si>
    <t>MOHAMMED YAHIA A &amp; KAMILA ALI KHIRK</t>
  </si>
  <si>
    <t>FIDELITY NATIONAL TITLE AGENCY</t>
  </si>
  <si>
    <t>2825 WILCREST DRIVE SUITE 559</t>
  </si>
  <si>
    <t>2895-01-003-0030-907</t>
  </si>
  <si>
    <t>*2895010030030907*</t>
  </si>
  <si>
    <t>LAM KHAI D</t>
  </si>
  <si>
    <t xml:space="preserve">13539 NAPLES BRIDGE RD                  </t>
  </si>
  <si>
    <t>2948-02-000-0020-907</t>
  </si>
  <si>
    <t>*2948020000020907*</t>
  </si>
  <si>
    <t>SEWELL RAYMOND G ETAL</t>
  </si>
  <si>
    <t>RAYMOND G SEWELL</t>
  </si>
  <si>
    <t>SHIRLEY M SEWELL</t>
  </si>
  <si>
    <t>2228 WATERFORD VILLAGE BLVD</t>
  </si>
  <si>
    <t>2948-02-000-0021-907</t>
  </si>
  <si>
    <t>*2948020000021907*</t>
  </si>
  <si>
    <t>2949-01-002-0280-901</t>
  </si>
  <si>
    <t>*2949010020280901*</t>
  </si>
  <si>
    <t>PACKARD YOLANDA &amp; GARY</t>
  </si>
  <si>
    <t xml:space="preserve">1806 BIRCH BARK CT                      </t>
  </si>
  <si>
    <t>2949-04-001-0161-901</t>
  </si>
  <si>
    <t>*2949040010161901*</t>
  </si>
  <si>
    <t>VENEGAS2 LUIS ENRIQUE &amp; LUCIA RODRI</t>
  </si>
  <si>
    <t>2952-07-002-0230-914</t>
  </si>
  <si>
    <t>*2952070020230914*</t>
  </si>
  <si>
    <t>SMITH INEZ VONCEIL</t>
  </si>
  <si>
    <t>27710 KATY</t>
  </si>
  <si>
    <t>23922 CINCO VILLAGE CTR BLVD STE 121</t>
  </si>
  <si>
    <t>2960-01-006-0125-914</t>
  </si>
  <si>
    <t>*2960010060125914*</t>
  </si>
  <si>
    <t>DODD BRUCE R &amp; SANDRA</t>
  </si>
  <si>
    <t>HOU CT ESCROW TRUST ACCOUNT</t>
  </si>
  <si>
    <t>DIRECT WELLS 5733 CTH MM</t>
  </si>
  <si>
    <t>10100 KATY FREEWAY STE 110</t>
  </si>
  <si>
    <t>2960-08-001-0160-914</t>
  </si>
  <si>
    <t>*2960080010160914*</t>
  </si>
  <si>
    <t>LAM AMANDA &amp; ANTHONY NGUYEN</t>
  </si>
  <si>
    <t>SPIRIT OF TEXAS BANK</t>
  </si>
  <si>
    <t>625 UNIVERSITY DRIVE EAST</t>
  </si>
  <si>
    <t>COLLEGE STATION</t>
  </si>
  <si>
    <t>2976-01-001-0100-901</t>
  </si>
  <si>
    <t>*2976010010100901*</t>
  </si>
  <si>
    <t>RIGGS EUGENE &amp; TRUDY M</t>
  </si>
  <si>
    <t xml:space="preserve">32602 WINGFOOT CIR                      </t>
  </si>
  <si>
    <t xml:space="preserve">WESTON LAKES            </t>
  </si>
  <si>
    <t>2976-01-001-0660-901</t>
  </si>
  <si>
    <t>*2976010010660901*</t>
  </si>
  <si>
    <t>TREAT RONALD W &amp; AMY</t>
  </si>
  <si>
    <t>GIHEE R RICHARD</t>
  </si>
  <si>
    <t>5055 WESTCHESTER DR</t>
  </si>
  <si>
    <t>2989-11-000-0070-907</t>
  </si>
  <si>
    <t>*2989110000070907*</t>
  </si>
  <si>
    <t>GARDEN PARK VILLAGE LP</t>
  </si>
  <si>
    <t xml:space="preserve">C/O PRINCIPAL MANAGMENT GROUP OF HO     </t>
  </si>
  <si>
    <t xml:space="preserve">PO BOX 650255                           </t>
  </si>
  <si>
    <t xml:space="preserve">DALLS                   </t>
  </si>
  <si>
    <t>GARDEN PARK VILLAGE HOA INC</t>
  </si>
  <si>
    <t>PO BOX 650255</t>
  </si>
  <si>
    <t>3002-02-002-0380-901</t>
  </si>
  <si>
    <t>*3002020020380901*</t>
  </si>
  <si>
    <t>CASTRO ALBERTO</t>
  </si>
  <si>
    <t>CARRINGTON MORTGAGE SERVICES</t>
  </si>
  <si>
    <t>1527 STONE TRAIL DR`</t>
  </si>
  <si>
    <t>3002-03-001-0260-901</t>
  </si>
  <si>
    <t>*3002030010260901*</t>
  </si>
  <si>
    <t>KEAST BRET C &amp; KIMBERLEE A</t>
  </si>
  <si>
    <t>THE KEAST LIVING TRUST</t>
  </si>
  <si>
    <t>KIMBERLEE A KEAST</t>
  </si>
  <si>
    <t>BRET C KEAST</t>
  </si>
  <si>
    <t>7307 SUMMER TRAIL DR</t>
  </si>
  <si>
    <t>3002-03-005-0130-901</t>
  </si>
  <si>
    <t>*3002030050130901*</t>
  </si>
  <si>
    <t>KU-HARDISON THERESA C &amp; MICHAEL DAV</t>
  </si>
  <si>
    <t>3003-01-003-0210-901</t>
  </si>
  <si>
    <t>*3003010030210901*</t>
  </si>
  <si>
    <t>ENGLISH KENNETH W &amp; BENITA L</t>
  </si>
  <si>
    <t>KENNETH ENGLISH</t>
  </si>
  <si>
    <t>7015 MORNINGSIDE DRIVE</t>
  </si>
  <si>
    <t>3004-01-001-0130-901</t>
  </si>
  <si>
    <t>*3004010010130901*</t>
  </si>
  <si>
    <t>HAWKINS JENNIFER ANN ETAL</t>
  </si>
  <si>
    <t>JOEL KEITH HERRMANN</t>
  </si>
  <si>
    <t>1214 SPRINGWOOD DR</t>
  </si>
  <si>
    <t>3004-01-003-0110-901</t>
  </si>
  <si>
    <t>*3004010030110901*</t>
  </si>
  <si>
    <t>SHUST MICHAEL R &amp; PATRICIA A</t>
  </si>
  <si>
    <t xml:space="preserve">6939 WOODSIDE DR                        </t>
  </si>
  <si>
    <t>3004-01-006-0020-901</t>
  </si>
  <si>
    <t>*3004010060020901*</t>
  </si>
  <si>
    <t>JACKSON JAMESIA</t>
  </si>
  <si>
    <t>3004-04-003-0090-901</t>
  </si>
  <si>
    <t>*3004040030090901*</t>
  </si>
  <si>
    <t>WAHLGREN CRAIG &amp; JESSICA</t>
  </si>
  <si>
    <t>SELECT PORTFOLIO SERVICING INC</t>
  </si>
  <si>
    <t>3217 S DECKER LAKE DR</t>
  </si>
  <si>
    <t>SALT LAKE CITY</t>
  </si>
  <si>
    <t>UT</t>
  </si>
  <si>
    <t>3006-01-003-0171-901</t>
  </si>
  <si>
    <t>*3006010030171901*</t>
  </si>
  <si>
    <t>WAHL ALLISON</t>
  </si>
  <si>
    <t>3007-03-002-0130-901</t>
  </si>
  <si>
    <t>*3007030020130901*</t>
  </si>
  <si>
    <t>GUO JINGYING &amp; ANDRES MOLINA OCHOA</t>
  </si>
  <si>
    <t>3013-01-002-0740-901</t>
  </si>
  <si>
    <t>*3013010020740901*</t>
  </si>
  <si>
    <t>MKA CAPITAL LLC</t>
  </si>
  <si>
    <t>HOU FT ESCROW TRUST ACCT-DIRECTS COMPASS</t>
  </si>
  <si>
    <t>5969-FTH</t>
  </si>
  <si>
    <t>1900 WEST LOOP S STE 100</t>
  </si>
  <si>
    <t>3015-01-003-0050-901</t>
  </si>
  <si>
    <t>*3015010030050901*</t>
  </si>
  <si>
    <t>SENGE SHAWNEE</t>
  </si>
  <si>
    <t xml:space="preserve">1707 GARDEN HOME DR                     </t>
  </si>
  <si>
    <t>3020-02-003-0270-901</t>
  </si>
  <si>
    <t>*3020020030270901*</t>
  </si>
  <si>
    <t>SPIWAK LORENA</t>
  </si>
  <si>
    <t xml:space="preserve">8522 MILL DALE CT                       </t>
  </si>
  <si>
    <t>3030-02-002-0180-901</t>
  </si>
  <si>
    <t>*3030020020180901*</t>
  </si>
  <si>
    <t>ABDIN HADY G &amp; SAHAR M HAMZA</t>
  </si>
  <si>
    <t>SAHAR M HAMZA</t>
  </si>
  <si>
    <t>1411 LEIGH GARDENS DR</t>
  </si>
  <si>
    <t>3030-02-003-0110-901</t>
  </si>
  <si>
    <t>*3030020030110901*</t>
  </si>
  <si>
    <t>TIHONCHIK ANNA &amp; MIHAIL</t>
  </si>
  <si>
    <t xml:space="preserve">1406 LEIGH GARDENS DR                   </t>
  </si>
  <si>
    <t>3037-01-002-0040-901</t>
  </si>
  <si>
    <t>*3037010020040901*</t>
  </si>
  <si>
    <t>EK REAL ESTATE SERVICES OF NY LLC</t>
  </si>
  <si>
    <t>3040-02-003-0090-907</t>
  </si>
  <si>
    <t>*3040020030090907*</t>
  </si>
  <si>
    <t>HUNT EMEZUEM WEMA &amp; PHANUEL AKUBUEZ</t>
  </si>
  <si>
    <t>1900 WEST LOOP SOUTH STE 100</t>
  </si>
  <si>
    <t>3053-01-001-1140-907</t>
  </si>
  <si>
    <t>*3053010011140907*</t>
  </si>
  <si>
    <t>LATSON JODI</t>
  </si>
  <si>
    <t>JODI LATSON</t>
  </si>
  <si>
    <t>58 FLAMINGO LANDING DRIVE</t>
  </si>
  <si>
    <t>3104-01-004-0060-907</t>
  </si>
  <si>
    <t>*3104010040060907*</t>
  </si>
  <si>
    <t>MONTOYA MARTIN GABRIEL JOE</t>
  </si>
  <si>
    <t xml:space="preserve">1860 JOLENE DR                          </t>
  </si>
  <si>
    <t xml:space="preserve">DENVER                  </t>
  </si>
  <si>
    <t>3104-01-004-0200-907</t>
  </si>
  <si>
    <t>*3104010040200907*</t>
  </si>
  <si>
    <t>PMC SFR BORROWER 2 LLC</t>
  </si>
  <si>
    <t>ALTA RESIDENTIAL SOLUTIONS LLC</t>
  </si>
  <si>
    <t>380 DATA DRIVE</t>
  </si>
  <si>
    <t>SUITE 110</t>
  </si>
  <si>
    <t>DRAPER</t>
  </si>
  <si>
    <t>3104-01-004-0230-907</t>
  </si>
  <si>
    <t>*3104010040230907*</t>
  </si>
  <si>
    <t>RUTACHOKOZIBWA ANNA</t>
  </si>
  <si>
    <t>3104-03-005-0020-907</t>
  </si>
  <si>
    <t>*3104030050020907*</t>
  </si>
  <si>
    <t>EZEDOGU CHARLES</t>
  </si>
  <si>
    <t xml:space="preserve">20123 STONEVIEW DR                      </t>
  </si>
  <si>
    <t>3104-04-002-0361-907</t>
  </si>
  <si>
    <t>*3104040020361907*</t>
  </si>
  <si>
    <t>KAROUNI SALAH KASSEM</t>
  </si>
  <si>
    <t>ROUNDPOINT</t>
  </si>
  <si>
    <t>MORTGAGE SERVICING CORPORATION</t>
  </si>
  <si>
    <t>PO BOX 19409</t>
  </si>
  <si>
    <t>CHARLOTTE</t>
  </si>
  <si>
    <t>3104-06-004-0040-907</t>
  </si>
  <si>
    <t>*3104060040040907*</t>
  </si>
  <si>
    <t>PATEL BELLA</t>
  </si>
  <si>
    <t xml:space="preserve">5423 FIELDSTONE TER                     </t>
  </si>
  <si>
    <t>3104-06-004-0151-907</t>
  </si>
  <si>
    <t>*3104060040151907*</t>
  </si>
  <si>
    <t>COLE JOMOND</t>
  </si>
  <si>
    <t>3105-06-004-0010-914</t>
  </si>
  <si>
    <t>*3105060040010914*</t>
  </si>
  <si>
    <t>ALLISON FRED HAROLD &amp; MARTHA LA VER</t>
  </si>
  <si>
    <t>LAURABETH JACKSON</t>
  </si>
  <si>
    <t>28302 DAYSTROM LN</t>
  </si>
  <si>
    <t>3105-07-001-0521-914</t>
  </si>
  <si>
    <t>*3105070010521914*</t>
  </si>
  <si>
    <t>CLARKE2 JAMES LEE</t>
  </si>
  <si>
    <t>ROUNDPOINT MORTGAGE SERVICING CORPORATIO</t>
  </si>
  <si>
    <t>3105-23-006-0020-914</t>
  </si>
  <si>
    <t>*3105230060020914*</t>
  </si>
  <si>
    <t>GONZALES JOHN RUBEN &amp; BEATRIZ DELAR</t>
  </si>
  <si>
    <t>JOHN R GONZALES</t>
  </si>
  <si>
    <t>2016 MAIN ST APT 1513</t>
  </si>
  <si>
    <t>3105-29-001-0220-914</t>
  </si>
  <si>
    <t>*3105290010220914*</t>
  </si>
  <si>
    <t>HUSSER DUSTIN MICHAEL &amp; KIMBERLY AN</t>
  </si>
  <si>
    <t>DUSTIN M HUSSER</t>
  </si>
  <si>
    <t>2006 HITCHING ROCK DR.</t>
  </si>
  <si>
    <t>3150-00-003-0600-907</t>
  </si>
  <si>
    <t>*3150000030600907*</t>
  </si>
  <si>
    <t>CELESTINE JOSEPH D JR</t>
  </si>
  <si>
    <t xml:space="preserve">PO BOX 41                               </t>
  </si>
  <si>
    <t>3150-00-006-0100-907</t>
  </si>
  <si>
    <t>*3150000060100907*</t>
  </si>
  <si>
    <t>TEXIAN DEVELOPMENT INC</t>
  </si>
  <si>
    <t>NALCO COMPANY LLC</t>
  </si>
  <si>
    <t>1601 WEST DIEHL RD</t>
  </si>
  <si>
    <t>NAPERVILLE</t>
  </si>
  <si>
    <t>3183-01-001-0390-901</t>
  </si>
  <si>
    <t>*3183010010390901*</t>
  </si>
  <si>
    <t>SPEARS JOEMAINE Q &amp; ELIZABETH</t>
  </si>
  <si>
    <t>JOEMAINE SPEARS</t>
  </si>
  <si>
    <t>23600 FM 1093APT. 613</t>
  </si>
  <si>
    <t>3200-05-001-0100-907</t>
  </si>
  <si>
    <t>*3200050010100907*</t>
  </si>
  <si>
    <t>POMEDLI TREVOR</t>
  </si>
  <si>
    <t xml:space="preserve">141 SHIRLEY DR                          </t>
  </si>
  <si>
    <t xml:space="preserve">BUDA                    </t>
  </si>
  <si>
    <t>3300-00-004-4201-907</t>
  </si>
  <si>
    <t>*3300000044201907*</t>
  </si>
  <si>
    <t>FERNANDEZ ROMARIO &amp; LEXUS KATALINA</t>
  </si>
  <si>
    <t>ROMARIO FERNANDEZ</t>
  </si>
  <si>
    <t>722 S LOCUST ST</t>
  </si>
  <si>
    <t>3300-00-010-3001-907</t>
  </si>
  <si>
    <t>*3300000103001907*</t>
  </si>
  <si>
    <t>RIOS JOSE CARLOS</t>
  </si>
  <si>
    <t>JULIANA LAMAR</t>
  </si>
  <si>
    <t>22538 WILLIAMS OAK LN</t>
  </si>
  <si>
    <t>3380-00-014-0110-901</t>
  </si>
  <si>
    <t>*3380000140110901*</t>
  </si>
  <si>
    <t>SCOTT ALICE ETAL</t>
  </si>
  <si>
    <t>DIOGU LAW FIRM PLLC</t>
  </si>
  <si>
    <t>4726 GAINSBOROUGH DR</t>
  </si>
  <si>
    <t>BROOKSHIRE</t>
  </si>
  <si>
    <t>3381-03-001-0411-901</t>
  </si>
  <si>
    <t>*3381030010411901*</t>
  </si>
  <si>
    <t>KIM DONG</t>
  </si>
  <si>
    <t>KIM MYUNG NAM OR DONG</t>
  </si>
  <si>
    <t>30910 SPANISH MOSS XING</t>
  </si>
  <si>
    <t>3381-04-003-0050-901</t>
  </si>
  <si>
    <t>*3381040030050901*</t>
  </si>
  <si>
    <t>LITCHFIELD MELINDA ANN &amp; KURT ANTHO</t>
  </si>
  <si>
    <t>3382-51-002-0010-901</t>
  </si>
  <si>
    <t>*3382510020010901*</t>
  </si>
  <si>
    <t>BRACKIN CHRISTOPHER WOOD &amp; RENEE AY</t>
  </si>
  <si>
    <t>23226 RED RIVER DR</t>
  </si>
  <si>
    <t>3387-02-003-0070-901</t>
  </si>
  <si>
    <t>*3387020030070901*</t>
  </si>
  <si>
    <t>LAWSON DAN H &amp; SUSAN A</t>
  </si>
  <si>
    <t xml:space="preserve">5106 WATER OAK CRES                     </t>
  </si>
  <si>
    <t>3400-00-004-2610-907</t>
  </si>
  <si>
    <t>*3400000042610907*</t>
  </si>
  <si>
    <t>VELA BERTHA</t>
  </si>
  <si>
    <t xml:space="preserve">1326A  TRAMMEL FRESNO RD                </t>
  </si>
  <si>
    <t xml:space="preserve">FRESNO                  </t>
  </si>
  <si>
    <t>3400-00-005-3100-907</t>
  </si>
  <si>
    <t>*3400000053100907*</t>
  </si>
  <si>
    <t>ORDAZ MARIA CARMEN &amp; MARCUS ANTHONY</t>
  </si>
  <si>
    <t>MARCUS A ORDAZ</t>
  </si>
  <si>
    <t>3402 INDIANA STREET</t>
  </si>
  <si>
    <t>3400-00-005-3800-907</t>
  </si>
  <si>
    <t>*3400000053800907*</t>
  </si>
  <si>
    <t>SILVERIO CLAUDIO F ULIN &amp; MARCOS UL</t>
  </si>
  <si>
    <t>POST OAK TITLE - ESCROW ACCOUNT</t>
  </si>
  <si>
    <t>4543 POST OAK PLACE STE 222</t>
  </si>
  <si>
    <t>3446-01-003-0050-907</t>
  </si>
  <si>
    <t>*3446010030050907*</t>
  </si>
  <si>
    <t>WILLIAMS CLAYTON &amp; JUANA</t>
  </si>
  <si>
    <t>GLEN WILLIAMS</t>
  </si>
  <si>
    <t>JUANA L WILLIAMS</t>
  </si>
  <si>
    <t>1519 FLANDERS FIELD LN</t>
  </si>
  <si>
    <t>3450-00-003-0600-907</t>
  </si>
  <si>
    <t>*3450000030600907*</t>
  </si>
  <si>
    <t>TRISTAN LIA &amp; IRMITA</t>
  </si>
  <si>
    <t>EFREN TRISTAN</t>
  </si>
  <si>
    <t>2507 AMETHYST ISLE LANE</t>
  </si>
  <si>
    <t>3450-00-010-0400-907</t>
  </si>
  <si>
    <t>*3450000100400907*</t>
  </si>
  <si>
    <t>HERNANDEZ ENRIQUE &amp; YULIANA G</t>
  </si>
  <si>
    <t>ENRIQUE HERNANDEZ</t>
  </si>
  <si>
    <t>2619 MAPLE PLACE COURT</t>
  </si>
  <si>
    <t>3450-01-001-0900-907</t>
  </si>
  <si>
    <t>*3450010010900907*</t>
  </si>
  <si>
    <t>MANDUJANO JUAN GABRIEL HERNANDEZ</t>
  </si>
  <si>
    <t xml:space="preserve">3623  LOUISE ST                         </t>
  </si>
  <si>
    <t>3450-01-005-0600-907</t>
  </si>
  <si>
    <t>*3450010050600907*</t>
  </si>
  <si>
    <t>LESLIE BYRON DEAN II REVOCABLE TRUS</t>
  </si>
  <si>
    <t xml:space="preserve">3 MANANA CT                             </t>
  </si>
  <si>
    <t xml:space="preserve">CEDAR CREST             </t>
  </si>
  <si>
    <t>NM</t>
  </si>
  <si>
    <t>3450-03-011-1900-907</t>
  </si>
  <si>
    <t>*3450030111900907*</t>
  </si>
  <si>
    <t>DEL ANGEL CARLOS &amp; GUADALUPE</t>
  </si>
  <si>
    <t xml:space="preserve">1702 AVENUE D                           </t>
  </si>
  <si>
    <t>3485-02-001-0021-907</t>
  </si>
  <si>
    <t>*3485020010021907*</t>
  </si>
  <si>
    <t>LEDAY PRINCESS TRES'HANNE</t>
  </si>
  <si>
    <t>3485-06-001-0100-907</t>
  </si>
  <si>
    <t>*3485060010100907*</t>
  </si>
  <si>
    <t>BOYKINS  WILBERT  EARL &amp; VELMA  ANN</t>
  </si>
  <si>
    <t>SUN WEST MORTGAGE</t>
  </si>
  <si>
    <t>6131 ORANGETHORPE AVE STE 500</t>
  </si>
  <si>
    <t>BUENA PARK</t>
  </si>
  <si>
    <t>3490-00-000-0410-901</t>
  </si>
  <si>
    <t>*3490000000410901*</t>
  </si>
  <si>
    <t>GARCIA JESUS &amp; MAGDALENA</t>
  </si>
  <si>
    <t xml:space="preserve">6113 SAXON DR                           </t>
  </si>
  <si>
    <t>3515-01-001-0220-907</t>
  </si>
  <si>
    <t>*3515010010220907*</t>
  </si>
  <si>
    <t>TORRES GISEL SARAI</t>
  </si>
  <si>
    <t>GISEL TORRES</t>
  </si>
  <si>
    <t>410 GLEN PARK DRIVE</t>
  </si>
  <si>
    <t>3517-01-003-0400-907</t>
  </si>
  <si>
    <t>*3517010030400907*</t>
  </si>
  <si>
    <t>GUTIERREZ AMANDA L &amp; DONALD SCOTT B</t>
  </si>
  <si>
    <t>VINCENT ALLAN BRESINA-HAWKINS</t>
  </si>
  <si>
    <t>2035 HOLLY GLADE LN</t>
  </si>
  <si>
    <t>3517-02-004-0080-907</t>
  </si>
  <si>
    <t>*3517020040080907*</t>
  </si>
  <si>
    <t>KY QUYEN QUYNH &amp; NICHOLAS NGOC NGUY</t>
  </si>
  <si>
    <t>QUYEN Q KY</t>
  </si>
  <si>
    <t>NICHOLAS NGUYEN</t>
  </si>
  <si>
    <t>9907 GOLDEN GLEN DR</t>
  </si>
  <si>
    <t>3517-04-001-0100-907</t>
  </si>
  <si>
    <t>*3517040010100907*</t>
  </si>
  <si>
    <t>ALMANSI AHMAD</t>
  </si>
  <si>
    <t xml:space="preserve">2219 MEADOW BRIAR DR                    </t>
  </si>
  <si>
    <t>3519-04-001-0240-914</t>
  </si>
  <si>
    <t>*3519040010240914*</t>
  </si>
  <si>
    <t>HAUCK JONATHAN E &amp; DEE ANN</t>
  </si>
  <si>
    <t>PHH MORTGAGE SERVICES</t>
  </si>
  <si>
    <t>3519-06-002-0180-914</t>
  </si>
  <si>
    <t>*3519060020180914*</t>
  </si>
  <si>
    <t>PARK SUNG</t>
  </si>
  <si>
    <t>5300 MEMORIAL DR STE 460</t>
  </si>
  <si>
    <t>3519-10-003-0400-914</t>
  </si>
  <si>
    <t>*3519100030400914*</t>
  </si>
  <si>
    <t>ANSARI MOHAMMED ISMAIL</t>
  </si>
  <si>
    <t>FERHANA BEGUM</t>
  </si>
  <si>
    <t>22726 JOHNDALE CT</t>
  </si>
  <si>
    <t>3523-05-001-0140-907</t>
  </si>
  <si>
    <t>*3523050010140907*</t>
  </si>
  <si>
    <t>ZAPATA VIRGILIO ETAL</t>
  </si>
  <si>
    <t>JACQUELINE NACPIL</t>
  </si>
  <si>
    <t>19202 SPRING ORCHARD CT</t>
  </si>
  <si>
    <t>3523-05-001-0430-907</t>
  </si>
  <si>
    <t>*3523050010430907*</t>
  </si>
  <si>
    <t>LEMMON VIRGINIA</t>
  </si>
  <si>
    <t>3523-13-002-0461-907</t>
  </si>
  <si>
    <t>*3523130020461907*</t>
  </si>
  <si>
    <t>SAGHIR ZEHRA</t>
  </si>
  <si>
    <t>PENNYMAC</t>
  </si>
  <si>
    <t>3523-14-002-0070-907</t>
  </si>
  <si>
    <t>*3523140020070907*</t>
  </si>
  <si>
    <t>SANDERS JASON</t>
  </si>
  <si>
    <t>JASON SANDERS</t>
  </si>
  <si>
    <t>19227 QUARRY LAKES LN</t>
  </si>
  <si>
    <t>3524-01-005-0210-901</t>
  </si>
  <si>
    <t>*3524010050210901*</t>
  </si>
  <si>
    <t>YEVERINO FRANK &amp; ANAVELL</t>
  </si>
  <si>
    <t>1930 WINNERS CIR</t>
  </si>
  <si>
    <t>3528-02-001-0460-907</t>
  </si>
  <si>
    <t>*3528020010460907*</t>
  </si>
  <si>
    <t>WALKER THOMAS F ETAL</t>
  </si>
  <si>
    <t>ELIZABETH J LOVE</t>
  </si>
  <si>
    <t>8003 LAGUNA SPRINGS CT</t>
  </si>
  <si>
    <t>3528-07-003-0291-907</t>
  </si>
  <si>
    <t>*3528070030291907*</t>
  </si>
  <si>
    <t>COSTES AMY</t>
  </si>
  <si>
    <t>3528-08-003-0221-907</t>
  </si>
  <si>
    <t>*3528080030221907*</t>
  </si>
  <si>
    <t>DAO MAY</t>
  </si>
  <si>
    <t xml:space="preserve">20231 BRISTOL BLUFF LN                  </t>
  </si>
  <si>
    <t>3528-08-004-0111-907</t>
  </si>
  <si>
    <t>*3528080040111907*</t>
  </si>
  <si>
    <t>SIMO LINDA NGOSE</t>
  </si>
  <si>
    <t>3528-10-003-0130-907</t>
  </si>
  <si>
    <t>*3528100030130907*</t>
  </si>
  <si>
    <t>AYODELE ADEBANJO</t>
  </si>
  <si>
    <t>ADEBANJO AYODELE</t>
  </si>
  <si>
    <t>7827 MESQUITE MANOR LN</t>
  </si>
  <si>
    <t>3528-20-001-0020-907</t>
  </si>
  <si>
    <t>*3528200010020907*</t>
  </si>
  <si>
    <t>CONROD TRINT JEROME</t>
  </si>
  <si>
    <t>CONRAD TRINT JEROME</t>
  </si>
  <si>
    <t xml:space="preserve">19614 BLAIR ORCHARD LN                  </t>
  </si>
  <si>
    <t>3528-22-001-0050-907</t>
  </si>
  <si>
    <t>*3528220010050907*</t>
  </si>
  <si>
    <t>LE NHUNG H &amp; NGUYEN S DUONG</t>
  </si>
  <si>
    <t xml:space="preserve">STEWART TITLE COMPANY ESCROW ACCOUNTS </t>
  </si>
  <si>
    <t>6918 CORPORATE DR STE A-7</t>
  </si>
  <si>
    <t xml:space="preserve">HOUSTON </t>
  </si>
  <si>
    <t>3528-25-003-0290-907</t>
  </si>
  <si>
    <t>*3528250030290907*</t>
  </si>
  <si>
    <t>IWUNZE CHUKWUEMEKA N</t>
  </si>
  <si>
    <t>NATIONSTAR MORTGAGE LLC</t>
  </si>
  <si>
    <t>3529-01-001-0120-914</t>
  </si>
  <si>
    <t>*3529010010120914*</t>
  </si>
  <si>
    <t>KERRIGAN ROBERT M III &amp; JESSICA</t>
  </si>
  <si>
    <t>ROBERT M. KERRIGAN</t>
  </si>
  <si>
    <t>22114 BLACKSBURG CT</t>
  </si>
  <si>
    <t>3529-06-001-0130-914</t>
  </si>
  <si>
    <t>*3529060010130914*</t>
  </si>
  <si>
    <t>KUMAR UJJWAL &amp; PRITI</t>
  </si>
  <si>
    <t>A SERVICELINK COMPANY</t>
  </si>
  <si>
    <t>POST OFFICE BOX 8068</t>
  </si>
  <si>
    <t>3531-05-001-0051-914</t>
  </si>
  <si>
    <t>*3531050010051914*</t>
  </si>
  <si>
    <t>FULLER JEFFERY KEITH</t>
  </si>
  <si>
    <t>3532-04-002-0070-914</t>
  </si>
  <si>
    <t>*3532040020070914*</t>
  </si>
  <si>
    <t>SOHR MORE ALEXIS N &amp; SILVRA SLAVIER</t>
  </si>
  <si>
    <t xml:space="preserve">3510 ARTESIAN SPRINGS CT                </t>
  </si>
  <si>
    <t>3535-01-024-2420-907</t>
  </si>
  <si>
    <t>*3535010242420907*</t>
  </si>
  <si>
    <t>BANERJEE LIPI</t>
  </si>
  <si>
    <t>HOMELAND TITLE COMPANY ESCROW  TRUST</t>
  </si>
  <si>
    <t>ACCOUNT SUGARLAND</t>
  </si>
  <si>
    <t>16554 CREEK BEND DRIVE SUITE 250</t>
  </si>
  <si>
    <t>3535-02-006-0640-907</t>
  </si>
  <si>
    <t>*3535020060640907*</t>
  </si>
  <si>
    <t>WALSH NARISARA</t>
  </si>
  <si>
    <t>DAVID ZEBER</t>
  </si>
  <si>
    <t>2510 GRANTS LAKE BLVDAPT 64</t>
  </si>
  <si>
    <t>3536-15-002-0310-907</t>
  </si>
  <si>
    <t>*3536150020310907*</t>
  </si>
  <si>
    <t>CHOKA NATASHA E</t>
  </si>
  <si>
    <t>3536-17-001-0390-907</t>
  </si>
  <si>
    <t>*3536170010390907*</t>
  </si>
  <si>
    <t>OGUNLEYE KEHINDE OLATUNDE &amp; MARY AD</t>
  </si>
  <si>
    <t>3536-21-001-0080-907</t>
  </si>
  <si>
    <t>*3536210010080907*</t>
  </si>
  <si>
    <t>BRANA MARC ELIEL &amp; LYNNELLE BINAS</t>
  </si>
  <si>
    <t>3537-03-008-0040-907</t>
  </si>
  <si>
    <t>*3537030080040907*</t>
  </si>
  <si>
    <t>STURTEVANT AMY V</t>
  </si>
  <si>
    <t>AMY VERNON</t>
  </si>
  <si>
    <t>2710 GRANTS LAKE BLVD UNIT H4</t>
  </si>
  <si>
    <t>3560-02-000-0829-910</t>
  </si>
  <si>
    <t>*3560020000829910*</t>
  </si>
  <si>
    <t>BROWNEWELL MICHAEL F &amp; VICTORIA</t>
  </si>
  <si>
    <t>MICHAEL BROWNEWELL</t>
  </si>
  <si>
    <t>802 DELFORD WAY</t>
  </si>
  <si>
    <t>3601-02-001-0350-901</t>
  </si>
  <si>
    <t>*3601020010350901*</t>
  </si>
  <si>
    <t>VIDOJEVIC ZORAN</t>
  </si>
  <si>
    <t>3601-08-004-0070-901</t>
  </si>
  <si>
    <t>*3601080040070901*</t>
  </si>
  <si>
    <t>LEISHER GOKCE A &amp; RUSSELL K</t>
  </si>
  <si>
    <t>3601-09-003-0310-901</t>
  </si>
  <si>
    <t>*3601090030310901*</t>
  </si>
  <si>
    <t>KOBEISSI ZOULFICAR ALI</t>
  </si>
  <si>
    <t>ZOULFICAR A KOBEISSI</t>
  </si>
  <si>
    <t>2010 RIVERINE CREST CIR</t>
  </si>
  <si>
    <t>3601-11-004-0050-901</t>
  </si>
  <si>
    <t>*3601110040050901*</t>
  </si>
  <si>
    <t>GWENDOLYN B ARTHUR REVOCABLE TRUST</t>
  </si>
  <si>
    <t>GWEN ARTHUR</t>
  </si>
  <si>
    <t>29211 BLUE FINCH CT</t>
  </si>
  <si>
    <t>3601-15-002-0010-901</t>
  </si>
  <si>
    <t>*3601150020010901*</t>
  </si>
  <si>
    <t>ASHTON HOUSTON RESIDENTAL LLC</t>
  </si>
  <si>
    <t>ASHTON HOUSTON RESIDENTIAL LLC</t>
  </si>
  <si>
    <t>3820 MANSELL RD STE 400</t>
  </si>
  <si>
    <t>ALPHARETTA</t>
  </si>
  <si>
    <t>3601-15-004-0110-901</t>
  </si>
  <si>
    <t>*3601150040110901*</t>
  </si>
  <si>
    <t>IMM JUSTIN ANTHONY &amp; YESSICA VIVIAN</t>
  </si>
  <si>
    <t>SHELLPOINT MORTGAGE SERVICING</t>
  </si>
  <si>
    <t>CORELOGIC INC AS AGENT FOR SHELLPOINT</t>
  </si>
  <si>
    <t>MORTGAGE SERVICING</t>
  </si>
  <si>
    <t>3605-02-000-0350-901</t>
  </si>
  <si>
    <t>*3605020000350901*</t>
  </si>
  <si>
    <t>ROSENBAUM CINTIA</t>
  </si>
  <si>
    <t>CINTIA ROSENBAUM</t>
  </si>
  <si>
    <t>RUSSELL ROSENBAUM</t>
  </si>
  <si>
    <t>410 ROYAL BLVD</t>
  </si>
  <si>
    <t>3695-02-001-0030-901</t>
  </si>
  <si>
    <t>*3695020010030901*</t>
  </si>
  <si>
    <t>PARKER MARY C</t>
  </si>
  <si>
    <t>FORT BEND HABITAT FOR HUMANITY</t>
  </si>
  <si>
    <t>505 JULIE RIVERS STE 150</t>
  </si>
  <si>
    <t>3701-01-001-0460-907</t>
  </si>
  <si>
    <t>*3701010010460907*</t>
  </si>
  <si>
    <t>SYED HAIDER ABBAS &amp; RIZWANA HAIDER</t>
  </si>
  <si>
    <t>PARKWAY TITLE LLC</t>
  </si>
  <si>
    <t>4700 W SAM HOUSTON PKWY N</t>
  </si>
  <si>
    <t>STE 145</t>
  </si>
  <si>
    <t>3715-01-005-0300-914</t>
  </si>
  <si>
    <t>*3715010050300914*</t>
  </si>
  <si>
    <t>BOEHME TROY L &amp; MARIA A VALENTI</t>
  </si>
  <si>
    <t xml:space="preserve">6914 BROCKINGTON DR                     </t>
  </si>
  <si>
    <t>3715-02-002-0030-914</t>
  </si>
  <si>
    <t>*3715020020030914*</t>
  </si>
  <si>
    <t>READY PROPERTIES INC.</t>
  </si>
  <si>
    <t>READY P INC</t>
  </si>
  <si>
    <t>PO BOX 941</t>
  </si>
  <si>
    <t>3751-01-002-0180-910</t>
  </si>
  <si>
    <t>*3751010020180910*</t>
  </si>
  <si>
    <t>JIMENEZ ESTER &amp; CLEMENTE</t>
  </si>
  <si>
    <t>ESTHER JIMENEZ</t>
  </si>
  <si>
    <t>12422 GREEN TRAILS DR</t>
  </si>
  <si>
    <t>3760-02-002-0190-901</t>
  </si>
  <si>
    <t>*3760020020190901*</t>
  </si>
  <si>
    <t>HARLOW EUGENE</t>
  </si>
  <si>
    <t xml:space="preserve">4905 REDBUD DR                          </t>
  </si>
  <si>
    <t>3765-00-000-0150-907</t>
  </si>
  <si>
    <t>*3765000000150907*</t>
  </si>
  <si>
    <t>KING BARBARA L &amp; JOHN C</t>
  </si>
  <si>
    <t xml:space="preserve">16607 PECAN DR                          </t>
  </si>
  <si>
    <t>3770-01-004-0760-907</t>
  </si>
  <si>
    <t>*3770010040760907*</t>
  </si>
  <si>
    <t>CARROLL ROZALL &amp; ELAINE T CARROLL E</t>
  </si>
  <si>
    <t>NEW REZ LLC</t>
  </si>
  <si>
    <t>55 BEATTIE PL STE 110</t>
  </si>
  <si>
    <t>3770-01-006-0440-907</t>
  </si>
  <si>
    <t>*3770010060440907*</t>
  </si>
  <si>
    <t>CONTRERAS JUAN J</t>
  </si>
  <si>
    <t>JUAN J CONTRERAS</t>
  </si>
  <si>
    <t>2610 QUARRY HILL RD</t>
  </si>
  <si>
    <t>3770-03-004-0290-907</t>
  </si>
  <si>
    <t>*3770030040290907*</t>
  </si>
  <si>
    <t>SYED MANNAN &amp; DIANNA</t>
  </si>
  <si>
    <t>DIANNA SYED</t>
  </si>
  <si>
    <t>3022 PECAN POINT</t>
  </si>
  <si>
    <t>3780-01-104-0160-901</t>
  </si>
  <si>
    <t>*3780011040160901*</t>
  </si>
  <si>
    <t>EKRE OF TX LLC</t>
  </si>
  <si>
    <t>801 BARTON SPRINGS ROAD</t>
  </si>
  <si>
    <t>AUSTON</t>
  </si>
  <si>
    <t>3780-02-207-0170-901</t>
  </si>
  <si>
    <t>*3780022070170901*</t>
  </si>
  <si>
    <t>OATES CHRISTINE ANNE</t>
  </si>
  <si>
    <t xml:space="preserve">415 LAND GRANT DR                       </t>
  </si>
  <si>
    <t>3780-02-207-0490-901</t>
  </si>
  <si>
    <t>*3780022070490901*</t>
  </si>
  <si>
    <t>DRESCHER MACEY C &amp; JEFFREY E</t>
  </si>
  <si>
    <t xml:space="preserve">1903 AUDUBON CT                         </t>
  </si>
  <si>
    <t>3780-03-009-0160-901</t>
  </si>
  <si>
    <t>*3780030090160901*</t>
  </si>
  <si>
    <t>BEDROCK DEVELOPMENT GROUP LLC</t>
  </si>
  <si>
    <t>AMERICAN TITLE TITLE INSURANCE CO</t>
  </si>
  <si>
    <t>4795 REGENT BLVD 2ND FLOOR</t>
  </si>
  <si>
    <t>3780-03-010-0110-901</t>
  </si>
  <si>
    <t>*3780030100110901*</t>
  </si>
  <si>
    <t>AGUILAR ESTELLA</t>
  </si>
  <si>
    <t xml:space="preserve">2311 FAIRDALE CT                        </t>
  </si>
  <si>
    <t>3780-03-010-1170-901</t>
  </si>
  <si>
    <t>*3780030101170901*</t>
  </si>
  <si>
    <t>SHERROD MARIE</t>
  </si>
  <si>
    <t>MARIE SHERROD</t>
  </si>
  <si>
    <t>2410 WOVEN WOOD LANE</t>
  </si>
  <si>
    <t>3780-05-010-0750-901</t>
  </si>
  <si>
    <t>*3780050100750901*</t>
  </si>
  <si>
    <t>FRANK JACOB &amp; TAYLOR FARMILETTE</t>
  </si>
  <si>
    <t>JACOB FRANK</t>
  </si>
  <si>
    <t>8319 CLOVER LEAF DR</t>
  </si>
  <si>
    <t>3780-05-014-0460-901</t>
  </si>
  <si>
    <t>*3780050140460901*</t>
  </si>
  <si>
    <t>JOHNSON BRENT G</t>
  </si>
  <si>
    <t>BRENT JOHNSON</t>
  </si>
  <si>
    <t>2523 PORTLAND DRIVE</t>
  </si>
  <si>
    <t>3780-05-015-0060-901</t>
  </si>
  <si>
    <t>*3780050150060901*</t>
  </si>
  <si>
    <t>ANDREWS BARBARA A</t>
  </si>
  <si>
    <t xml:space="preserve">826 LODGE LN                            </t>
  </si>
  <si>
    <t>3780-06-001-0090-907</t>
  </si>
  <si>
    <t>*3780060010090907*</t>
  </si>
  <si>
    <t>BRENT TAYLOR &amp; TAYLOR M</t>
  </si>
  <si>
    <t>ALAMO TITLE COMPANY</t>
  </si>
  <si>
    <t>HOU AT HOUSTON ESCROW TRUST ACCT BANK OF</t>
  </si>
  <si>
    <t>TX 5070-ATCH-26</t>
  </si>
  <si>
    <t>6605 CYPRESSWOOD DRIVE SUITE 100</t>
  </si>
  <si>
    <t>3780-06-005-0150-907</t>
  </si>
  <si>
    <t>*3780060050150907*</t>
  </si>
  <si>
    <t>MILLS LEAH</t>
  </si>
  <si>
    <t>LEAH MILLS-MACPHERSON</t>
  </si>
  <si>
    <t>3206 BRUNO WAY</t>
  </si>
  <si>
    <t>3780-06-006-0530-907</t>
  </si>
  <si>
    <t>*3780060060530907*</t>
  </si>
  <si>
    <t>SMITH CAROL</t>
  </si>
  <si>
    <t>CLARK SMITH</t>
  </si>
  <si>
    <t>4416 ROLLING ROCK DR</t>
  </si>
  <si>
    <t>PORT ARTHUR</t>
  </si>
  <si>
    <t>3780-06-007-0090-907</t>
  </si>
  <si>
    <t>*3780060070090907*</t>
  </si>
  <si>
    <t>KING GEORGE R &amp; LORRI C</t>
  </si>
  <si>
    <t xml:space="preserve">2103 OLD DIXIE DR                       </t>
  </si>
  <si>
    <t>3780-07-006-0330-907</t>
  </si>
  <si>
    <t>*3780070060330907*</t>
  </si>
  <si>
    <t>MANHART NORMA ROSE</t>
  </si>
  <si>
    <t xml:space="preserve">2002 VICTORIA GARDEN DR                 </t>
  </si>
  <si>
    <t>3780-08-005-0371-907</t>
  </si>
  <si>
    <t>*3780080050371907*</t>
  </si>
  <si>
    <t>ESPINOZA NICHOLE A</t>
  </si>
  <si>
    <t>3780-09-010-1620-901</t>
  </si>
  <si>
    <t>*3780090101620901*</t>
  </si>
  <si>
    <t>FRANCIS JEFFERY &amp; TINA P</t>
  </si>
  <si>
    <t>TINA D FRANCIS</t>
  </si>
  <si>
    <t>2414 BROKEN ELM DR</t>
  </si>
  <si>
    <t>3780-11-001-0230-907</t>
  </si>
  <si>
    <t>*3780110010230907*</t>
  </si>
  <si>
    <t>TAYLOR MARK ANDREW</t>
  </si>
  <si>
    <t xml:space="preserve">2019 CHIMNEY WOOD CT                    </t>
  </si>
  <si>
    <t>3790-00-001-0150-901</t>
  </si>
  <si>
    <t>*3790000010150901*</t>
  </si>
  <si>
    <t>ROSALES ROBERTO &amp; IRENE M</t>
  </si>
  <si>
    <t>300 E RENFRO STE 100</t>
  </si>
  <si>
    <t>BURLESON</t>
  </si>
  <si>
    <t>3801-04-002-0110-907</t>
  </si>
  <si>
    <t>*3801040020110907*</t>
  </si>
  <si>
    <t>DEMIR KEVIN KAZIM &amp; MELEK AYIK</t>
  </si>
  <si>
    <t>KAZIM DEMIR</t>
  </si>
  <si>
    <t>MELEK DEMIR</t>
  </si>
  <si>
    <t>1200 13TH ST SW</t>
  </si>
  <si>
    <t>MINOT</t>
  </si>
  <si>
    <t>ND</t>
  </si>
  <si>
    <t>3801-05-001-0210-907</t>
  </si>
  <si>
    <t>*3801050010210907*</t>
  </si>
  <si>
    <t>SMITH VIVIAN ANN BURNS &amp; MILES S</t>
  </si>
  <si>
    <t>VIVIAN A SMITH</t>
  </si>
  <si>
    <t>3610 APPLE POINT PLACE</t>
  </si>
  <si>
    <t>3801-09-001-0180-907</t>
  </si>
  <si>
    <t>*3801090010180907*</t>
  </si>
  <si>
    <t>DIAMANT JUBILEE PROPERTIES LLC</t>
  </si>
  <si>
    <t>DIAMANT JUBILEE PROPERTIES</t>
  </si>
  <si>
    <t>18 BERINGER PL</t>
  </si>
  <si>
    <t>3801-14-001-0120-907</t>
  </si>
  <si>
    <t>*3801140010120907*</t>
  </si>
  <si>
    <t>VICK CHERYL SANGAREE &amp; KEVIN CLARK</t>
  </si>
  <si>
    <t>INDEPENDENCE TITLE</t>
  </si>
  <si>
    <t>MONTICELLO ESCROW ACCOUNT</t>
  </si>
  <si>
    <t>3100 MONTICELLO AVENUE SUITE 925</t>
  </si>
  <si>
    <t>3801-25-002-0310-907</t>
  </si>
  <si>
    <t>*3801250020310907*</t>
  </si>
  <si>
    <t>PRASLA AFIZ BABUBAI &amp; AFAROJBANU</t>
  </si>
  <si>
    <t>AFIZ PRASLA</t>
  </si>
  <si>
    <t>1119 TEAMRIDDLE WAY</t>
  </si>
  <si>
    <t>3801-25-002-0320-907</t>
  </si>
  <si>
    <t>*3801250020320907*</t>
  </si>
  <si>
    <t>MOMIN AMBREEN &amp; ANIL</t>
  </si>
  <si>
    <t>ANIL MOMIN</t>
  </si>
  <si>
    <t>1115 TEAMRIDDLE WAY</t>
  </si>
  <si>
    <t>3801-25-002-0670-907</t>
  </si>
  <si>
    <t>*3801250020670907*</t>
  </si>
  <si>
    <t>MAKNOJIA RIZWANA M &amp; MUBARAK S</t>
  </si>
  <si>
    <t>MUBARAK S MAKNOJIA</t>
  </si>
  <si>
    <t>2103 PUMPKIN PATCH LN</t>
  </si>
  <si>
    <t>3801-26-001-0160-907</t>
  </si>
  <si>
    <t>*3801260010160907*</t>
  </si>
  <si>
    <t>ALRAHMANI OMAR</t>
  </si>
  <si>
    <t>ATHAS CAPITAL GROUP</t>
  </si>
  <si>
    <t>27001 AGOURA RD STE 200</t>
  </si>
  <si>
    <t>AGOURA HILLS</t>
  </si>
  <si>
    <t>3850-01-001-1200-907</t>
  </si>
  <si>
    <t>*3850010011200907*</t>
  </si>
  <si>
    <t>WATSON JIMMY &amp; FELICIA</t>
  </si>
  <si>
    <t>NATIONSTAR MORTGAGE LLC DBA MR COOPER</t>
  </si>
  <si>
    <t>LERETA LLC AS AGENT FOR NATIONSTAR</t>
  </si>
  <si>
    <t>MORTGAGE LLC</t>
  </si>
  <si>
    <t>901 CORPORATE CENTER DR</t>
  </si>
  <si>
    <t>POMONA</t>
  </si>
  <si>
    <t>3850-01-003-2400-907</t>
  </si>
  <si>
    <t>*3850010032400907*</t>
  </si>
  <si>
    <t>SMITH EVELYN</t>
  </si>
  <si>
    <t xml:space="preserve">1602 WILLOW MILL DR                     </t>
  </si>
  <si>
    <t>3850-01-013-1000-907</t>
  </si>
  <si>
    <t>*3850010131000907*</t>
  </si>
  <si>
    <t>CHARLES LEWIS &amp; GENNIFER</t>
  </si>
  <si>
    <t>ASHLEY WALLER</t>
  </si>
  <si>
    <t>14575 SOUTH MAIN STREET</t>
  </si>
  <si>
    <t>3850-01-015-0010-907</t>
  </si>
  <si>
    <t>*3850010150010907*</t>
  </si>
  <si>
    <t>GUEVARA SANTIAGO HERNANDEZ &amp; LILIAN</t>
  </si>
  <si>
    <t>14100 SOUTHWEST FREEWAY STE 200</t>
  </si>
  <si>
    <t>3850-02-006-0180-907</t>
  </si>
  <si>
    <t>*3850020060180907*</t>
  </si>
  <si>
    <t>SHEFFIELD ROBERT N &amp; JUDY M</t>
  </si>
  <si>
    <t>R N SHEFIELKD</t>
  </si>
  <si>
    <t>OR J M SHEFIELD</t>
  </si>
  <si>
    <t>14919 ELMONT DR</t>
  </si>
  <si>
    <t>3850-02-007-0070-907</t>
  </si>
  <si>
    <t>*3850020070070907*</t>
  </si>
  <si>
    <t>SUMBRY UHURA MELISSA</t>
  </si>
  <si>
    <t xml:space="preserve">523 WHIPPOORWILL DR                     </t>
  </si>
  <si>
    <t>3850-02-009-0020-907</t>
  </si>
  <si>
    <t>*3850020090020907*</t>
  </si>
  <si>
    <t>ADENIRAN BASHIR A</t>
  </si>
  <si>
    <t>1600 SOUTH DOUGLASS ROAD STES 110 &amp; 200A</t>
  </si>
  <si>
    <t>ANAHEIM</t>
  </si>
  <si>
    <t>3850-02-009-0100-907</t>
  </si>
  <si>
    <t>*3850020090100907*</t>
  </si>
  <si>
    <t>JOHNSON VICTORIA</t>
  </si>
  <si>
    <t>VICTORIA JOHNSON OR M DOLORES</t>
  </si>
  <si>
    <t>1807 WOODSMITH CT</t>
  </si>
  <si>
    <t>3850-03-001-0450-907</t>
  </si>
  <si>
    <t>*3850030010450907*</t>
  </si>
  <si>
    <t>KLOH-ARD TARNYONOH &amp; TEPLAH TOOMEY</t>
  </si>
  <si>
    <t xml:space="preserve">139 SAINT FINANS WAY                    </t>
  </si>
  <si>
    <t>3850-03-001-0930-907</t>
  </si>
  <si>
    <t>*3850030010930907*</t>
  </si>
  <si>
    <t>DANIELS RICHARD E</t>
  </si>
  <si>
    <t>RICHARD DANIELS</t>
  </si>
  <si>
    <t>2203 HAMMERWOOD</t>
  </si>
  <si>
    <t>3850-03-005-0140-907</t>
  </si>
  <si>
    <t>*3850030050140907*</t>
  </si>
  <si>
    <t>ACOSTA JOSE RAMON &amp; MARIA SANTOS</t>
  </si>
  <si>
    <t>JOSE R ACOSTA</t>
  </si>
  <si>
    <t>MARIA S ACOSTA</t>
  </si>
  <si>
    <t>7203 GALLEON DR</t>
  </si>
  <si>
    <t>3850-04-004-0250-907</t>
  </si>
  <si>
    <t>*3850040040250907*</t>
  </si>
  <si>
    <t>HOLLINS DIANE R</t>
  </si>
  <si>
    <t>DAVID TEZENO</t>
  </si>
  <si>
    <t>SPARKLING ABODE</t>
  </si>
  <si>
    <t>DBA DDT TRUCKING</t>
  </si>
  <si>
    <t>2426 BUTTONHILL DR</t>
  </si>
  <si>
    <t>3850-04-010-0100-907</t>
  </si>
  <si>
    <t>*3850040100100907*</t>
  </si>
  <si>
    <t>GOMEZ MARIA GUADALUPE &amp; MONICA SANT</t>
  </si>
  <si>
    <t>3850-21-003-0050-907</t>
  </si>
  <si>
    <t>*3850210030050907*</t>
  </si>
  <si>
    <t>POLK LOUIS C &amp; TANZA C</t>
  </si>
  <si>
    <t>CARRINGTON MORTGAGE SERVIC</t>
  </si>
  <si>
    <t>1600 SOUTH DOUGLASS RD</t>
  </si>
  <si>
    <t>SUITE 110 &amp; 200A</t>
  </si>
  <si>
    <t>ANAHEIM, CA 92806</t>
  </si>
  <si>
    <t>3850-22-002-0280-907</t>
  </si>
  <si>
    <t>*3850220020280907*</t>
  </si>
  <si>
    <t>WOODS GREGORY J</t>
  </si>
  <si>
    <t>HOME POINT FINANCIAL CORP</t>
  </si>
  <si>
    <t>11511 LUNA ROAD SUITE 200</t>
  </si>
  <si>
    <t>FARMERS BRANCH</t>
  </si>
  <si>
    <t>3850-22-003-0050-907</t>
  </si>
  <si>
    <t>*3850220030050907*</t>
  </si>
  <si>
    <t>LOWE TOBY D &amp; KELLY DIONNE</t>
  </si>
  <si>
    <t>MOMENTUM TITLE LLC</t>
  </si>
  <si>
    <t>20333 STATE HIGHWAY 249 STE 510</t>
  </si>
  <si>
    <t>3855-00-007-0080-907</t>
  </si>
  <si>
    <t>*3855000070080907*</t>
  </si>
  <si>
    <t>CLOPHUS JANNAS &amp; BEVERLY</t>
  </si>
  <si>
    <t>REVERSE MTG SERVICING DEPT MORTGAGE</t>
  </si>
  <si>
    <t>C/O LERETA TEXAS OPERATIONS</t>
  </si>
  <si>
    <t>3895-00-000-0030-901</t>
  </si>
  <si>
    <t>*3895000000030901*</t>
  </si>
  <si>
    <t>MESSICK CRAIG ALAN &amp; AMBER WILLIAMS</t>
  </si>
  <si>
    <t>OLD REPUBLIC TITLE</t>
  </si>
  <si>
    <t>ESCROW ACCT</t>
  </si>
  <si>
    <t>777 POST OAK BLVD</t>
  </si>
  <si>
    <t>3900-04-037-0100-907</t>
  </si>
  <si>
    <t>*3900040370100907*</t>
  </si>
  <si>
    <t>GARCIA JOSE F &amp; MAGNI</t>
  </si>
  <si>
    <t xml:space="preserve">12702 CROW VALLEY LN                    </t>
  </si>
  <si>
    <t>3915-00-000-0060-901</t>
  </si>
  <si>
    <t>*3915000000060901*</t>
  </si>
  <si>
    <t>GARCIA JOSE LUIS &amp; GICELA</t>
  </si>
  <si>
    <t>ELIA VASQUEZ</t>
  </si>
  <si>
    <t>1021 LAWRENCE 4</t>
  </si>
  <si>
    <t>3925-00-001-0212-907</t>
  </si>
  <si>
    <t>*3925000010212907*</t>
  </si>
  <si>
    <t>VENIGANDLA RAMA &amp; VIJAYA</t>
  </si>
  <si>
    <t xml:space="preserve">10738  BECKFIELD DR                     </t>
  </si>
  <si>
    <t>3966-00-205-0501-907</t>
  </si>
  <si>
    <t>*3966002050501907*</t>
  </si>
  <si>
    <t>12930 DAIRY ASHFORD UNITS 501-504 L</t>
  </si>
  <si>
    <t>MODERN PAIN MANAGEMENT</t>
  </si>
  <si>
    <t>902 FROSTWOODSUITE 235</t>
  </si>
  <si>
    <t>3966-00-205-0502-907</t>
  </si>
  <si>
    <t>*3966002050502907*</t>
  </si>
  <si>
    <t>3966-00-205-0503-907</t>
  </si>
  <si>
    <t>*3966002050503907*</t>
  </si>
  <si>
    <t>3966-00-205-0504-907</t>
  </si>
  <si>
    <t>*3966002050504907*</t>
  </si>
  <si>
    <t>GEORGE ATALLAH</t>
  </si>
  <si>
    <t>3999-01-005-0040-920</t>
  </si>
  <si>
    <t>*3999010050040920*</t>
  </si>
  <si>
    <t>FLEMMING CEDRIC B</t>
  </si>
  <si>
    <t>CEDRIC B FLEMMING</t>
  </si>
  <si>
    <t>12714 WATER OAK DR</t>
  </si>
  <si>
    <t>3999-01-006-0390-920</t>
  </si>
  <si>
    <t>*3999010060390920*</t>
  </si>
  <si>
    <t>MOYE VINSON T</t>
  </si>
  <si>
    <t>C O CORELOGIC TAX SERVICES LLC</t>
  </si>
  <si>
    <t>4000-01-004-0050-920</t>
  </si>
  <si>
    <t>*4000010040050920*</t>
  </si>
  <si>
    <t>HOROVITZ FAMILY PARTNERSHIP LTD</t>
  </si>
  <si>
    <t xml:space="preserve">8115 MEADOW CREST ST                    </t>
  </si>
  <si>
    <t>4000-02-008-0080-920</t>
  </si>
  <si>
    <t>*4000020080080920*</t>
  </si>
  <si>
    <t>MENELEY MICHAEL A &amp; MARJORIE</t>
  </si>
  <si>
    <t>BANK OF AMERICA</t>
  </si>
  <si>
    <t>PO BOX 1270</t>
  </si>
  <si>
    <t>TULSA</t>
  </si>
  <si>
    <t>OK</t>
  </si>
  <si>
    <t>4000-03-009-0560-920</t>
  </si>
  <si>
    <t>*4000030090560920*</t>
  </si>
  <si>
    <t>TARA SPACE AUTOMATION LLC</t>
  </si>
  <si>
    <t>TITLEOLOGY INC</t>
  </si>
  <si>
    <t>4151 SOUTHWEST FREEWAY STE 680</t>
  </si>
  <si>
    <t>4000-03-009-0600-920</t>
  </si>
  <si>
    <t>*4000030090600920*</t>
  </si>
  <si>
    <t>ESCOBEDO JOSE LUIS &amp; MARIA E</t>
  </si>
  <si>
    <t>MARIA ESCOBEDO</t>
  </si>
  <si>
    <t>11738 N WILLOWDALE CIRCLE</t>
  </si>
  <si>
    <t>4000-03-010-0410-920</t>
  </si>
  <si>
    <t>*4000030100410920*</t>
  </si>
  <si>
    <t>VENCES OMAR</t>
  </si>
  <si>
    <t>WELLS FARGO</t>
  </si>
  <si>
    <t>PO BOX 10335</t>
  </si>
  <si>
    <t>4000-03-010-0440-920</t>
  </si>
  <si>
    <t>*4000030100440920*</t>
  </si>
  <si>
    <t>RIOS IRSAN A</t>
  </si>
  <si>
    <t>IRSAN A RIOS SOLE PROP</t>
  </si>
  <si>
    <t>DBA RIOS I.A.R. PAINTING</t>
  </si>
  <si>
    <t>11839 S WILLOW CIR</t>
  </si>
  <si>
    <t>4000-05-026-0160-920</t>
  </si>
  <si>
    <t>*4000050260160920*</t>
  </si>
  <si>
    <t>BERMUNDEZ CHRRITOBAL D &amp; MARIA D</t>
  </si>
  <si>
    <t xml:space="preserve">15319 E WILLOWWIND CIR                  </t>
  </si>
  <si>
    <t>4002-04-002-0340-914</t>
  </si>
  <si>
    <t>*4002040020340914*</t>
  </si>
  <si>
    <t>KALUGIN DAVID ANISIMOVICH</t>
  </si>
  <si>
    <t xml:space="preserve">26730 GREY SWAN DR                      </t>
  </si>
  <si>
    <t>4030-01-003-0150-901</t>
  </si>
  <si>
    <t>*4030010030150901*</t>
  </si>
  <si>
    <t>GOMEZ BRENDA &amp; URIEL REBOLLAR REBOL</t>
  </si>
  <si>
    <t>CORNERSTONE HOME LENDING</t>
  </si>
  <si>
    <t>1177 W LOOP S STE 200</t>
  </si>
  <si>
    <t>4050-01-002-0070-920</t>
  </si>
  <si>
    <t>*4050010020070920*</t>
  </si>
  <si>
    <t>CANNON LEANDER V</t>
  </si>
  <si>
    <t xml:space="preserve">7910 CHANCEL DR                         </t>
  </si>
  <si>
    <t>4050-01-002-0100-920</t>
  </si>
  <si>
    <t>*4050010020100920*</t>
  </si>
  <si>
    <t>BARBER ANTHONY JR</t>
  </si>
  <si>
    <t>KATHY G TATMON</t>
  </si>
  <si>
    <t>4130 STILLWATER DR</t>
  </si>
  <si>
    <t>4050-01-005-0010-920</t>
  </si>
  <si>
    <t>*4050010050010920*</t>
  </si>
  <si>
    <t>AGIZ ZELELEW</t>
  </si>
  <si>
    <t>AGIZ HOME IMPROVEMENT</t>
  </si>
  <si>
    <t>11903 MEADOWTRAIL LN</t>
  </si>
  <si>
    <t>4050-03-001-0560-920</t>
  </si>
  <si>
    <t>*4050030010560920*</t>
  </si>
  <si>
    <t>FERNANDEZ JACINTO G &amp; LOLITA</t>
  </si>
  <si>
    <t>LOLITA FERNANDEZ</t>
  </si>
  <si>
    <t>7807 LA ROCHELLE CIRCLE</t>
  </si>
  <si>
    <t>4050-03-002-0020-920</t>
  </si>
  <si>
    <t>*4050030020020920*</t>
  </si>
  <si>
    <t>BARRETT TRINA E</t>
  </si>
  <si>
    <t>1600 S DOUGLASS RD STES 110 &amp; 200-A</t>
  </si>
  <si>
    <t>4055-00-002-0031-901</t>
  </si>
  <si>
    <t>*4055000020031901*</t>
  </si>
  <si>
    <t>MARTINEZ JANICE &amp; ALBERT ZAHRADNIK</t>
  </si>
  <si>
    <t xml:space="preserve">4927 MACHA RD                           </t>
  </si>
  <si>
    <t>4110-00-001-3200-907</t>
  </si>
  <si>
    <t>*4110000013200907*</t>
  </si>
  <si>
    <t>PERRY STEPHEN &amp; JENNIFER</t>
  </si>
  <si>
    <t>STEPHEN PERRY</t>
  </si>
  <si>
    <t>13814 OAKWOOD LN</t>
  </si>
  <si>
    <t>4110-02-001-0200-907</t>
  </si>
  <si>
    <t>*4110020010200907*</t>
  </si>
  <si>
    <t>MORENO FERNANDO</t>
  </si>
  <si>
    <t>OSN TEXAS LLC</t>
  </si>
  <si>
    <t>4121-01-001-0200-901</t>
  </si>
  <si>
    <t>*4121010010200901*</t>
  </si>
  <si>
    <t>DURAN GUS E</t>
  </si>
  <si>
    <t>4150-00-008-0050-901</t>
  </si>
  <si>
    <t>*4150000080050901*</t>
  </si>
  <si>
    <t>MORRIS LANNIS R &amp; LESA I</t>
  </si>
  <si>
    <t>LESA MORRIS</t>
  </si>
  <si>
    <t>2211 ARAPAHOE DR</t>
  </si>
  <si>
    <t>4150-02-000-0290-901</t>
  </si>
  <si>
    <t>*4150020000290901*</t>
  </si>
  <si>
    <t>RIOS DEMETRIO JR</t>
  </si>
  <si>
    <t xml:space="preserve">5219 CUSTER CIR                         </t>
  </si>
  <si>
    <t>4204-02-003-0300-901</t>
  </si>
  <si>
    <t>*4204020030300901*</t>
  </si>
  <si>
    <t>FISHER DAVID B &amp; AMEE MARIE</t>
  </si>
  <si>
    <t>4204-04-001-0241-901</t>
  </si>
  <si>
    <t>*4204040010241901*</t>
  </si>
  <si>
    <t>PORTO LAURENCE MARIE</t>
  </si>
  <si>
    <t>ANDREW DAVILA</t>
  </si>
  <si>
    <t>2115 BRIAR HAWK CT</t>
  </si>
  <si>
    <t>4204-09-001-0260-901</t>
  </si>
  <si>
    <t>*4204090010260901*</t>
  </si>
  <si>
    <t>J PATRICK HOMES LTD</t>
  </si>
  <si>
    <t xml:space="preserve">9700  RICHMOND AVE                      </t>
  </si>
  <si>
    <t xml:space="preserve">STE 162                                 </t>
  </si>
  <si>
    <t>4204-10-002-0020-901</t>
  </si>
  <si>
    <t>*4204100020020901*</t>
  </si>
  <si>
    <t>CASTRO FELIPE ALEXANDER &amp; SANDRA HE</t>
  </si>
  <si>
    <t>4204-10-003-0050-901</t>
  </si>
  <si>
    <t>*4204100030050901*</t>
  </si>
  <si>
    <t>BHAI SOHEL HABEEB &amp; SHENILA SOHEL</t>
  </si>
  <si>
    <t>MILLENNIUM TITLE OF TEXAS LC</t>
  </si>
  <si>
    <t>ESCROW ACCOUNTS</t>
  </si>
  <si>
    <t>10720 WEST SAM HOUSTON PKWY NORTH</t>
  </si>
  <si>
    <t>SUITE 200</t>
  </si>
  <si>
    <t>4204-24-002-0280-901</t>
  </si>
  <si>
    <t>*4204240020280901*</t>
  </si>
  <si>
    <t>CRAWFORD DANA LYNN &amp; ZANE KIRK SR</t>
  </si>
  <si>
    <t>4220-01-100-0171-901</t>
  </si>
  <si>
    <t>*4220011000171901*</t>
  </si>
  <si>
    <t>CANTU HERMILO</t>
  </si>
  <si>
    <t>MARIA A CANTU</t>
  </si>
  <si>
    <t>5606 MEADOWLARK LN</t>
  </si>
  <si>
    <t>4220-02-200-0240-901</t>
  </si>
  <si>
    <t>*4220022000240901*</t>
  </si>
  <si>
    <t>MELENDEZ ANGELA M</t>
  </si>
  <si>
    <t>ANGELA PENA</t>
  </si>
  <si>
    <t>5703 KILLDEER LANE</t>
  </si>
  <si>
    <t>4220-02-200-0242-901</t>
  </si>
  <si>
    <t>*4220022000242901*</t>
  </si>
  <si>
    <t>RIVERA YVONNE &amp; MELENDEZ FRANK</t>
  </si>
  <si>
    <t>4237-04-001-0040-907</t>
  </si>
  <si>
    <t>*4237040010040907*</t>
  </si>
  <si>
    <t>NGUYEN HIEU H ETAL</t>
  </si>
  <si>
    <t>SANDY GUTIERREZ</t>
  </si>
  <si>
    <t>8715 PETERSBURG LN.</t>
  </si>
  <si>
    <t>4238-01-003-0160-914</t>
  </si>
  <si>
    <t>*4238010030160914*</t>
  </si>
  <si>
    <t>LEMMONS TODD</t>
  </si>
  <si>
    <t>4240-01-016-0560-907</t>
  </si>
  <si>
    <t>*4240010160560907*</t>
  </si>
  <si>
    <t>MORALES JORGE ESTATE</t>
  </si>
  <si>
    <t>JORGE MORALES</t>
  </si>
  <si>
    <t>GUADALUPE MORALES</t>
  </si>
  <si>
    <t>9626 HOMELAND DR</t>
  </si>
  <si>
    <t>4247-01-001-0210-914</t>
  </si>
  <si>
    <t>*4247010010210914*</t>
  </si>
  <si>
    <t>MARSHALL DREW F &amp; RACHEL R</t>
  </si>
  <si>
    <t>(ESCROW ACCOUNT)</t>
  </si>
  <si>
    <t>19219 KATY FWY STE 250</t>
  </si>
  <si>
    <t>4248-01-006-0190-914</t>
  </si>
  <si>
    <t>*4248010060190914*</t>
  </si>
  <si>
    <t>REINOSO GASTON &amp; MERCEDES MARTINEZ</t>
  </si>
  <si>
    <t>BLAND CHAMBERLAIN</t>
  </si>
  <si>
    <t>4010 FULFORD CT</t>
  </si>
  <si>
    <t>4249-01-004-0260-914</t>
  </si>
  <si>
    <t>*4249010040260914*</t>
  </si>
  <si>
    <t>CLAIBORNE PATRICIA</t>
  </si>
  <si>
    <t xml:space="preserve">21710 CINCO BLVD                        </t>
  </si>
  <si>
    <t>4280-02-005-0120-901</t>
  </si>
  <si>
    <t>*4280020050120901*</t>
  </si>
  <si>
    <t>LOBO SHAWN L &amp; MARY JANE</t>
  </si>
  <si>
    <t>1800 BERING DR STE 400</t>
  </si>
  <si>
    <t>4280-05-001-0070-901</t>
  </si>
  <si>
    <t>*4280050010070901*</t>
  </si>
  <si>
    <t>MILLAN VANESSA &amp; MICHAEL</t>
  </si>
  <si>
    <t>4280-05-004-0190-901</t>
  </si>
  <si>
    <t>*4280050040190901*</t>
  </si>
  <si>
    <t>ZUHL AARON &amp; JENNY POSPISIL</t>
  </si>
  <si>
    <t>RAUSCH COLEMAN HOMES HOUSTON LLC</t>
  </si>
  <si>
    <t>PO BOX 10560</t>
  </si>
  <si>
    <t>FAYETTEVILLE</t>
  </si>
  <si>
    <t>AR</t>
  </si>
  <si>
    <t>4283-01-002-0070-907</t>
  </si>
  <si>
    <t>*4283010020070907*</t>
  </si>
  <si>
    <t>TRUONG TIM</t>
  </si>
  <si>
    <t xml:space="preserve">14511 FENIAN CT                         </t>
  </si>
  <si>
    <t>4291-01-002-0330-914</t>
  </si>
  <si>
    <t>*4291010020330914*</t>
  </si>
  <si>
    <t>MOMIN NIZAMUDDIN N</t>
  </si>
  <si>
    <t>NIZAMUDDIN N MOMIN OR</t>
  </si>
  <si>
    <t>NEELOFER MOHAMMED MOMIN</t>
  </si>
  <si>
    <t>25907 CELTIC TERRACE DR</t>
  </si>
  <si>
    <t>4291-03-002-0110-914</t>
  </si>
  <si>
    <t>*4291030020110914*</t>
  </si>
  <si>
    <t>AYESTARAN LUIS (ESTATE) &amp; ELEONORA</t>
  </si>
  <si>
    <t xml:space="preserve">25319 LISBURN DR                        </t>
  </si>
  <si>
    <t>4296-01-003-0020-907</t>
  </si>
  <si>
    <t>*4296010030020907*</t>
  </si>
  <si>
    <t>PATEL REKHA S</t>
  </si>
  <si>
    <t>4297-02-002-0310-907</t>
  </si>
  <si>
    <t>*4297020020310907*</t>
  </si>
  <si>
    <t>BIGNISO INTERNATIONAL LLC</t>
  </si>
  <si>
    <t>BIGNISO IMTERNATIONAL LLC</t>
  </si>
  <si>
    <t>3900 PITT ST NE</t>
  </si>
  <si>
    <t>ALBUQUERQUE</t>
  </si>
  <si>
    <t>4300-00-003-0310-910</t>
  </si>
  <si>
    <t>*4300000030310910*</t>
  </si>
  <si>
    <t>MAHONEY STEPHANIE LYNN &amp; ANTHONY L</t>
  </si>
  <si>
    <t>STEOHANIE MAHONEY</t>
  </si>
  <si>
    <t>218 QUEENS CT</t>
  </si>
  <si>
    <t>4300-00-003-0450-910</t>
  </si>
  <si>
    <t>*4300000030450910*</t>
  </si>
  <si>
    <t>KUDAK GROUP LLC</t>
  </si>
  <si>
    <t>ALEXANDER KUDAKKACHI &amp; VALSA</t>
  </si>
  <si>
    <t xml:space="preserve">226 SQUIRES BND                         </t>
  </si>
  <si>
    <t>4300-00-004-0010-910</t>
  </si>
  <si>
    <t>*4300000040010910*</t>
  </si>
  <si>
    <t>AING MARIA DARIA</t>
  </si>
  <si>
    <t>MARINA D AING</t>
  </si>
  <si>
    <t>2547 WILLOW DRIVE</t>
  </si>
  <si>
    <t>4415-00-009-0110-901</t>
  </si>
  <si>
    <t>*4415000090110901*</t>
  </si>
  <si>
    <t>FRANKS IDA</t>
  </si>
  <si>
    <t>TRENITA SOLOMON</t>
  </si>
  <si>
    <t>521 BRAZOS ST</t>
  </si>
  <si>
    <t>4415-00-010-0040-901</t>
  </si>
  <si>
    <t>*4415000100040901*</t>
  </si>
  <si>
    <t>GALVAN CLEMENTE JR</t>
  </si>
  <si>
    <t xml:space="preserve">1924 E HIGHWAY 90A                      </t>
  </si>
  <si>
    <t>4500-00-015-0080-901</t>
  </si>
  <si>
    <t>*4500000150080901*</t>
  </si>
  <si>
    <t>ALVARADO RAMON &amp; DENISIA</t>
  </si>
  <si>
    <t>D ALVARADO</t>
  </si>
  <si>
    <t>1818 MARILYN ST</t>
  </si>
  <si>
    <t>4500-00-017-0040-901</t>
  </si>
  <si>
    <t>*4500000170040901*</t>
  </si>
  <si>
    <t>NOLEN LEALAND W</t>
  </si>
  <si>
    <t xml:space="preserve">1821 BRUMBELOW ST                       </t>
  </si>
  <si>
    <t>4585-01-001-0020-906</t>
  </si>
  <si>
    <t>*4585010010020906*</t>
  </si>
  <si>
    <t>SALINAS JEORGE</t>
  </si>
  <si>
    <t xml:space="preserve">4914 HIGHWAY 36 S                       </t>
  </si>
  <si>
    <t>4600-00-022-1190-907</t>
  </si>
  <si>
    <t>*4600000221190907*</t>
  </si>
  <si>
    <t>KANAK THOMAS D ETAL</t>
  </si>
  <si>
    <t>GAIL A FULTS</t>
  </si>
  <si>
    <t>JERRY W FULTS</t>
  </si>
  <si>
    <t>3983 RIVER PLACE BLVD</t>
  </si>
  <si>
    <t>AUSTIN</t>
  </si>
  <si>
    <t>4600-00-032-2020-907</t>
  </si>
  <si>
    <t>*4600000322020907*</t>
  </si>
  <si>
    <t>BROWN ARNOLD</t>
  </si>
  <si>
    <t xml:space="preserve">16727 QUAIL VIEW CT                     </t>
  </si>
  <si>
    <t>4600-00-040-0100-907</t>
  </si>
  <si>
    <t>*4600000400100907*</t>
  </si>
  <si>
    <t>WOODWARD JORDAN</t>
  </si>
  <si>
    <t>JORDAN WOODWARD</t>
  </si>
  <si>
    <t>627ELM ST</t>
  </si>
  <si>
    <t>4600-00-042-1021-907</t>
  </si>
  <si>
    <t>*4600000421021907*</t>
  </si>
  <si>
    <t>GOMEZ-BARRERA NOE</t>
  </si>
  <si>
    <t>VELLANI LAW</t>
  </si>
  <si>
    <t>INDEPENDENCE TITLE VLHF ESCROW ACCOUNT</t>
  </si>
  <si>
    <t>14090 SOUTHWEST FWY STE 150</t>
  </si>
  <si>
    <t>4600-00-125-0030-907</t>
  </si>
  <si>
    <t>*4600001250030907*</t>
  </si>
  <si>
    <t>4600-00-297-0032-907</t>
  </si>
  <si>
    <t>*4600002970032907*</t>
  </si>
  <si>
    <t>MEDINA JESUS &amp; ELIZA C</t>
  </si>
  <si>
    <t>MARIA MEDINA</t>
  </si>
  <si>
    <t>830 W DALLAS ST</t>
  </si>
  <si>
    <t>4600-00-514-1040-907</t>
  </si>
  <si>
    <t>*4600005141040907*</t>
  </si>
  <si>
    <t>PENADO JOEL ETAL</t>
  </si>
  <si>
    <t>LILIANA TRISTAN</t>
  </si>
  <si>
    <t>20110 S POST OAK BLVD</t>
  </si>
  <si>
    <t>4600-00-572-0020-907</t>
  </si>
  <si>
    <t>*4600005720020907*</t>
  </si>
  <si>
    <t>COUSINS TIMOTHY M</t>
  </si>
  <si>
    <t>ALAN MAURICIO</t>
  </si>
  <si>
    <t>10307 SOUTHOVER CT</t>
  </si>
  <si>
    <t>4601-01-002-0320-907</t>
  </si>
  <si>
    <t>*4601010020320907*</t>
  </si>
  <si>
    <t>JONES TOMMY C</t>
  </si>
  <si>
    <t>3424 FM 1092 SUITE 200</t>
  </si>
  <si>
    <t>4755-02-003-0050-907</t>
  </si>
  <si>
    <t>*4755020030050907*</t>
  </si>
  <si>
    <t>MOHAN THOMAS F &amp; MARTA</t>
  </si>
  <si>
    <t>4757-01-001-0101-907</t>
  </si>
  <si>
    <t>*4757010010101907*</t>
  </si>
  <si>
    <t>MACK DORETHA</t>
  </si>
  <si>
    <t>4757-05-001-0221-907</t>
  </si>
  <si>
    <t>*4757050010221907*</t>
  </si>
  <si>
    <t>DIAZ CHRISTOPHER LEE</t>
  </si>
  <si>
    <t>4758-01-002-0010-907</t>
  </si>
  <si>
    <t>*4758010020010907*</t>
  </si>
  <si>
    <t>GALLAGHER ALEXIS M</t>
  </si>
  <si>
    <t>ALEXIS M GALLAGHER</t>
  </si>
  <si>
    <t>1702 LAKEBEND DRIVE</t>
  </si>
  <si>
    <t>4762-01-006-0100-907</t>
  </si>
  <si>
    <t>*4762010060100907*</t>
  </si>
  <si>
    <t>DAHLMAN RICHARD ALAN &amp; LINDA KAY</t>
  </si>
  <si>
    <t>DAHLMAN VENTURE PARTNERS LP</t>
  </si>
  <si>
    <t>111 BRAND LN STE 300</t>
  </si>
  <si>
    <t>4762-01-016-0240-907</t>
  </si>
  <si>
    <t>*4762010160240907*</t>
  </si>
  <si>
    <t>RIVERA LUZ V</t>
  </si>
  <si>
    <t>SUGAR LAND ESCROW ACCT</t>
  </si>
  <si>
    <t>2415 TOWN CENTER STE 100</t>
  </si>
  <si>
    <t>4764-02-002-0340-907</t>
  </si>
  <si>
    <t>*4764020020340907*</t>
  </si>
  <si>
    <t>BRYAN WILLIAM E III</t>
  </si>
  <si>
    <t>4765-02-002-0050-901</t>
  </si>
  <si>
    <t>*4765020020050901*</t>
  </si>
  <si>
    <t>CARDWELL JOHN S</t>
  </si>
  <si>
    <t xml:space="preserve">4609 JANE LONG DR                       </t>
  </si>
  <si>
    <t>4767-01-002-0160-907</t>
  </si>
  <si>
    <t>*4767010020160907*</t>
  </si>
  <si>
    <t>LEDER BETTY S</t>
  </si>
  <si>
    <t xml:space="preserve">4407 BALBOA DR                          </t>
  </si>
  <si>
    <t>4772-01-001-0230-907</t>
  </si>
  <si>
    <t>*4772010010230907*</t>
  </si>
  <si>
    <t>POKKAMTHANAM JOSE MATHEW &amp; JESSICA</t>
  </si>
  <si>
    <t>14090 SOUTHWEST FRWY STE 150</t>
  </si>
  <si>
    <t>4774-01-003-0090-901</t>
  </si>
  <si>
    <t>*4774010030090901*</t>
  </si>
  <si>
    <t>ALLRED DONALD ROGERS</t>
  </si>
  <si>
    <t>BBVA</t>
  </si>
  <si>
    <t>PO BOX 830953</t>
  </si>
  <si>
    <t>BIRMINGHAM</t>
  </si>
  <si>
    <t>4775-01-002-0490-907</t>
  </si>
  <si>
    <t>*4775010020490907*</t>
  </si>
  <si>
    <t>RIVERO-MATIAS RAMON &amp; MERCEDES DELG</t>
  </si>
  <si>
    <t>MALIK JAVED B &amp; RUKHSANA B</t>
  </si>
  <si>
    <t xml:space="preserve">4519 LAKESIDE MEADOW DR                 </t>
  </si>
  <si>
    <t>4777-01-001-0010-901</t>
  </si>
  <si>
    <t>*4777010010010901*</t>
  </si>
  <si>
    <t>KOCH GREGORY M</t>
  </si>
  <si>
    <t xml:space="preserve">24314 BELLA VENEZA DR                   </t>
  </si>
  <si>
    <t>4777-02-001-0140-901</t>
  </si>
  <si>
    <t>*4777020010140901*</t>
  </si>
  <si>
    <t>SHAIK KAREEMUDDIN</t>
  </si>
  <si>
    <t>KAREEMUDDIN M SHAIK</t>
  </si>
  <si>
    <t>Q311 QUIRSH CT</t>
  </si>
  <si>
    <t>DHAHRAN</t>
  </si>
  <si>
    <t>SA</t>
  </si>
  <si>
    <t>4777-07-001-0280-901</t>
  </si>
  <si>
    <t>*4777070010280901*</t>
  </si>
  <si>
    <t>OBAZE CHRISTOPHER</t>
  </si>
  <si>
    <t>SECURED TITLE OF TEXAS LLC</t>
  </si>
  <si>
    <t>WILLINGHAM TITLE PLLC ESCROW ACCT</t>
  </si>
  <si>
    <t>3900 S STONEBRIDGE STE 1102</t>
  </si>
  <si>
    <t>MCKINNEY</t>
  </si>
  <si>
    <t>4777-14-001-0330-901</t>
  </si>
  <si>
    <t>*4777140010330901*</t>
  </si>
  <si>
    <t>PEREZ JOSE A &amp; XIOMARA J</t>
  </si>
  <si>
    <t xml:space="preserve">11619 VIA VERDONE DR                    </t>
  </si>
  <si>
    <t>4777-15-001-0160-901</t>
  </si>
  <si>
    <t>*4777150010160901*</t>
  </si>
  <si>
    <t>MATHENGE FRANCIS &amp; NANCY KIARIE</t>
  </si>
  <si>
    <t>4777-18-001-0320-901</t>
  </si>
  <si>
    <t>*4777180010320901*</t>
  </si>
  <si>
    <t>REN SHIXIANG</t>
  </si>
  <si>
    <t>LITTLE MINDI A</t>
  </si>
  <si>
    <t xml:space="preserve">24331 PIAZZA DR                         </t>
  </si>
  <si>
    <t>4777-21-001-0140-901</t>
  </si>
  <si>
    <t>*4777210010140901*</t>
  </si>
  <si>
    <t>HYDE THOMAS SR &amp; VERNA</t>
  </si>
  <si>
    <t>THOMAS HYDE</t>
  </si>
  <si>
    <t>11738 GIOVANNI LANE</t>
  </si>
  <si>
    <t>4777-22-001-0400-901</t>
  </si>
  <si>
    <t>*4777220010400901*</t>
  </si>
  <si>
    <t>TSIKA THOMAS J &amp; KELLEY L</t>
  </si>
  <si>
    <t>ORCHARD TITLE OF TEXAS LLC</t>
  </si>
  <si>
    <t>7300 LONE STAR C200</t>
  </si>
  <si>
    <t>4777-30-002-0060-901</t>
  </si>
  <si>
    <t>*4777300020060901*</t>
  </si>
  <si>
    <t>JMR SQUARED ENTERPRISES LLC</t>
  </si>
  <si>
    <t>JOHN RABENBERG</t>
  </si>
  <si>
    <t>23706 TULIPANO LANE</t>
  </si>
  <si>
    <t>4777-87-001-0160-901</t>
  </si>
  <si>
    <t>*4777870010160901*</t>
  </si>
  <si>
    <t>HAN WEISHAN</t>
  </si>
  <si>
    <t>WEISHAN HAN</t>
  </si>
  <si>
    <t>21922 GREAT CREEK LN</t>
  </si>
  <si>
    <t>4779-01-003-0170-907</t>
  </si>
  <si>
    <t>*4779010030170907*</t>
  </si>
  <si>
    <t>KESARIA AMEEN M &amp; FARAHNAZ</t>
  </si>
  <si>
    <t xml:space="preserve">230 CHATHAM AVE                         </t>
  </si>
  <si>
    <t>4779-03-002-0240-907</t>
  </si>
  <si>
    <t>*4779030020240907*</t>
  </si>
  <si>
    <t>CHIDOLUE OKEY J &amp; FELICIA N</t>
  </si>
  <si>
    <t xml:space="preserve">1510 COLONY LAKES DR                    </t>
  </si>
  <si>
    <t>4782-01-000-0042-907</t>
  </si>
  <si>
    <t>*4782010000042907*</t>
  </si>
  <si>
    <t>FLORES GUADALUPE J</t>
  </si>
  <si>
    <t xml:space="preserve">1722 PACKER LN                          </t>
  </si>
  <si>
    <t>4782-01-000-0044-907</t>
  </si>
  <si>
    <t>*4782010000044907*</t>
  </si>
  <si>
    <t>TRISTAN SIMON</t>
  </si>
  <si>
    <t>GRACIIELA HERNANDEZ</t>
  </si>
  <si>
    <t>FRANCISCO HERNANDEZ</t>
  </si>
  <si>
    <t>4215 LOS VERDES DR</t>
  </si>
  <si>
    <t>4787-01-001-0070-901</t>
  </si>
  <si>
    <t>*4787010010070901*</t>
  </si>
  <si>
    <t>SHOWALTER DAVID W</t>
  </si>
  <si>
    <t>DAVID W OR KAREN M SHOWALTER</t>
  </si>
  <si>
    <t>1117 FM 359 RD</t>
  </si>
  <si>
    <t>4792-01-001-0010-901</t>
  </si>
  <si>
    <t>*4792010010010901*</t>
  </si>
  <si>
    <t>BONNER TIMOTHY &amp; MIRNA SAUCEDO</t>
  </si>
  <si>
    <t>STARTEX TITLE AGENCY</t>
  </si>
  <si>
    <t>9555 W SAM HOUSTON PKWY STE 326</t>
  </si>
  <si>
    <t>4794-02-002-0470-901</t>
  </si>
  <si>
    <t>*4794020020470901*</t>
  </si>
  <si>
    <t>GARCIA ABELARDO</t>
  </si>
  <si>
    <t>4794-03-003-0110-901</t>
  </si>
  <si>
    <t>*4794030030110901*</t>
  </si>
  <si>
    <t>ROBERSON ISRAEL TAYLOR</t>
  </si>
  <si>
    <t xml:space="preserve">20126 BENTON SPRINGS LN                 </t>
  </si>
  <si>
    <t>ISRAEL T ROBERSON</t>
  </si>
  <si>
    <t>14906 AUTUMNVALE LN</t>
  </si>
  <si>
    <t>4795-01-002-0350-907</t>
  </si>
  <si>
    <t>*4795010020350907*</t>
  </si>
  <si>
    <t>SOBOLA JOHN &amp; SUGAR A JOHN-SOBOLA</t>
  </si>
  <si>
    <t>JOHN SOBOLA</t>
  </si>
  <si>
    <t>2819 LAKE SHORE HARBOUR DR</t>
  </si>
  <si>
    <t>4795-03-002-0750-907</t>
  </si>
  <si>
    <t>*4795030020750907*</t>
  </si>
  <si>
    <t>JOSE MELVIN &amp; BLOSSOM</t>
  </si>
  <si>
    <t xml:space="preserve">4031 TUSCAN SHORES DR                   </t>
  </si>
  <si>
    <t>4795-06-002-0670-907</t>
  </si>
  <si>
    <t>*4795060020670907*</t>
  </si>
  <si>
    <t>CHEN DONG &amp; WEIPING XIAO</t>
  </si>
  <si>
    <t>WEIPING XIAO</t>
  </si>
  <si>
    <t>3811 VARNA CT</t>
  </si>
  <si>
    <t>4795-07-001-0200-907</t>
  </si>
  <si>
    <t>*4795070010200907*</t>
  </si>
  <si>
    <t>TOSH PETER &amp; NICOLE MARIE</t>
  </si>
  <si>
    <t>PETER TOSH</t>
  </si>
  <si>
    <t>3810 ALTINO CT</t>
  </si>
  <si>
    <t>4800-00-593-0602-907</t>
  </si>
  <si>
    <t>*4800005930602907*</t>
  </si>
  <si>
    <t>BURGMAN IDA MAE</t>
  </si>
  <si>
    <t xml:space="preserve">PO BOX 274                              </t>
  </si>
  <si>
    <t>4801-00-002-0050-914</t>
  </si>
  <si>
    <t>*4801000020050914*</t>
  </si>
  <si>
    <t>PROCTEC TEXAS INC</t>
  </si>
  <si>
    <t xml:space="preserve">5100  CALIFORNIA AVE                    </t>
  </si>
  <si>
    <t xml:space="preserve">STE 125                                 </t>
  </si>
  <si>
    <t xml:space="preserve">BAKERSFIELD             </t>
  </si>
  <si>
    <t>4802-03-001-0190-901</t>
  </si>
  <si>
    <t>*4802030010190901*</t>
  </si>
  <si>
    <t>RUTHERFORD PAUL</t>
  </si>
  <si>
    <t xml:space="preserve">62  EDGEMONT CT                         </t>
  </si>
  <si>
    <t>4803-04-002-0010-901</t>
  </si>
  <si>
    <t>*4803040020010901*</t>
  </si>
  <si>
    <t>CHEN ERIC</t>
  </si>
  <si>
    <t>CHRISTOPHER M. PHAM LAW GROUP FEE</t>
  </si>
  <si>
    <t>OFFICE ESCROW ACCOUNT</t>
  </si>
  <si>
    <t>10700 RICHMOND AVENUE, SUITE 200</t>
  </si>
  <si>
    <t>4850-00-014-2700-907</t>
  </si>
  <si>
    <t>*4850000142700907*</t>
  </si>
  <si>
    <t>HERRERA EDUARDO</t>
  </si>
  <si>
    <t>4850-00-017-1300-907</t>
  </si>
  <si>
    <t>*4850000171300907*</t>
  </si>
  <si>
    <t>BENNETT CHESTER E</t>
  </si>
  <si>
    <t>CHESTER BENNETT</t>
  </si>
  <si>
    <t>4350 ALYSHEBA</t>
  </si>
  <si>
    <t>FRIENDSWOOD</t>
  </si>
  <si>
    <t>4850-00-019-1400-907</t>
  </si>
  <si>
    <t>*4850000191400907*</t>
  </si>
  <si>
    <t>BRAZIEL WILLIAM C JR</t>
  </si>
  <si>
    <t xml:space="preserve">6122 MAYWOOD ST                         </t>
  </si>
  <si>
    <t>4850-00-024-1300-907</t>
  </si>
  <si>
    <t>*4850000241300907*</t>
  </si>
  <si>
    <t>HILL RUTH THELMA</t>
  </si>
  <si>
    <t xml:space="preserve">5402 MAYWOOD ST                         </t>
  </si>
  <si>
    <t>4850-00-031-1200-907</t>
  </si>
  <si>
    <t>*4850000311200907*</t>
  </si>
  <si>
    <t>VIESCA GUILLERMO &amp; MARIA</t>
  </si>
  <si>
    <t xml:space="preserve">5106 MACKINAW ST                        </t>
  </si>
  <si>
    <t>4850-00-032-1700-907</t>
  </si>
  <si>
    <t>*4850000321700907*</t>
  </si>
  <si>
    <t>LEDEZMA FRANCISCO &amp; MARIA</t>
  </si>
  <si>
    <t xml:space="preserve">5117 MACKINAW ST                        </t>
  </si>
  <si>
    <t>4850-00-034-0200-907</t>
  </si>
  <si>
    <t>*4850000340200907*</t>
  </si>
  <si>
    <t>SUAREZ VALERIA PATRICIA</t>
  </si>
  <si>
    <t>VALERIA SUAREZ</t>
  </si>
  <si>
    <t>5229 MAYWOOD DR</t>
  </si>
  <si>
    <t>4850-00-044-1700-907</t>
  </si>
  <si>
    <t>*4850000441700907*</t>
  </si>
  <si>
    <t>MURILLO NEIDA</t>
  </si>
  <si>
    <t>JUANA NUNEZ</t>
  </si>
  <si>
    <t>5513 MELANITE ST</t>
  </si>
  <si>
    <t>4874-00-002-0180-901</t>
  </si>
  <si>
    <t>*4874000020180901*</t>
  </si>
  <si>
    <t>TORRES GABRIEL ALEXANDRE</t>
  </si>
  <si>
    <t>GABRIEL A TORRES</t>
  </si>
  <si>
    <t>1923 TEAKWOOD ST</t>
  </si>
  <si>
    <t>4875-02-002-0030-901</t>
  </si>
  <si>
    <t>*4875020020030901*</t>
  </si>
  <si>
    <t>MURTHY MALAVIKA K</t>
  </si>
  <si>
    <t>TX CAPITAL PTH#1 ESCROW ACCOUNT</t>
  </si>
  <si>
    <t>4265 SAN FELIPE STREET 400</t>
  </si>
  <si>
    <t>4880-01-005-0090-907</t>
  </si>
  <si>
    <t>*4880010050090907*</t>
  </si>
  <si>
    <t>NEWTON LESLIE A &amp; ANN M</t>
  </si>
  <si>
    <t xml:space="preserve">3506 MESQUITE DR                        </t>
  </si>
  <si>
    <t>4880-02-001-0150-907</t>
  </si>
  <si>
    <t>*4880020010150907*</t>
  </si>
  <si>
    <t>DU GRACE XINGE</t>
  </si>
  <si>
    <t>CREEKYU INC</t>
  </si>
  <si>
    <t>4330 MERRIWEATHER ST</t>
  </si>
  <si>
    <t>4881-01-001-0270-907</t>
  </si>
  <si>
    <t>*4881010010270907*</t>
  </si>
  <si>
    <t>KUO ARTHUR &amp; YU LIU</t>
  </si>
  <si>
    <t>PRIORITY SETTLEMENT GROUP OF TEXAS LLC</t>
  </si>
  <si>
    <t>7600 BURNET RD STE 160</t>
  </si>
  <si>
    <t>4881-01-002-0060-907</t>
  </si>
  <si>
    <t>*4881010020060907*</t>
  </si>
  <si>
    <t>OKUNUBI ADEYINKA O</t>
  </si>
  <si>
    <t>ADEYINKA OKUNUBI</t>
  </si>
  <si>
    <t>1319 GRAND FALLS DRIVE</t>
  </si>
  <si>
    <t>4883-01-002-0130-907</t>
  </si>
  <si>
    <t>*4883010020130907*</t>
  </si>
  <si>
    <t>CAMILLO HOUSES CV 7 LLC</t>
  </si>
  <si>
    <t>CAMILLO HOUSES #3 LLC</t>
  </si>
  <si>
    <t xml:space="preserve">6707 GESSNER RD                         </t>
  </si>
  <si>
    <t>4886-01-001-0070-901</t>
  </si>
  <si>
    <t>*4886010010070901*</t>
  </si>
  <si>
    <t>CERVANTES AYLIN GISSEL</t>
  </si>
  <si>
    <t>4886-01-001-0140-901</t>
  </si>
  <si>
    <t>*4886010010140901*</t>
  </si>
  <si>
    <t>TALHA SYED</t>
  </si>
  <si>
    <t>4886-01-002-0070-901</t>
  </si>
  <si>
    <t>*4886010020070901*</t>
  </si>
  <si>
    <t>STONEFORD TX LLC</t>
  </si>
  <si>
    <t xml:space="preserve">3250 BRIARPARK DR                       </t>
  </si>
  <si>
    <t xml:space="preserve">STE 100                                 </t>
  </si>
  <si>
    <t>4895-01-003-0210-901</t>
  </si>
  <si>
    <t>*4895010030210901*</t>
  </si>
  <si>
    <t>DYUNOVA NATALIA</t>
  </si>
  <si>
    <t>OLEG DYUNOV</t>
  </si>
  <si>
    <t>7111 SIERRA NIGHT DR</t>
  </si>
  <si>
    <t>4895-02-001-0060-901</t>
  </si>
  <si>
    <t>*4895020010060901*</t>
  </si>
  <si>
    <t>SALDANA ALFREDO &amp; JULIA</t>
  </si>
  <si>
    <t xml:space="preserve">7211 ALLPOINT CT                        </t>
  </si>
  <si>
    <t>4900-01-004-1102-907</t>
  </si>
  <si>
    <t>*4900010041102907*</t>
  </si>
  <si>
    <t>JOHNSON FRANK</t>
  </si>
  <si>
    <t xml:space="preserve">715 W PARK ST                           </t>
  </si>
  <si>
    <t>4900-02-007-1101-907</t>
  </si>
  <si>
    <t>*4900020071101907*</t>
  </si>
  <si>
    <t>RICO LETICIA MEZA ETAL</t>
  </si>
  <si>
    <t>JOSE RICO</t>
  </si>
  <si>
    <t>14011 KATHI LYNN LANE</t>
  </si>
  <si>
    <t>4902-03-002-0060-907</t>
  </si>
  <si>
    <t>*4902030020060907*</t>
  </si>
  <si>
    <t>MOMIN NAZIM H &amp; SAMRIN</t>
  </si>
  <si>
    <t xml:space="preserve">5503 LOCKWOOD BEND LN                   </t>
  </si>
  <si>
    <t>4960-01-002-0900-907</t>
  </si>
  <si>
    <t>*4960010020900907*</t>
  </si>
  <si>
    <t>BARRERA JOSE ERNESTO ARGUETA &amp; EVEL</t>
  </si>
  <si>
    <t>AUGUST REI MORTGAGE</t>
  </si>
  <si>
    <t>C O LERETA TEXAS OPERATIONS</t>
  </si>
  <si>
    <t>4960-03-014-0070-907</t>
  </si>
  <si>
    <t>*4960030140070907*</t>
  </si>
  <si>
    <t>DESAI HARDIK</t>
  </si>
  <si>
    <t>PATRIOT TITLE</t>
  </si>
  <si>
    <t>11767 KATY FWY STE 120</t>
  </si>
  <si>
    <t>4960-05-017-0910-907</t>
  </si>
  <si>
    <t>*4960050170910907*</t>
  </si>
  <si>
    <t>BENNETT ARTHUR G &amp; HYACINTH E</t>
  </si>
  <si>
    <t xml:space="preserve">2210 BRIGHT MEADOWS DR                  </t>
  </si>
  <si>
    <t>4963-03-001-0050-907</t>
  </si>
  <si>
    <t>*4963030010050907*</t>
  </si>
  <si>
    <t>DAHUNSI ABIODUN OLAJIDE &amp; TAIWO TEM</t>
  </si>
  <si>
    <t>PRIMA TITLE LLC</t>
  </si>
  <si>
    <t>1008 MACON ST STE 100</t>
  </si>
  <si>
    <t>4966-01-001-0110-907</t>
  </si>
  <si>
    <t>*4966010010110907*</t>
  </si>
  <si>
    <t>MEEK MARY E &amp; FLOY FIELDS</t>
  </si>
  <si>
    <t>MAXINE FIELDS</t>
  </si>
  <si>
    <t>12130 AMBLEWOOD DRIVE</t>
  </si>
  <si>
    <t>MEADOWS PLACE</t>
  </si>
  <si>
    <t>4966-03-002-0830-907</t>
  </si>
  <si>
    <t>*4966030020830907*</t>
  </si>
  <si>
    <t>BAIG ZAFAR &amp; AISHA</t>
  </si>
  <si>
    <t>AISHA BAIG</t>
  </si>
  <si>
    <t>OR ZAFAR BAIG</t>
  </si>
  <si>
    <t>12214 MEADOWGLEN DR</t>
  </si>
  <si>
    <t>4968-01-001-0140-907</t>
  </si>
  <si>
    <t>*4968010010140907*</t>
  </si>
  <si>
    <t>WEISS CHARLES L &amp; CYNTHIA A</t>
  </si>
  <si>
    <t>5005-01-002-1090-907</t>
  </si>
  <si>
    <t>*5005010021090907*</t>
  </si>
  <si>
    <t>MESTEPEY BOBBY &amp; CLAIRE</t>
  </si>
  <si>
    <t>TIMOS INC</t>
  </si>
  <si>
    <t>TX PROPERTY ESCROW ACCOUNT</t>
  </si>
  <si>
    <t>2301 WEST PLANO PKWY STE 215</t>
  </si>
  <si>
    <t>5005-01-002-1330-907</t>
  </si>
  <si>
    <t>*5005010021330907*</t>
  </si>
  <si>
    <t>AHMAD YOUSEF</t>
  </si>
  <si>
    <t>YOUSEF AHMAD</t>
  </si>
  <si>
    <t>1250 BLUESTONE DR</t>
  </si>
  <si>
    <t>5016-01-001-0130-914</t>
  </si>
  <si>
    <t>*5016010010130914*</t>
  </si>
  <si>
    <t>PRIEST CHARLOTTE DUGGAN &amp; ROBERT SC</t>
  </si>
  <si>
    <t>CHARLOTTE D PRIEST TR FBO</t>
  </si>
  <si>
    <t>CAROLYN M DAVIDSON REVOCABLE</t>
  </si>
  <si>
    <t>TRUST UA 03-31-1995</t>
  </si>
  <si>
    <t>1714 BRIARCHESTER DR</t>
  </si>
  <si>
    <t>5017-03-004-0020-907</t>
  </si>
  <si>
    <t>*5017030040020907*</t>
  </si>
  <si>
    <t>JASICO INC</t>
  </si>
  <si>
    <t xml:space="preserve">PO BOX 16698                            </t>
  </si>
  <si>
    <t>5020-04-047-0230-907</t>
  </si>
  <si>
    <t>*5020040470230907*</t>
  </si>
  <si>
    <t>MCCARTY WILLIAM E III &amp; MELINDA C</t>
  </si>
  <si>
    <t xml:space="preserve">7127 CAMINO VERDE DR                    </t>
  </si>
  <si>
    <t>5020-04-048-0080-907</t>
  </si>
  <si>
    <t>*5020040480080907*</t>
  </si>
  <si>
    <t>PERADA MARIA FE</t>
  </si>
  <si>
    <t>REVERSE MORTGAGE SOLUTIONS INC</t>
  </si>
  <si>
    <t>14405 WALTERS RD STE 200</t>
  </si>
  <si>
    <t>5025-03-002-0020-907</t>
  </si>
  <si>
    <t>*5025030020020907*</t>
  </si>
  <si>
    <t>UMEREZ RICARDO &amp; LUCILA</t>
  </si>
  <si>
    <t>5025-04-004-0890-907</t>
  </si>
  <si>
    <t>*5025040040890907*</t>
  </si>
  <si>
    <t>KARHU DIMITRI</t>
  </si>
  <si>
    <t>DIMITRI KARHU</t>
  </si>
  <si>
    <t>P. O. BOX 541751</t>
  </si>
  <si>
    <t>5030-03-007-0290-907</t>
  </si>
  <si>
    <t>*5030030070290907*</t>
  </si>
  <si>
    <t>BECERRA EUGENIA MARIA</t>
  </si>
  <si>
    <t>EUGENIA B ZUNIGA OR LUIS C ZUNIGA</t>
  </si>
  <si>
    <t>1615 HERMOSA DR</t>
  </si>
  <si>
    <t>LITTLETON</t>
  </si>
  <si>
    <t>5030-04-016-0350-907</t>
  </si>
  <si>
    <t>*5030040160350907*</t>
  </si>
  <si>
    <t>AGUIRRE FELIX F &amp; ALICIA A</t>
  </si>
  <si>
    <t xml:space="preserve">8027 TAMAYO DR                          </t>
  </si>
  <si>
    <t>5030-04-018-0210-907</t>
  </si>
  <si>
    <t>*5030040180210907*</t>
  </si>
  <si>
    <t>LAZAROU RICHARD M &amp; DEBROAH</t>
  </si>
  <si>
    <t xml:space="preserve">15830 VAL VERDE DR                      </t>
  </si>
  <si>
    <t>5030-06-026-0011-907</t>
  </si>
  <si>
    <t>*5030060260011907*</t>
  </si>
  <si>
    <t>HARLAN ANN C &amp; DAVID M</t>
  </si>
  <si>
    <t>TIMIOS INC</t>
  </si>
  <si>
    <t>2301 W PLANO PKWY STE 215</t>
  </si>
  <si>
    <t>5035-01-006-0040-907</t>
  </si>
  <si>
    <t>*5035010060040907*</t>
  </si>
  <si>
    <t>MARTINEZ MANUEL M &amp; ANGELA M</t>
  </si>
  <si>
    <t>CORELOGIC INC AS AGENT FOR RUSHMORE LOAN</t>
  </si>
  <si>
    <t>MANAGEMENT SERVICES</t>
  </si>
  <si>
    <t>5035-02-001-0030-907</t>
  </si>
  <si>
    <t>*5035020010030907*</t>
  </si>
  <si>
    <t>ELDER DONALD TODD</t>
  </si>
  <si>
    <t>SLAM SHORES LLC</t>
  </si>
  <si>
    <t>910 INDUSTRIAL BLVD STE B</t>
  </si>
  <si>
    <t>5035-02-005-0280-907</t>
  </si>
  <si>
    <t>*5035020050280907*</t>
  </si>
  <si>
    <t>GUTIERREZ JEAN PAUL</t>
  </si>
  <si>
    <t>5035-03-004-0620-907</t>
  </si>
  <si>
    <t>*5035030040620907*</t>
  </si>
  <si>
    <t>ADESEYE ADEDOTUN O &amp; OLUBUSOLA</t>
  </si>
  <si>
    <t>TENDER HEALTHCARE AGENCY LLC</t>
  </si>
  <si>
    <t>8618 ELM LAKE DR</t>
  </si>
  <si>
    <t>5036-02-001-0320-907</t>
  </si>
  <si>
    <t>*5036020010320907*</t>
  </si>
  <si>
    <t>OLAGUNDOYE OLASUPO A</t>
  </si>
  <si>
    <t xml:space="preserve">8302 MISSION ESTATES DR                 </t>
  </si>
  <si>
    <t>5038-02-003-0020-907</t>
  </si>
  <si>
    <t>*5038020030020907*</t>
  </si>
  <si>
    <t>GONZALEZ BERTHA</t>
  </si>
  <si>
    <t>5038-02-003-0080-907</t>
  </si>
  <si>
    <t>*5038020030080907*</t>
  </si>
  <si>
    <t>FANNIE MAE</t>
  </si>
  <si>
    <t>DOVENMUEHLE</t>
  </si>
  <si>
    <t>SERVICE CLEARING ACCOUNT</t>
  </si>
  <si>
    <t>1 CORPORATE DRIVE SUITE 360</t>
  </si>
  <si>
    <t>LAKE ZURICH</t>
  </si>
  <si>
    <t>5038-04-001-0260-907</t>
  </si>
  <si>
    <t>*5038040010260907*</t>
  </si>
  <si>
    <t>ORJI CHRISTOPHER</t>
  </si>
  <si>
    <t xml:space="preserve">8422 ASH GARDEN CT                      </t>
  </si>
  <si>
    <t>5039-01-005-0110-907</t>
  </si>
  <si>
    <t>*5039010050110907*</t>
  </si>
  <si>
    <t>ROBINSON THEOPHILUS D &amp; TAINA A</t>
  </si>
  <si>
    <t>THEOPHILUS ROBINSON</t>
  </si>
  <si>
    <t>20307 SANDSTONE CAVERN CIR</t>
  </si>
  <si>
    <t>5040-01-011-0060-907</t>
  </si>
  <si>
    <t>*5040010110060907*</t>
  </si>
  <si>
    <t>HEIMLICH ERNEST</t>
  </si>
  <si>
    <t xml:space="preserve">6410 RANCHO BLANCO CT                   </t>
  </si>
  <si>
    <t>5042-02-001-0020-907</t>
  </si>
  <si>
    <t>*5042020010020907*</t>
  </si>
  <si>
    <t>NGUYEN PHUONG LAM MINH &amp; NHAN NGOC</t>
  </si>
  <si>
    <t>POST OAK TITLE</t>
  </si>
  <si>
    <t>4543 POST OAK PLACE</t>
  </si>
  <si>
    <t>STE 123</t>
  </si>
  <si>
    <t>5047-01-002-0012-907</t>
  </si>
  <si>
    <t>*5047010020012907*</t>
  </si>
  <si>
    <t>HONG KEVIN</t>
  </si>
  <si>
    <t>HOA N HOANG</t>
  </si>
  <si>
    <t>8902 SUNRISE TERRACE LANE</t>
  </si>
  <si>
    <t>5047-04-001-0090-907</t>
  </si>
  <si>
    <t>*5047040010090907*</t>
  </si>
  <si>
    <t>SMITH DANIEL L &amp; BEVERLY A</t>
  </si>
  <si>
    <t>BEVERLY A SMITH</t>
  </si>
  <si>
    <t>1155 COUNTY RD 252</t>
  </si>
  <si>
    <t>ANDERSON</t>
  </si>
  <si>
    <t>5050-00-002-0501-907</t>
  </si>
  <si>
    <t>*5050000020501907*</t>
  </si>
  <si>
    <t>SLAUGHTER LILLIE S MD</t>
  </si>
  <si>
    <t>LILLIE SLAUGHTER</t>
  </si>
  <si>
    <t>1524 3RD STREET</t>
  </si>
  <si>
    <t>5050-00-031-0100-907</t>
  </si>
  <si>
    <t>*5050000310100907*</t>
  </si>
  <si>
    <t>HEAVENLY GRAND ESTATE LLC</t>
  </si>
  <si>
    <t>HEAVEN ON EARTH</t>
  </si>
  <si>
    <t>1612 3RD ST</t>
  </si>
  <si>
    <t>5050-00-054-0003-907</t>
  </si>
  <si>
    <t>*5050000540003907*</t>
  </si>
  <si>
    <t>MERCIER ADRIEL L &amp; CHRISTAL GARRICK</t>
  </si>
  <si>
    <t xml:space="preserve">C/O THE ADRIEL L &amp; CHRISTAL MERCIER     </t>
  </si>
  <si>
    <t xml:space="preserve">7019 CASTLEVIEW LN                      </t>
  </si>
  <si>
    <t>5100-00-003-0040-910</t>
  </si>
  <si>
    <t>*5100000030040910*</t>
  </si>
  <si>
    <t>MARTINEZ ROBERTO &amp; KATHY D</t>
  </si>
  <si>
    <t>KATHY D MARTINEZ</t>
  </si>
  <si>
    <t>ROBERT MARTINEZ</t>
  </si>
  <si>
    <t>9727 CYMBAL DR</t>
  </si>
  <si>
    <t>5100-00-003-0050-910</t>
  </si>
  <si>
    <t>*5100000030050910*</t>
  </si>
  <si>
    <t>5118-01-001-0090-906</t>
  </si>
  <si>
    <t>*5118010010090906*</t>
  </si>
  <si>
    <t>GOVEA MATIAS</t>
  </si>
  <si>
    <t xml:space="preserve">13711 ZAMANEK RD                        </t>
  </si>
  <si>
    <t>5121-04-001-0090-901</t>
  </si>
  <si>
    <t>*5121040010090901*</t>
  </si>
  <si>
    <t>OGUNLADE OLUDARE</t>
  </si>
  <si>
    <t>OLUDARE OGUNLADE</t>
  </si>
  <si>
    <t>3052 KANSAS ST</t>
  </si>
  <si>
    <t>5121-06-001-0030-901</t>
  </si>
  <si>
    <t>*5121060010030901*</t>
  </si>
  <si>
    <t>BALDWIN MICHAEL V</t>
  </si>
  <si>
    <t>PROVIDENT ENGINEERS INC</t>
  </si>
  <si>
    <t>8406 BUFFALO CREEK DR</t>
  </si>
  <si>
    <t>5121-13-001-0160-901</t>
  </si>
  <si>
    <t>*5121130010160901*</t>
  </si>
  <si>
    <t>IZUGBOKWE OBINNA</t>
  </si>
  <si>
    <t xml:space="preserve">FLAT 7B ZENON TOWERS                    </t>
  </si>
  <si>
    <t xml:space="preserve">1 COOPER RD                             </t>
  </si>
  <si>
    <t>5121-15-004-0150-901</t>
  </si>
  <si>
    <t>*5121150040150901*</t>
  </si>
  <si>
    <t>FULLER RICHARD</t>
  </si>
  <si>
    <t xml:space="preserve">1104  STRATFORD DR                      </t>
  </si>
  <si>
    <t xml:space="preserve">ENCINITAS               </t>
  </si>
  <si>
    <t>5121-34-002-0160-907</t>
  </si>
  <si>
    <t>*5121340020160907*</t>
  </si>
  <si>
    <t>LEAUMONT ASHLEE ELEANORE &amp; BRIAN DA</t>
  </si>
  <si>
    <t>ITANI FAMILY LIMITED PARTNERSH</t>
  </si>
  <si>
    <t>10820 TRAIN CT</t>
  </si>
  <si>
    <t>5121-36-001-0110-907</t>
  </si>
  <si>
    <t>*5121360010110907*</t>
  </si>
  <si>
    <t>MARTIN HERBERT LEE JR</t>
  </si>
  <si>
    <t>CAPITAL TITLE OF TEXAS, LLC</t>
  </si>
  <si>
    <t>KRIDEL FEE ESCROW ACCT</t>
  </si>
  <si>
    <t>14100 SAN PEDRO AVE SUITE 308</t>
  </si>
  <si>
    <t>5121-41-001-0151-901</t>
  </si>
  <si>
    <t>*5121410010151901*</t>
  </si>
  <si>
    <t>ELAM ANDEE</t>
  </si>
  <si>
    <t>5121-41-002-0021-901</t>
  </si>
  <si>
    <t>*5121410020021901*</t>
  </si>
  <si>
    <t>WHITMIRE MICHAEL</t>
  </si>
  <si>
    <t>907 PLEASANT VALLEY AVE SUITE 3</t>
  </si>
  <si>
    <t>5121-41-003-0090-901</t>
  </si>
  <si>
    <t>*5121410030090901*</t>
  </si>
  <si>
    <t>WASHINGTON SAVITRI C</t>
  </si>
  <si>
    <t>ROOSEVELT WASHINGTON</t>
  </si>
  <si>
    <t>21310 COLD RUN DR</t>
  </si>
  <si>
    <t>5121-43-001-0060-901</t>
  </si>
  <si>
    <t>*5121430010060901*</t>
  </si>
  <si>
    <t>TOMLINSON DEDRIA</t>
  </si>
  <si>
    <t xml:space="preserve">6042 PAINTED ROCK TRL                   </t>
  </si>
  <si>
    <t>5125-00-004-0020-901</t>
  </si>
  <si>
    <t>*5125000040020901*</t>
  </si>
  <si>
    <t>ATKINSON JESSE DAVID</t>
  </si>
  <si>
    <t>5125-00-008-0180-901</t>
  </si>
  <si>
    <t>*5125000080180901*</t>
  </si>
  <si>
    <t>GRESHAM JOHN K</t>
  </si>
  <si>
    <t xml:space="preserve">1802 CYPRESS DR                         </t>
  </si>
  <si>
    <t>5125-00-008-0181-901</t>
  </si>
  <si>
    <t>*5125000080181901*</t>
  </si>
  <si>
    <t>GRESHAM JOHN2 K</t>
  </si>
  <si>
    <t>5161-00-003-0090-901</t>
  </si>
  <si>
    <t>*5161000030090901*</t>
  </si>
  <si>
    <t xml:space="preserve">2217 N BELMONT DR                       </t>
  </si>
  <si>
    <t>5162-00-001-0010-907</t>
  </si>
  <si>
    <t>*5162000010010907*</t>
  </si>
  <si>
    <t>LOWE'S HOME CENTERS INC</t>
  </si>
  <si>
    <t xml:space="preserve">1000 LOWES BLVD                         </t>
  </si>
  <si>
    <t xml:space="preserve">MOORESVILLE             </t>
  </si>
  <si>
    <t>5201-04-001-0160-914</t>
  </si>
  <si>
    <t>*5201040010160914*</t>
  </si>
  <si>
    <t>MEYER BRUCE &amp; YVONNE</t>
  </si>
  <si>
    <t>BRUCE D MEYER</t>
  </si>
  <si>
    <t>25506 MILLBROOK BEND LN</t>
  </si>
  <si>
    <t>5201-04-001-0230-914</t>
  </si>
  <si>
    <t>*5201040010230914*</t>
  </si>
  <si>
    <t>FANG HAITAO &amp; LEI HUANG</t>
  </si>
  <si>
    <t xml:space="preserve">25527 MILLBROOK BEND LN                 </t>
  </si>
  <si>
    <t>5205-02-000-0090-906</t>
  </si>
  <si>
    <t>*5205020000090906*</t>
  </si>
  <si>
    <t>JIMENEZ ALICE ESTATE</t>
  </si>
  <si>
    <t>JIMENEZ ALICE</t>
  </si>
  <si>
    <t xml:space="preserve">9623 VINCIK EHLERT RD                   </t>
  </si>
  <si>
    <t>5252-01-002-0100-907</t>
  </si>
  <si>
    <t>*5252010020100907*</t>
  </si>
  <si>
    <t>WILEY SAMUEL R JR &amp; TIFFANY L</t>
  </si>
  <si>
    <t>WELLS FARGO BANK NA</t>
  </si>
  <si>
    <t>TEXAS ESCROW TRUST</t>
  </si>
  <si>
    <t>420 MONTGOMERY ST</t>
  </si>
  <si>
    <t>5285-00-003-0140-901</t>
  </si>
  <si>
    <t>*5285000030140901*</t>
  </si>
  <si>
    <t>PERKINS JOHN</t>
  </si>
  <si>
    <t>DAVID G PEAKE</t>
  </si>
  <si>
    <t>CHAPTER 13 TRUSTEE</t>
  </si>
  <si>
    <t>PO BOX 31609</t>
  </si>
  <si>
    <t>5296-04-001-0180-901</t>
  </si>
  <si>
    <t>*5296040010180901*</t>
  </si>
  <si>
    <t>YOUNGKRANTZ JOHN CHRISTIAN &amp; MARY F</t>
  </si>
  <si>
    <t>5296-04-007-0190-901</t>
  </si>
  <si>
    <t>*5296040070190901*</t>
  </si>
  <si>
    <t>VENTURA JULIE</t>
  </si>
  <si>
    <t>BRIGHT LINE TITLE LLC</t>
  </si>
  <si>
    <t>2201 W ROYAL LANE STE 155</t>
  </si>
  <si>
    <t>5296-05-005-0120-901</t>
  </si>
  <si>
    <t>*5296050050120901*</t>
  </si>
  <si>
    <t>SCOTT HALEY ELIZABETH</t>
  </si>
  <si>
    <t>HALEY SCOTT</t>
  </si>
  <si>
    <t>3763 SINGING FLOWER LANE</t>
  </si>
  <si>
    <t>5296-92-006-0190-901</t>
  </si>
  <si>
    <t>*5296920060190901*</t>
  </si>
  <si>
    <t>FEUKOU LILIANE PELAGIE M MAGANKU WO</t>
  </si>
  <si>
    <t>5390-01-000-0030-907</t>
  </si>
  <si>
    <t>*5390010000030907*</t>
  </si>
  <si>
    <t>BENKENSTEIN JOHN PETER</t>
  </si>
  <si>
    <t xml:space="preserve">2712 MICHAEL WAYNE RD                   </t>
  </si>
  <si>
    <t>5390-02-000-0290-907</t>
  </si>
  <si>
    <t>*5390020000290907*</t>
  </si>
  <si>
    <t>MEZA YOLANDA VILLA</t>
  </si>
  <si>
    <t xml:space="preserve">3936 MARZIA AVE                         </t>
  </si>
  <si>
    <t>5401-01-001-0120-906</t>
  </si>
  <si>
    <t>*5401010010120906*</t>
  </si>
  <si>
    <t>LA COE RANDOLPH S &amp; MAURA G</t>
  </si>
  <si>
    <t>AMROCK INC - TEXAS ESCROW</t>
  </si>
  <si>
    <t>5422-00-000-0002-914</t>
  </si>
  <si>
    <t>*5422000000002914*</t>
  </si>
  <si>
    <t>TREP DEVELOPMENT &amp; CONSTRUCTION LLC</t>
  </si>
  <si>
    <t>JAMES LUCAS</t>
  </si>
  <si>
    <t>2470GRAY FALLS DR</t>
  </si>
  <si>
    <t>5422-00-000-0150-914</t>
  </si>
  <si>
    <t>*5422000000150914*</t>
  </si>
  <si>
    <t>HEARN REDELL RENETTA ETAL</t>
  </si>
  <si>
    <t>JENNIFER L HEARN</t>
  </si>
  <si>
    <t>17224 TUNGSTEN STREET NW</t>
  </si>
  <si>
    <t>RAMSEY</t>
  </si>
  <si>
    <t>MN</t>
  </si>
  <si>
    <t>5422-00-000-0450-914</t>
  </si>
  <si>
    <t>*5422000000450914*</t>
  </si>
  <si>
    <t>WASHINGTON ENOUCH ESTATE</t>
  </si>
  <si>
    <t>BRENDA J WASHINGTON</t>
  </si>
  <si>
    <t>P O BOX 458</t>
  </si>
  <si>
    <t>5422-00-000-0520-914</t>
  </si>
  <si>
    <t>*5422000000520914*</t>
  </si>
  <si>
    <t>CHACON DAVID SR &amp; INGRID BEATRIZ</t>
  </si>
  <si>
    <t>JOFRE M SAVINO CARRENO</t>
  </si>
  <si>
    <t>3419 LEANING WILLOW</t>
  </si>
  <si>
    <t>5500-01-003-0160-920</t>
  </si>
  <si>
    <t>*5500010030160920*</t>
  </si>
  <si>
    <t>5555-01-005-0010-901</t>
  </si>
  <si>
    <t>*5555010050010901*</t>
  </si>
  <si>
    <t>BJD BUILDING LEGACY LLC</t>
  </si>
  <si>
    <t xml:space="preserve">6528  GREATWOOD PKWY                    </t>
  </si>
  <si>
    <t>5555-01-005-0020-901</t>
  </si>
  <si>
    <t>*5555010050020901*</t>
  </si>
  <si>
    <t>5555-01-005-0030-901</t>
  </si>
  <si>
    <t>*5555010050030901*</t>
  </si>
  <si>
    <t>5555-01-015-0020-901</t>
  </si>
  <si>
    <t>*5555010150020901*</t>
  </si>
  <si>
    <t>REALTY &amp; MANAGEMENT SPECIALISTS LLC</t>
  </si>
  <si>
    <t>6542 GREATWOOD PKWY BLDG 15 UNIT C</t>
  </si>
  <si>
    <t>5575-00-001-0110-901</t>
  </si>
  <si>
    <t>*5575000010110901*</t>
  </si>
  <si>
    <t>PEREZ THOMAS JR &amp; VICTORIA</t>
  </si>
  <si>
    <t xml:space="preserve">300 ROCHELLE ST                         </t>
  </si>
  <si>
    <t>5575-00-002-0220-901</t>
  </si>
  <si>
    <t>*5575000020220901*</t>
  </si>
  <si>
    <t>CONE CHARLES &amp; SUSIE</t>
  </si>
  <si>
    <t>SUSIE CONE</t>
  </si>
  <si>
    <t>OR CHARLES R CONE</t>
  </si>
  <si>
    <t>1214 WINDLOCH</t>
  </si>
  <si>
    <t>5575-00-003-0091-901</t>
  </si>
  <si>
    <t>*5575000030091901*</t>
  </si>
  <si>
    <t>ORELLANA HECTOR NEFTALI</t>
  </si>
  <si>
    <t xml:space="preserve">217 MELLON ST                           </t>
  </si>
  <si>
    <t>5600-00-001-0801-907</t>
  </si>
  <si>
    <t>*5600000010801907*</t>
  </si>
  <si>
    <t>BENAVIDEZ NICHOLAS</t>
  </si>
  <si>
    <t>NICOLAS BENAVIDEZ</t>
  </si>
  <si>
    <t>5339 RIDGE TURN</t>
  </si>
  <si>
    <t>5607-01-000-0140-901</t>
  </si>
  <si>
    <t>*5607010000140901*</t>
  </si>
  <si>
    <t>OGUDO DERA</t>
  </si>
  <si>
    <t>ARIO GLOBAL DEVELOPE</t>
  </si>
  <si>
    <t>1811 FIRST OAKS ST</t>
  </si>
  <si>
    <t>5612-01-001-0030-907</t>
  </si>
  <si>
    <t>*5612010010030907*</t>
  </si>
  <si>
    <t>HILL DONALD G &amp; DIANNE K</t>
  </si>
  <si>
    <t xml:space="preserve">15327 OAK LAKE DR                       </t>
  </si>
  <si>
    <t>5612-01-001-0130-907</t>
  </si>
  <si>
    <t>*5612010010130907*</t>
  </si>
  <si>
    <t>BURROUGHS MARY F</t>
  </si>
  <si>
    <t>NATIONSTAR MORTGAGE MORTGAGE</t>
  </si>
  <si>
    <t>C/O: LERETA-TEXAS OPERATIONS</t>
  </si>
  <si>
    <t>5612-02-001-0350-907</t>
  </si>
  <si>
    <t>*5612020010350907*</t>
  </si>
  <si>
    <t>FORD LAWRENCE M</t>
  </si>
  <si>
    <t xml:space="preserve">15302 PARK GLEN DR                      </t>
  </si>
  <si>
    <t>5612-03-001-0200-907</t>
  </si>
  <si>
    <t>*5612030010200907*</t>
  </si>
  <si>
    <t>WADE WILLIAM C</t>
  </si>
  <si>
    <t>WILLIAM WADE</t>
  </si>
  <si>
    <t>11730 PEACHWOOD LAKE DRIVE</t>
  </si>
  <si>
    <t>5619-02-002-0080-907</t>
  </si>
  <si>
    <t>*5619020020080907*</t>
  </si>
  <si>
    <t>CUPICH RONALD M &amp; YELENA Y</t>
  </si>
  <si>
    <t xml:space="preserve">3519 MEADOW SPRING DR                   </t>
  </si>
  <si>
    <t>5619-02-005-0070-907</t>
  </si>
  <si>
    <t>*5619020050070907*</t>
  </si>
  <si>
    <t>NESMITH RALPH W &amp; CARRIE J</t>
  </si>
  <si>
    <t>RALPH TREY NESMITH</t>
  </si>
  <si>
    <t>13902 BRITOAK LN</t>
  </si>
  <si>
    <t>5619-03-003-0100-907</t>
  </si>
  <si>
    <t>*5619030030100907*</t>
  </si>
  <si>
    <t>KESSLER BRENDA J</t>
  </si>
  <si>
    <t xml:space="preserve">3742 ELKINS RD                          </t>
  </si>
  <si>
    <t>5620-02-001-0110-901</t>
  </si>
  <si>
    <t>*5620020010110901*</t>
  </si>
  <si>
    <t>MATTICE SHARI L &amp; TORY ALAN ONDA</t>
  </si>
  <si>
    <t>ONDA S L</t>
  </si>
  <si>
    <t>5506 CUNNINGHAM LN</t>
  </si>
  <si>
    <t>5650-02-001-0300-907</t>
  </si>
  <si>
    <t>*5650020010300907*</t>
  </si>
  <si>
    <t>POMEDLI TREVOR J</t>
  </si>
  <si>
    <t>5658-01-001-0200-907</t>
  </si>
  <si>
    <t>*5658010010200907*</t>
  </si>
  <si>
    <t>MOMIN AKBARALI R &amp; SHIREEN A</t>
  </si>
  <si>
    <t>3815 STABLES COURSE DR</t>
  </si>
  <si>
    <t>5658-03-000-0004-907</t>
  </si>
  <si>
    <t>*5658030000004907*</t>
  </si>
  <si>
    <t>O O COMMUNITY ASSOCIATION INC</t>
  </si>
  <si>
    <t>C/O REAL MANAGE</t>
  </si>
  <si>
    <t>PO BOX 701088</t>
  </si>
  <si>
    <t>5658-03-001-0221-907</t>
  </si>
  <si>
    <t>*5658030010221907*</t>
  </si>
  <si>
    <t>NGUYEN TWEE VO</t>
  </si>
  <si>
    <t xml:space="preserve">4006 SCENIC ORCHARD LN                  </t>
  </si>
  <si>
    <t>5658-04-000-0001-907</t>
  </si>
  <si>
    <t>*5658040000001907*</t>
  </si>
  <si>
    <t>5658-08-001-0600-907</t>
  </si>
  <si>
    <t>*5658080010600907*</t>
  </si>
  <si>
    <t>LI HAIPING</t>
  </si>
  <si>
    <t>DINGDING LI</t>
  </si>
  <si>
    <t>13606 LAUREL TERRACE LN</t>
  </si>
  <si>
    <t>5670-01-000-0054-907</t>
  </si>
  <si>
    <t>*5670010000054907*</t>
  </si>
  <si>
    <t>ORCHARD LAKE ESTATES HOMEOWNERS ASS</t>
  </si>
  <si>
    <t xml:space="preserve">C/O MASC AUSTIN PROPERTIES INC          </t>
  </si>
  <si>
    <t xml:space="preserve">945 ELDRIDGE RD                         </t>
  </si>
  <si>
    <t>5670-01-002-1430-907</t>
  </si>
  <si>
    <t>*5670010021430907*</t>
  </si>
  <si>
    <t>CHALLA NAZNEEN S &amp; MEHELIE R WARDEN</t>
  </si>
  <si>
    <t>NAZNEEN C WARDEN</t>
  </si>
  <si>
    <t>MEHELIE R WARDEN</t>
  </si>
  <si>
    <t>13411 MISTY ORCHARD LN</t>
  </si>
  <si>
    <t>5670-01-002-1560-907</t>
  </si>
  <si>
    <t>*5670010021560907*</t>
  </si>
  <si>
    <t>THOMAS ESCOTO</t>
  </si>
  <si>
    <t>THOMAS &amp; LEWIN ASSOCIATES INC</t>
  </si>
  <si>
    <t>2025 AVENUE G</t>
  </si>
  <si>
    <t>5670-01-006-0020-907</t>
  </si>
  <si>
    <t>*5670010060020907*</t>
  </si>
  <si>
    <t>PIJNNAKEN NELLIE SUSAN GARCIA</t>
  </si>
  <si>
    <t>SUSAN PIJNNAKEN</t>
  </si>
  <si>
    <t>13043 FORESTER CANYON LN</t>
  </si>
  <si>
    <t>5680-02-005-0150-907</t>
  </si>
  <si>
    <t>*5680020050150907*</t>
  </si>
  <si>
    <t>CASTRO RUBEN ROJAS &amp; AMELIA BELTRAN</t>
  </si>
  <si>
    <t>HOU FT ESCROW TRUST ACCOUNT-FTH-07</t>
  </si>
  <si>
    <t>20445 STATE HIGHWAY 249 STE 110</t>
  </si>
  <si>
    <t>5680-05-001-0240-907</t>
  </si>
  <si>
    <t>*5680050010240907*</t>
  </si>
  <si>
    <t>3626 FALLBROOK DRIVE TRUST</t>
  </si>
  <si>
    <t xml:space="preserve">PO BOX 310685                           </t>
  </si>
  <si>
    <t>5680-10-003-0070-907</t>
  </si>
  <si>
    <t>*5680100030070907*</t>
  </si>
  <si>
    <t>MATHAI JOHN GEORGE</t>
  </si>
  <si>
    <t>JOHN MATHAI</t>
  </si>
  <si>
    <t>539 COLONY LAKE ESTATES DR</t>
  </si>
  <si>
    <t>5700-00-003-0400-907</t>
  </si>
  <si>
    <t>*5700000030400907*</t>
  </si>
  <si>
    <t>DANIELS MICHAEL</t>
  </si>
  <si>
    <t>DANIELS INSURANCE SERVICE</t>
  </si>
  <si>
    <t>268 N SANTA CRUZ AVE</t>
  </si>
  <si>
    <t>LOS GATOS</t>
  </si>
  <si>
    <t>5704-02-001-0080-907</t>
  </si>
  <si>
    <t>*5704020010080907*</t>
  </si>
  <si>
    <t>NEWBY SHARDAE R &amp; JUSTIN</t>
  </si>
  <si>
    <t>5711-00-003-0240-907</t>
  </si>
  <si>
    <t>*5711000030240907*</t>
  </si>
  <si>
    <t>AX COUNTY LINE LAND LP</t>
  </si>
  <si>
    <t>TC HOUSTON IND DEV INC AS</t>
  </si>
  <si>
    <t>TRUSTEE FOR ARTIS (PARK8NINETY)</t>
  </si>
  <si>
    <t>2100 ROSS AVE STE 1500</t>
  </si>
  <si>
    <t>5718-01-001-0340-907</t>
  </si>
  <si>
    <t>*5718010010340907*</t>
  </si>
  <si>
    <t>CASEY MICHAEL E &amp; LINDA W</t>
  </si>
  <si>
    <t>5722-01-001-0270-907</t>
  </si>
  <si>
    <t>*5722010010270907*</t>
  </si>
  <si>
    <t>MATHEWS  DANIEL K &amp; DAISY JOE</t>
  </si>
  <si>
    <t>DANIEL MATHEWS</t>
  </si>
  <si>
    <t>3803 WINTER CREEK CT</t>
  </si>
  <si>
    <t>5727-00-003-0020-907</t>
  </si>
  <si>
    <t>*5727000030020907*</t>
  </si>
  <si>
    <t>SEEMA REAL ESTATE LLC</t>
  </si>
  <si>
    <t>MAJESTIC TITLE LLC</t>
  </si>
  <si>
    <t>24556 KINGSLAND BLVD</t>
  </si>
  <si>
    <t>5734-02-003-0090-901</t>
  </si>
  <si>
    <t>*5734020030090901*</t>
  </si>
  <si>
    <t>BURLEW EVAN H</t>
  </si>
  <si>
    <t>5739-02-004-0170-914</t>
  </si>
  <si>
    <t>*5739020040170914*</t>
  </si>
  <si>
    <t>STEBER BRENDEN P &amp; SUSAN I</t>
  </si>
  <si>
    <t xml:space="preserve">2647 SABLE RIDGE LN                     </t>
  </si>
  <si>
    <t>5739-04-003-0070-914</t>
  </si>
  <si>
    <t>*5739040030070914*</t>
  </si>
  <si>
    <t>ZHANG WU &amp; YI ZHANG</t>
  </si>
  <si>
    <t>5739-05-001-0020-914</t>
  </si>
  <si>
    <t>*5739050010020914*</t>
  </si>
  <si>
    <t>RONCHAQUIRA LINDA V &amp; LUIS J</t>
  </si>
  <si>
    <t>GEORGE F OR NAIME ARTUNDUAGA RONCHAQUIRA</t>
  </si>
  <si>
    <t>4431 WALHAM CT</t>
  </si>
  <si>
    <t>KINGWOOD</t>
  </si>
  <si>
    <t>5739-05-002-0231-914</t>
  </si>
  <si>
    <t>*5739050020231914*</t>
  </si>
  <si>
    <t>HELMS ROBERT</t>
  </si>
  <si>
    <t>5740-01-011-0210-907</t>
  </si>
  <si>
    <t>*5740010110210907*</t>
  </si>
  <si>
    <t>FINALS LLC</t>
  </si>
  <si>
    <t>TX-FT HOUSTON ESCROW TRUST ACCT</t>
  </si>
  <si>
    <t>DIRECTS-FTH-12</t>
  </si>
  <si>
    <t>1800 HUGHES LANDING BLVD STE 150</t>
  </si>
  <si>
    <t>THE WOODLANDS</t>
  </si>
  <si>
    <t>5740-03-005-0970-907</t>
  </si>
  <si>
    <t>*5740030050970907*</t>
  </si>
  <si>
    <t>FOLLOW THE LEADER LAND MANAGEMENT</t>
  </si>
  <si>
    <t xml:space="preserve">1385  FM 359 RD                         </t>
  </si>
  <si>
    <t xml:space="preserve">UNIT 329                                </t>
  </si>
  <si>
    <t>5740-03-013-0450-907</t>
  </si>
  <si>
    <t>*5740030130450907*</t>
  </si>
  <si>
    <t>UTZ THOMAS W JR &amp; SHIHOKO</t>
  </si>
  <si>
    <t>SHIHOKO UTZ</t>
  </si>
  <si>
    <t>1719 PITTS RD</t>
  </si>
  <si>
    <t>5740-03-029-0440-907</t>
  </si>
  <si>
    <t>*5740030290440907*</t>
  </si>
  <si>
    <t>WHITE LAURENCE L &amp; BARBARA F MEYER</t>
  </si>
  <si>
    <t xml:space="preserve">1703 MIRAGLEN CT                        </t>
  </si>
  <si>
    <t>5740-07-000-0021-907</t>
  </si>
  <si>
    <t>*5740070000021907*</t>
  </si>
  <si>
    <t>BENNETT PAUL M &amp; ELIZABETH C</t>
  </si>
  <si>
    <t>ELIZABETH C BENNETT</t>
  </si>
  <si>
    <t>2235 WOODLAND DR</t>
  </si>
  <si>
    <t>5740-15-006-0010-907</t>
  </si>
  <si>
    <t>*5740150060010907*</t>
  </si>
  <si>
    <t>RODRIGUEZ AIDA</t>
  </si>
  <si>
    <t>DAVIES TRUST U/A 05-02-1991, C</t>
  </si>
  <si>
    <t>2010 PECAN TRAIL DR</t>
  </si>
  <si>
    <t>5740-20-003-0120-907</t>
  </si>
  <si>
    <t>*5740200030120907*</t>
  </si>
  <si>
    <t>KAVANAUGH LAUREN A &amp; LINDSEY B BAUM</t>
  </si>
  <si>
    <t>SERVANTES MARY A &amp; MARK A</t>
  </si>
  <si>
    <t xml:space="preserve">3007 PECAN WAY CT                       </t>
  </si>
  <si>
    <t>5741-06-002-0170-907</t>
  </si>
  <si>
    <t>*5741060020170907*</t>
  </si>
  <si>
    <t>LOPEZ BRANDON J</t>
  </si>
  <si>
    <t>BRANDON LOOEZ</t>
  </si>
  <si>
    <t>1445 WALLISVILLE RD</t>
  </si>
  <si>
    <t>5741-06-002-0220-907</t>
  </si>
  <si>
    <t>*5741060020220907*</t>
  </si>
  <si>
    <t>EMANUVAL NISHA</t>
  </si>
  <si>
    <t>NISHA EMANUVAL</t>
  </si>
  <si>
    <t>4107 CASA DEL LAGO DRIVE</t>
  </si>
  <si>
    <t>5785-01-010-0281-907</t>
  </si>
  <si>
    <t>*5785010100281907*</t>
  </si>
  <si>
    <t>HERNANDEZ2 DONALD C SR</t>
  </si>
  <si>
    <t>BAYVIEW LOAN SERVICING</t>
  </si>
  <si>
    <t>4425 PONCE DE LEON BLVD 5TH FLOOR</t>
  </si>
  <si>
    <t>CORAL GABLES</t>
  </si>
  <si>
    <t>5797-02-002-0070-914</t>
  </si>
  <si>
    <t>*5797020020070914*</t>
  </si>
  <si>
    <t>ALIKO ERJONA &amp; NEZIR</t>
  </si>
  <si>
    <t xml:space="preserve">3815  BOWIE BEND LN                     </t>
  </si>
  <si>
    <t>5797-05-001-0120-914</t>
  </si>
  <si>
    <t>*5797050010120914*</t>
  </si>
  <si>
    <t>LA FLOR DE TEXAS LLC</t>
  </si>
  <si>
    <t>CHILDRENS CENTER OF LOCKHART LLC</t>
  </si>
  <si>
    <t>2635 N HWY 183</t>
  </si>
  <si>
    <t>LOCKHART</t>
  </si>
  <si>
    <t>5797-12-001-0100-914</t>
  </si>
  <si>
    <t>*5797120010100914*</t>
  </si>
  <si>
    <t>HAYDON DAVID SCOTT</t>
  </si>
  <si>
    <t xml:space="preserve">26639 FIELDER BROOK LN                  </t>
  </si>
  <si>
    <t>5826-00-001-0010-907</t>
  </si>
  <si>
    <t>*5826000010010907*</t>
  </si>
  <si>
    <t>RODRIGUEZ JUAN ANTONIO &amp; ROSA HILDA</t>
  </si>
  <si>
    <t>MCCUMBER AMILCAR</t>
  </si>
  <si>
    <t xml:space="preserve">303  PINE MEADOW DR                     </t>
  </si>
  <si>
    <t>5850-00-010-0400-907</t>
  </si>
  <si>
    <t>*5850000100400907*</t>
  </si>
  <si>
    <t>DUNCAN HELEN JEWEL &amp; SHARON D</t>
  </si>
  <si>
    <t xml:space="preserve">418 PINEDALE AVE                        </t>
  </si>
  <si>
    <t>5850-00-015-0700-907</t>
  </si>
  <si>
    <t>*5850000150700907*</t>
  </si>
  <si>
    <t>JASSO MARIA DEL CARMEN CERVANTES</t>
  </si>
  <si>
    <t>FIRST NATIONAL HOLDINGS LLC</t>
  </si>
  <si>
    <t>120 N LA SALLE ST STE 1220</t>
  </si>
  <si>
    <t>5852-01-002-0301-910</t>
  </si>
  <si>
    <t>*5852010020301910*</t>
  </si>
  <si>
    <t>REED CORA SHERMAN</t>
  </si>
  <si>
    <t xml:space="preserve">418 N MARATHON WAY                      </t>
  </si>
  <si>
    <t>5852-06-002-0020-910</t>
  </si>
  <si>
    <t>*5852060020020910*</t>
  </si>
  <si>
    <t>THEKKUMKATTIL JOSE</t>
  </si>
  <si>
    <t>5852-06-003-0040-910</t>
  </si>
  <si>
    <t>*5852060030040910*</t>
  </si>
  <si>
    <t>AHMED UZAIR &amp; RABIA JALAL</t>
  </si>
  <si>
    <t>UZAIR S AHMED</t>
  </si>
  <si>
    <t>523 JAY'S LANE</t>
  </si>
  <si>
    <t>5855-01-006-0010-907</t>
  </si>
  <si>
    <t>*5855010060010907*</t>
  </si>
  <si>
    <t>PICKETT WILLIAM R &amp; DEBRA A</t>
  </si>
  <si>
    <t xml:space="preserve">14703 KNIGHTSWAY DR                     </t>
  </si>
  <si>
    <t>5855-03-003-0100-907</t>
  </si>
  <si>
    <t>*5855030030100907*</t>
  </si>
  <si>
    <t>LAQUA NICHOLETTER EVONNE &amp; ANDREW P</t>
  </si>
  <si>
    <t xml:space="preserve">14939 HAVENRIDGE DR                     </t>
  </si>
  <si>
    <t>5860-01-007-0190-907</t>
  </si>
  <si>
    <t>*5860010070190907*</t>
  </si>
  <si>
    <t>SMITH JOHNNY R &amp; PRISCILLA A</t>
  </si>
  <si>
    <t xml:space="preserve">8330 BLOSSOM BELL LN                    </t>
  </si>
  <si>
    <t>5862-01-003-0420-907</t>
  </si>
  <si>
    <t>*5862010030420907*</t>
  </si>
  <si>
    <t>ATILANO JOSE L &amp; ORALIA</t>
  </si>
  <si>
    <t xml:space="preserve">1514 INDIAN TRAIL CT                    </t>
  </si>
  <si>
    <t>5862-02-006-0190-907</t>
  </si>
  <si>
    <t>*5862020060190907*</t>
  </si>
  <si>
    <t>FERGUSON LEROY K JR &amp; ELLEASHIA L</t>
  </si>
  <si>
    <t xml:space="preserve">2822 EVENING SHADE CT                   </t>
  </si>
  <si>
    <t>5862-02-006-0660-907</t>
  </si>
  <si>
    <t>*5862020060660907*</t>
  </si>
  <si>
    <t>RANDLE HENRY ETAL</t>
  </si>
  <si>
    <t>5863-01-003-0130-907</t>
  </si>
  <si>
    <t>*5863010030130907*</t>
  </si>
  <si>
    <t>WILSON LARRY</t>
  </si>
  <si>
    <t xml:space="preserve">1903 RIPPLE CREEK DR                    </t>
  </si>
  <si>
    <t>5890-01-003-0060-907</t>
  </si>
  <si>
    <t>*5890010030060907*</t>
  </si>
  <si>
    <t>SMITH MARILYN J</t>
  </si>
  <si>
    <t>MARILYN SMITH</t>
  </si>
  <si>
    <t>P O BOX 281 721 GARRIQUE ST</t>
  </si>
  <si>
    <t>WASHINGTON</t>
  </si>
  <si>
    <t>LA</t>
  </si>
  <si>
    <t>5890-01-005-0270-907</t>
  </si>
  <si>
    <t>*5890010050270907*</t>
  </si>
  <si>
    <t>CROWE JAMES E</t>
  </si>
  <si>
    <t>HEATH RODNEY</t>
  </si>
  <si>
    <t xml:space="preserve">16715 QUAIL PARK DR                     </t>
  </si>
  <si>
    <t>5890-01-009-0340-907</t>
  </si>
  <si>
    <t>*5890010090340907*</t>
  </si>
  <si>
    <t>LESLIE-COZART ARVELA V</t>
  </si>
  <si>
    <t>14080 FM 2920 STE E</t>
  </si>
  <si>
    <t>TOMBALL</t>
  </si>
  <si>
    <t>5890-01-010-0020-907</t>
  </si>
  <si>
    <t>*5890010100020907*</t>
  </si>
  <si>
    <t>PARKER JOHN C</t>
  </si>
  <si>
    <t xml:space="preserve">16627 QUAIL PARK DR                     </t>
  </si>
  <si>
    <t>5890-01-010-0200-907</t>
  </si>
  <si>
    <t>*5890010100200907*</t>
  </si>
  <si>
    <t>SMITH KOYNE</t>
  </si>
  <si>
    <t>7219 FAIRMONT PKWY STE 115</t>
  </si>
  <si>
    <t>5890-01-013-0170-907</t>
  </si>
  <si>
    <t>*5890010130170907*</t>
  </si>
  <si>
    <t>PERAZA ERICK &amp; ELBA</t>
  </si>
  <si>
    <t>ROSA COHEN-ZHANG</t>
  </si>
  <si>
    <t>10101 WOODWIND DR</t>
  </si>
  <si>
    <t>5890-01-013-0270-907</t>
  </si>
  <si>
    <t>*5890010130270907*</t>
  </si>
  <si>
    <t>LANCASTER BURT S</t>
  </si>
  <si>
    <t xml:space="preserve">3146 SPRING MEADOW DR                   </t>
  </si>
  <si>
    <t xml:space="preserve">SNELLVILLE              </t>
  </si>
  <si>
    <t>5890-01-013-0530-907</t>
  </si>
  <si>
    <t>*5890010130530907*</t>
  </si>
  <si>
    <t>RS HOUSTON OWNER LP</t>
  </si>
  <si>
    <t>SPRUCE LAND SERVICES SOUTHWEST LLC</t>
  </si>
  <si>
    <t>TX ESCROW ACCOUNT</t>
  </si>
  <si>
    <t>6100 TENNYSON PARKWAY SUITE 225</t>
  </si>
  <si>
    <t>5890-02-014-0700-907</t>
  </si>
  <si>
    <t>*5890020140700907*</t>
  </si>
  <si>
    <t>WILLIAMS ERNEST L</t>
  </si>
  <si>
    <t xml:space="preserve">16330 QUAIL PLACE DR                    </t>
  </si>
  <si>
    <t>5890-02-014-1070-907</t>
  </si>
  <si>
    <t>*5890020141070907*</t>
  </si>
  <si>
    <t>MISSOURI BEND LLC</t>
  </si>
  <si>
    <t>P.O. BOX 20791</t>
  </si>
  <si>
    <t>5890-04-005-0200-907</t>
  </si>
  <si>
    <t>*5890040050200907*</t>
  </si>
  <si>
    <t>REED JACQUELINE B</t>
  </si>
  <si>
    <t>JACQUELINE BARNES ELLIS</t>
  </si>
  <si>
    <t>16406 QUAIL MEADOW CT</t>
  </si>
  <si>
    <t>5890-04-008-0170-907</t>
  </si>
  <si>
    <t>*5890040080170907*</t>
  </si>
  <si>
    <t>MAYES DEBORAH A</t>
  </si>
  <si>
    <t>DEBORAH M GILES</t>
  </si>
  <si>
    <t>16707 QUAIL MEADOW DR</t>
  </si>
  <si>
    <t>5890-04-009-0020-907</t>
  </si>
  <si>
    <t>*5890040090020907*</t>
  </si>
  <si>
    <t>LAFNETTE BELINDA D &amp; WALTER B III</t>
  </si>
  <si>
    <t>1600 SOUTH DOUGLASS RD STE 110 &amp; 200-A</t>
  </si>
  <si>
    <t>5895-01-008-0045-901</t>
  </si>
  <si>
    <t>*5895010080045901*</t>
  </si>
  <si>
    <t>FINKELMAN ROSE GORDON &amp; GORDON FAMI</t>
  </si>
  <si>
    <t>HERMAN OR PHYLLIS GORDON</t>
  </si>
  <si>
    <t>8307 LA ROCHE</t>
  </si>
  <si>
    <t>5902-00-009-1000-907</t>
  </si>
  <si>
    <t>*5902000091000907*</t>
  </si>
  <si>
    <t>OLEAR KATE</t>
  </si>
  <si>
    <t>USIFO OLEAR</t>
  </si>
  <si>
    <t>640 N CHURCH ST905</t>
  </si>
  <si>
    <t>5902-00-010-0800-907</t>
  </si>
  <si>
    <t>*5902000100800907*</t>
  </si>
  <si>
    <t>ALDRIDGE JAMES</t>
  </si>
  <si>
    <t>5902-00-020-0200-907</t>
  </si>
  <si>
    <t>*5902000200200907*</t>
  </si>
  <si>
    <t>NGUYEN MADISON</t>
  </si>
  <si>
    <t>5902-00-026-1600-907</t>
  </si>
  <si>
    <t>*5902000261600907*</t>
  </si>
  <si>
    <t>WHITE DIANE F &amp; CLARENCE</t>
  </si>
  <si>
    <t xml:space="preserve">2831 SPYGLASS LN                        </t>
  </si>
  <si>
    <t>5903-00-000-4500-907</t>
  </si>
  <si>
    <t>*5903000004500907*</t>
  </si>
  <si>
    <t>MONTES MARGARITA FLORES</t>
  </si>
  <si>
    <t xml:space="preserve">2806 FOXFIRE CIR                        </t>
  </si>
  <si>
    <t>5904-00-029-0700-907</t>
  </si>
  <si>
    <t>*5904000290700907*</t>
  </si>
  <si>
    <t>JONES PATSY E</t>
  </si>
  <si>
    <t>PAT E JONES</t>
  </si>
  <si>
    <t>2926 CYPRESS POINT DR</t>
  </si>
  <si>
    <t>5904-00-037-0500-907</t>
  </si>
  <si>
    <t>*5904000370500907*</t>
  </si>
  <si>
    <t>GRIGSBY JOHN FITZGERALD</t>
  </si>
  <si>
    <t>5907-00-041-1200-907</t>
  </si>
  <si>
    <t>*5907000411200907*</t>
  </si>
  <si>
    <t>OPEN HOUSE TEXAS REALTY &amp; INVESTMEN</t>
  </si>
  <si>
    <t>NORTH DALLAS ESCROW ACCOUNT</t>
  </si>
  <si>
    <t>18383 PRESTON RD STE 110</t>
  </si>
  <si>
    <t>5907-00-048-2001-907</t>
  </si>
  <si>
    <t>*5907000482001907*</t>
  </si>
  <si>
    <t>FELSKE CODY</t>
  </si>
  <si>
    <t>5910-01-007-0900-907</t>
  </si>
  <si>
    <t>*5910010070900907*</t>
  </si>
  <si>
    <t>KING JOHANNA A A</t>
  </si>
  <si>
    <t>JOHANNA A AKKERMAN KING</t>
  </si>
  <si>
    <t>2811 DEL CLAIR CIR</t>
  </si>
  <si>
    <t>5910-01-010-2500-907</t>
  </si>
  <si>
    <t>*5910010102500907*</t>
  </si>
  <si>
    <t>LASAINT BOBBY W</t>
  </si>
  <si>
    <t>DIETRIA D LASAINT</t>
  </si>
  <si>
    <t>2207 CLEARBROOK DR</t>
  </si>
  <si>
    <t>5910-03-014-3700-907</t>
  </si>
  <si>
    <t>*5910030143700907*</t>
  </si>
  <si>
    <t>PANDA REAL ESTATE INVESTMENTS LLC</t>
  </si>
  <si>
    <t>FAY SERVICING</t>
  </si>
  <si>
    <t>C/O LERETA LLC</t>
  </si>
  <si>
    <t>5910-04-024-1900-907</t>
  </si>
  <si>
    <t>*5910040241900907*</t>
  </si>
  <si>
    <t>MURRAY DANIEL</t>
  </si>
  <si>
    <t xml:space="preserve">2003 MUSTANG SPRINGS DR                 </t>
  </si>
  <si>
    <t>5910-05-030-4100-907</t>
  </si>
  <si>
    <t>*5910050304100907*</t>
  </si>
  <si>
    <t>PETERBARK JOYCE L &amp; GEORGE W</t>
  </si>
  <si>
    <t>OCWEN LOAN SERVICING LLC</t>
  </si>
  <si>
    <t>1661 WORTHINGTON RD 100</t>
  </si>
  <si>
    <t>WEST PALM BEACH</t>
  </si>
  <si>
    <t>5915-02-005-0160-907</t>
  </si>
  <si>
    <t>*5915020050160907*</t>
  </si>
  <si>
    <t>SWIFT MARTIN JR &amp; MONITA MAXWELL</t>
  </si>
  <si>
    <t>5920-01-002-4100-907</t>
  </si>
  <si>
    <t>*5920010024100907*</t>
  </si>
  <si>
    <t>LEBLANC LINDA</t>
  </si>
  <si>
    <t>LINDA D LEBLANC</t>
  </si>
  <si>
    <t>3518 GOLDEN TEE LN</t>
  </si>
  <si>
    <t>5921-00-001-0130-907</t>
  </si>
  <si>
    <t>*5921000010130907*</t>
  </si>
  <si>
    <t>COLLINS THERESA</t>
  </si>
  <si>
    <t xml:space="preserve">3606 PALM GROVE DR                      </t>
  </si>
  <si>
    <t>5922-00-001-4100-907</t>
  </si>
  <si>
    <t>*5922000014100907*</t>
  </si>
  <si>
    <t>ROSE ROBERT S &amp; VICKIE L</t>
  </si>
  <si>
    <t>ROBERT C ROSE</t>
  </si>
  <si>
    <t>1710 HILTON HEAD DR.</t>
  </si>
  <si>
    <t>5922-00-003-2700-907</t>
  </si>
  <si>
    <t>*5922000032700907*</t>
  </si>
  <si>
    <t>BOONRAYONG TUANJAI</t>
  </si>
  <si>
    <t>FU LU SU RESTAURANT</t>
  </si>
  <si>
    <t>2487 CARTWRIGHT RD</t>
  </si>
  <si>
    <t>5922-00-008-3100-907</t>
  </si>
  <si>
    <t>*5922000083100907*</t>
  </si>
  <si>
    <t>BONIN MARTHA</t>
  </si>
  <si>
    <t xml:space="preserve">1715 INDIAN WELLS DR                    </t>
  </si>
  <si>
    <t>5922-00-012-0220-907</t>
  </si>
  <si>
    <t>*5922000120220907*</t>
  </si>
  <si>
    <t>THE REECE LIVING TRUST</t>
  </si>
  <si>
    <t xml:space="preserve">1527 HILTON HEAD DR                     </t>
  </si>
  <si>
    <t>5922-00-012-0250-907</t>
  </si>
  <si>
    <t>*5922000120250907*</t>
  </si>
  <si>
    <t>BERRYHILL BENJAMIN SCOTT &amp; ERIN BET</t>
  </si>
  <si>
    <t>BENJAMIN BERRYHILL</t>
  </si>
  <si>
    <t>1515 HILTON HEAD DR</t>
  </si>
  <si>
    <t>5926-00-001-2500-907</t>
  </si>
  <si>
    <t>*5926000012500907*</t>
  </si>
  <si>
    <t>JUDY H W TREE</t>
  </si>
  <si>
    <t>HW JUDY</t>
  </si>
  <si>
    <t>2511 OAK HILL DR</t>
  </si>
  <si>
    <t>5926-00-001-2600-907</t>
  </si>
  <si>
    <t>*5926000012600907*</t>
  </si>
  <si>
    <t>ALLEMAN SAMUEL ALDEN JR</t>
  </si>
  <si>
    <t>ALDEN ALLEMAN</t>
  </si>
  <si>
    <t>2509 OAK HILL DR</t>
  </si>
  <si>
    <t>5960-00-018-0050-907</t>
  </si>
  <si>
    <t>*5960000180050907*</t>
  </si>
  <si>
    <t>HYATT DELMA L &amp; SHIRLEY</t>
  </si>
  <si>
    <t xml:space="preserve">12 BARON LN                             </t>
  </si>
  <si>
    <t>6000-01-005-0910-907</t>
  </si>
  <si>
    <t>*6000010050910907*</t>
  </si>
  <si>
    <t>CAGLE JAMES D</t>
  </si>
  <si>
    <t xml:space="preserve">14018 SUSAN CT                          </t>
  </si>
  <si>
    <t>6015-35-004-0100-907</t>
  </si>
  <si>
    <t>*6015350040100907*</t>
  </si>
  <si>
    <t>SIU AMY F</t>
  </si>
  <si>
    <t>UNIVERSITY TITLE COMPANY</t>
  </si>
  <si>
    <t>1021 UNIVERSITY DR EAST</t>
  </si>
  <si>
    <t>6015-55-001-0380-907</t>
  </si>
  <si>
    <t>*6015550010380907*</t>
  </si>
  <si>
    <t>TOSUN ALI A</t>
  </si>
  <si>
    <t>CHARTER TITLE COMPANY AMEGY BANK</t>
  </si>
  <si>
    <t>1717 WEST LOOP SOUTH 12TH FLOOR</t>
  </si>
  <si>
    <t>6015-67-002-0670-907</t>
  </si>
  <si>
    <t>*6015670020670907*</t>
  </si>
  <si>
    <t>OKOROAFOR OBIOHA &amp; STELLA</t>
  </si>
  <si>
    <t xml:space="preserve">5518 MORGAN PARK LN                     </t>
  </si>
  <si>
    <t>6100-00-044-0000-907</t>
  </si>
  <si>
    <t>*6100000440000907*</t>
  </si>
  <si>
    <t>TOWN CITY BUSINESS LLC</t>
  </si>
  <si>
    <t xml:space="preserve">5807 PARKDALE CT                        </t>
  </si>
  <si>
    <t>6110-00-000-0017-901</t>
  </si>
  <si>
    <t>*6110000000017901*</t>
  </si>
  <si>
    <t>ALQ HOMES LLC</t>
  </si>
  <si>
    <t>4518 PENN LN</t>
  </si>
  <si>
    <t>6135-01-002-0150-907</t>
  </si>
  <si>
    <t>*6135010020150907*</t>
  </si>
  <si>
    <t>AKHTAR SYED W &amp; FARIDA BANO</t>
  </si>
  <si>
    <t>SYED AKHTAR</t>
  </si>
  <si>
    <t>7457 HARWIN DR STE 150</t>
  </si>
  <si>
    <t>6135-04-002-0230-907</t>
  </si>
  <si>
    <t>*6135040020230907*</t>
  </si>
  <si>
    <t>OGUNYE AYOWALE B &amp; AYODELE M</t>
  </si>
  <si>
    <t>AYOWALE B OGUNYE</t>
  </si>
  <si>
    <t>11919 PEDERNALES FALLS LANE</t>
  </si>
  <si>
    <t>6140-00-003-0071-907</t>
  </si>
  <si>
    <t>*6140000030071907*</t>
  </si>
  <si>
    <t>DARLING2 HOMES OF TEXAS LLC</t>
  </si>
  <si>
    <t>TAYLOR MORRISON OF TEXAS INC HOU</t>
  </si>
  <si>
    <t>2929 BRIARPARK DR STE 400</t>
  </si>
  <si>
    <t>6140-00-003-0081-907</t>
  </si>
  <si>
    <t>*6140000030081907*</t>
  </si>
  <si>
    <t>6155-01-001-0290-901</t>
  </si>
  <si>
    <t>*6155010010290901*</t>
  </si>
  <si>
    <t>SADDLERIDGE HOMES LLC</t>
  </si>
  <si>
    <t>8030 FM 359 RD STE G</t>
  </si>
  <si>
    <t>6155-02-000-0010-901</t>
  </si>
  <si>
    <t>*6155020000010901*</t>
  </si>
  <si>
    <t>WATERWALL DARYL K &amp; MELISSA ALLISON</t>
  </si>
  <si>
    <t xml:space="preserve">32818 WOODFERN CT                       </t>
  </si>
  <si>
    <t>6155-05-001-0060-901</t>
  </si>
  <si>
    <t>*6155050010060901*</t>
  </si>
  <si>
    <t>KEYSTONE CLASSIC HOMES OF TEXAS LLC</t>
  </si>
  <si>
    <t>6200-01-006-0100-907</t>
  </si>
  <si>
    <t>*6200010060100907*</t>
  </si>
  <si>
    <t>HALL VERNITA A</t>
  </si>
  <si>
    <t>OLD REPUBLIC NATIONAL TITLE INS CO</t>
  </si>
  <si>
    <t>6200-01-008-0700-907</t>
  </si>
  <si>
    <t>*6200010080700907*</t>
  </si>
  <si>
    <t>FRENK NORMAN</t>
  </si>
  <si>
    <t>2200 NASA PARKWAY SUITE 150</t>
  </si>
  <si>
    <t>6200-03-016-0150-907</t>
  </si>
  <si>
    <t>*6200030160150907*</t>
  </si>
  <si>
    <t>ROLLA BETHEL L</t>
  </si>
  <si>
    <t>ROSALIND HAYES</t>
  </si>
  <si>
    <t>1535 ZINNIA ROAD 06</t>
  </si>
  <si>
    <t>6230-01-001-0060-901</t>
  </si>
  <si>
    <t>*6230010010060901*</t>
  </si>
  <si>
    <t>HOKE DONALD LEE JR</t>
  </si>
  <si>
    <t>DONALD L HOKE JR</t>
  </si>
  <si>
    <t>1517 AUSTIN ST</t>
  </si>
  <si>
    <t>6250-01-003-1400-907</t>
  </si>
  <si>
    <t>*6250010031400907*</t>
  </si>
  <si>
    <t>AGUILAR MARIO R JR</t>
  </si>
  <si>
    <t>MARIO AGUILAR</t>
  </si>
  <si>
    <t>5206 CASTLECREEK</t>
  </si>
  <si>
    <t>6250-01-011-1900-907</t>
  </si>
  <si>
    <t>*6250010111900907*</t>
  </si>
  <si>
    <t>GONZALEZ ROEL &amp; ADELAIDA B</t>
  </si>
  <si>
    <t xml:space="preserve">4902 RIDGEWEST ST                       </t>
  </si>
  <si>
    <t>6250-02-018-4300-907</t>
  </si>
  <si>
    <t>*6250020184300907*</t>
  </si>
  <si>
    <t>LINTON JOHN B</t>
  </si>
  <si>
    <t>BARBARA M LINTON</t>
  </si>
  <si>
    <t>15807 RIDGEBAR CIR</t>
  </si>
  <si>
    <t>6250-03-008-6500-907</t>
  </si>
  <si>
    <t>*6250030086500907*</t>
  </si>
  <si>
    <t>HENDERSON DON H</t>
  </si>
  <si>
    <t xml:space="preserve">4807 RIDGETON DR                        </t>
  </si>
  <si>
    <t>6250-03-015-1100-907</t>
  </si>
  <si>
    <t>*6250030151100907*</t>
  </si>
  <si>
    <t>VITAL SERGIO &amp; FABIOLA TEBILLO-MERA</t>
  </si>
  <si>
    <t>BORAIN CAPITAL FUND-III, LLC</t>
  </si>
  <si>
    <t>8445 FREEPORT PARKWAY STE 175</t>
  </si>
  <si>
    <t>6250-03-016-4800-907</t>
  </si>
  <si>
    <t>*6250030164800907*</t>
  </si>
  <si>
    <t>FEDRICK OPHELIA</t>
  </si>
  <si>
    <t xml:space="preserve">16203 BOWIE RIDGE LN                    </t>
  </si>
  <si>
    <t>6250-03-018-1400-907</t>
  </si>
  <si>
    <t>*6250030181400907*</t>
  </si>
  <si>
    <t>PERRY CYNTHIA E</t>
  </si>
  <si>
    <t>6250-03-022-1400-907</t>
  </si>
  <si>
    <t>*6250030221400907*</t>
  </si>
  <si>
    <t>WARREN JEWEL</t>
  </si>
  <si>
    <t>US DEPARTMENT OF THE TREASURY</t>
  </si>
  <si>
    <t>6250-03-026-1300-907</t>
  </si>
  <si>
    <t>*6250030261300907*</t>
  </si>
  <si>
    <t>CHARLES VIVIAN L</t>
  </si>
  <si>
    <t xml:space="preserve">5103 PRAIRIE RIDGE RD                   </t>
  </si>
  <si>
    <t>6250-04-029-0380-907</t>
  </si>
  <si>
    <t>*6250040290380907*</t>
  </si>
  <si>
    <t>ALONZO JOSE C &amp; ETELVINA</t>
  </si>
  <si>
    <t>JOSE CARLOS ALONZO</t>
  </si>
  <si>
    <t>16354 DETRIC LN</t>
  </si>
  <si>
    <t>6250-04-032-0260-907</t>
  </si>
  <si>
    <t>*6250040320260907*</t>
  </si>
  <si>
    <t>ILAHI OMER A TREE</t>
  </si>
  <si>
    <t>I Q PROPERTIES</t>
  </si>
  <si>
    <t>50 BRIAR HOLLOW LANE NO 230W</t>
  </si>
  <si>
    <t>6250-07-001-0060-907</t>
  </si>
  <si>
    <t>*6250070010060907*</t>
  </si>
  <si>
    <t>RAMIREZ MANUEL &amp; ROSALINDA</t>
  </si>
  <si>
    <t>ROSALINDA RAMIREZ</t>
  </si>
  <si>
    <t>5003 BOONRIDGE CT</t>
  </si>
  <si>
    <t>6250-07-001-0100-907</t>
  </si>
  <si>
    <t>*6250070010100907*</t>
  </si>
  <si>
    <t>WYCHE GARY J</t>
  </si>
  <si>
    <t xml:space="preserve">7544 FM 1960 RD E                       </t>
  </si>
  <si>
    <t xml:space="preserve">HUMBLE                  </t>
  </si>
  <si>
    <t>6254-02-006-1500-907</t>
  </si>
  <si>
    <t>*6254020061500907*</t>
  </si>
  <si>
    <t>MCGOWAN SAUNDRA</t>
  </si>
  <si>
    <t xml:space="preserve">4775 BEECHAVEN ST                       </t>
  </si>
  <si>
    <t>6254-02-008-1602-907</t>
  </si>
  <si>
    <t>*6254020081602907*</t>
  </si>
  <si>
    <t>DORTY SANDRA ESTATE</t>
  </si>
  <si>
    <t xml:space="preserve">5013 E RIDGECREEK DR                    </t>
  </si>
  <si>
    <t>6330-00-002-0070-901</t>
  </si>
  <si>
    <t>*6330000020070901*</t>
  </si>
  <si>
    <t>TRUJILLO JAIME</t>
  </si>
  <si>
    <t>JAIME TRUJILLO</t>
  </si>
  <si>
    <t>803 COLLINS STREET</t>
  </si>
  <si>
    <t>6400-00-009-1901-907</t>
  </si>
  <si>
    <t>*6400000091901907*</t>
  </si>
  <si>
    <t>WILLIAMS JARVIS</t>
  </si>
  <si>
    <t>OSCAR DE JESUS BERNAL</t>
  </si>
  <si>
    <t>ROSA MARIA GARCIA</t>
  </si>
  <si>
    <t>531 TEAKWOOD AVE</t>
  </si>
  <si>
    <t>6400-00-010-0601-907</t>
  </si>
  <si>
    <t>*6400000100601907*</t>
  </si>
  <si>
    <t>FIGUEROA ISMAEL ALVIZO &amp; MARIA DE L</t>
  </si>
  <si>
    <t>MARIA SEPEDA</t>
  </si>
  <si>
    <t>622 MULBERRY AVE</t>
  </si>
  <si>
    <t>6400-00-021-2401-907</t>
  </si>
  <si>
    <t>*6400000212401907*</t>
  </si>
  <si>
    <t>ANDRADE SERGIO MENDOZA ETAL</t>
  </si>
  <si>
    <t>BRENDA GARCIA</t>
  </si>
  <si>
    <t>10320 APPLE TREE CIR S</t>
  </si>
  <si>
    <t>LA PORTE</t>
  </si>
  <si>
    <t>6400-00-024-1400-907</t>
  </si>
  <si>
    <t>*6400000241400907*</t>
  </si>
  <si>
    <t>ROQUE-ARAMBULA JOSE MIGUEL &amp; JOSEFI</t>
  </si>
  <si>
    <t>JOSE M ROQUE</t>
  </si>
  <si>
    <t>4414 GARDENIA LN.</t>
  </si>
  <si>
    <t>6400-00-026-0301-907</t>
  </si>
  <si>
    <t>*6400000260301907*</t>
  </si>
  <si>
    <t>CARDENA FRANCISCO &amp; BERTHA</t>
  </si>
  <si>
    <t>RECONSTRUCTION OF A SURVIVOR INC</t>
  </si>
  <si>
    <t>ANGELS OF ASSISTANCE</t>
  </si>
  <si>
    <t>2617-C W HOLCOMBE BLVD #224</t>
  </si>
  <si>
    <t>6400-00-026-1500-907</t>
  </si>
  <si>
    <t>*6400000261500907*</t>
  </si>
  <si>
    <t>HAMMAR SEMIHA</t>
  </si>
  <si>
    <t>CARL HAMMAR</t>
  </si>
  <si>
    <t>SVARTENSGATAN 5 E</t>
  </si>
  <si>
    <t>STOCKHOLM</t>
  </si>
  <si>
    <t>6400-00-027-1000-907</t>
  </si>
  <si>
    <t>*6400000271000907*</t>
  </si>
  <si>
    <t>DOMINGUEZ MARIA A</t>
  </si>
  <si>
    <t>ALEJANDRA SELENA MORALES</t>
  </si>
  <si>
    <t>16246 BARBAROSSA DR</t>
  </si>
  <si>
    <t>6400-00-029-0800-907</t>
  </si>
  <si>
    <t>*6400000290800907*</t>
  </si>
  <si>
    <t>PEREZ STEVEN &amp; MIRIAN EUCEDA</t>
  </si>
  <si>
    <t>MIRIAN EUCEDA</t>
  </si>
  <si>
    <t>626 MYRTLE AVE</t>
  </si>
  <si>
    <t>6400-00-034-1900-907</t>
  </si>
  <si>
    <t>*6400000341900907*</t>
  </si>
  <si>
    <t>PEREZ FILIBERTO &amp; GLORIA CHAVEZ</t>
  </si>
  <si>
    <t>GLORIA O CHAVEZ</t>
  </si>
  <si>
    <t>519 COTTONWOOD AVE</t>
  </si>
  <si>
    <t>6400-00-034-1901-907</t>
  </si>
  <si>
    <t>*6400000341901907*</t>
  </si>
  <si>
    <t>PEREZ FILBERTO &amp; GLORIA CHAVEZ O</t>
  </si>
  <si>
    <t>6420-01-002-0126-906</t>
  </si>
  <si>
    <t>*6420010020126906*</t>
  </si>
  <si>
    <t>PRAUSE CANDIDA</t>
  </si>
  <si>
    <t>JOSE TREVINO</t>
  </si>
  <si>
    <t>7903 MERCHANT DR</t>
  </si>
  <si>
    <t>6447-00-004-0180-907</t>
  </si>
  <si>
    <t>*6447000040180907*</t>
  </si>
  <si>
    <t>MILLER RALPH H &amp; LYNN MORRIS</t>
  </si>
  <si>
    <t xml:space="preserve">1614 S GABRIEL RIVER CIR                </t>
  </si>
  <si>
    <t>6448-00-001-0110-907</t>
  </si>
  <si>
    <t>*6448000010110907*</t>
  </si>
  <si>
    <t>CHUA PHILANDA</t>
  </si>
  <si>
    <t>MATTHEW T WARREN</t>
  </si>
  <si>
    <t>1806 CHEYENNE RIVER CIRCLE</t>
  </si>
  <si>
    <t>6460-01-001-0050-901</t>
  </si>
  <si>
    <t>*6460010010050901*</t>
  </si>
  <si>
    <t>VANNERSON KAREN E</t>
  </si>
  <si>
    <t>AMERICAN CAPITAL FUNDING CORPORATION</t>
  </si>
  <si>
    <t>4520 SUNBURST ST</t>
  </si>
  <si>
    <t>BELLAIRE</t>
  </si>
  <si>
    <t>6460-10-005-0030-901</t>
  </si>
  <si>
    <t>*6460100050030901*</t>
  </si>
  <si>
    <t>SARGENT SHIRLEY A</t>
  </si>
  <si>
    <t xml:space="preserve">5918 OAK PLACE DR                       </t>
  </si>
  <si>
    <t>6465-06-003-0092-901</t>
  </si>
  <si>
    <t>*6465060030092901*</t>
  </si>
  <si>
    <t>DEKEYZER REAGAN R</t>
  </si>
  <si>
    <t xml:space="preserve">21702 BLACKSTONE CT                     </t>
  </si>
  <si>
    <t>6465-07-003-0220-901</t>
  </si>
  <si>
    <t>*6465070030220901*</t>
  </si>
  <si>
    <t>NGUYEN HANH T</t>
  </si>
  <si>
    <t>ANHTHI NGUYEN</t>
  </si>
  <si>
    <t>3802 ORCHARD LINKS DR</t>
  </si>
  <si>
    <t>6465-12-001-0240-901</t>
  </si>
  <si>
    <t>*6465120010240901*</t>
  </si>
  <si>
    <t>SABOL ELIZABETH</t>
  </si>
  <si>
    <t xml:space="preserve">21910 OLEASTER SPRINGS LN               </t>
  </si>
  <si>
    <t>6469-01-001-0191-901</t>
  </si>
  <si>
    <t>*6469010010191901*</t>
  </si>
  <si>
    <t>HERNANDEZ VANESSA</t>
  </si>
  <si>
    <t>1600 SOUTH DOUGLASS ROAD STE 110 &amp; 200-A</t>
  </si>
  <si>
    <t>6469-01-004-0040-901</t>
  </si>
  <si>
    <t>*6469010040040901*</t>
  </si>
  <si>
    <t>SHEPARD FUNDING TRUST U/D/T 3-27-08</t>
  </si>
  <si>
    <t>SHEPARD FUNDING</t>
  </si>
  <si>
    <t>33761 SHANNON LN</t>
  </si>
  <si>
    <t>SAN JUAN CAPISTRANO</t>
  </si>
  <si>
    <t>6469-02-003-0010-901</t>
  </si>
  <si>
    <t>*6469020030010901*</t>
  </si>
  <si>
    <t>WUJI KONG REVOCABLE LIVING TRUST</t>
  </si>
  <si>
    <t>WUYI KONG</t>
  </si>
  <si>
    <t>1136 SHERWOOD CT</t>
  </si>
  <si>
    <t>SUNNYVALE</t>
  </si>
  <si>
    <t>6469-02-003-0080-901</t>
  </si>
  <si>
    <t>*6469020030080901*</t>
  </si>
  <si>
    <t>TAJ AFTAB M &amp; SOPHIA MAHMOOD</t>
  </si>
  <si>
    <t>6471-06-000-0020-907</t>
  </si>
  <si>
    <t>*6471060000020907*</t>
  </si>
  <si>
    <t>RIVERSTONE HOMEOWNERS ASSOCIATION I</t>
  </si>
  <si>
    <t xml:space="preserve">18353  UNIVERSITY BLVD                  </t>
  </si>
  <si>
    <t>6505-00-000-0160-901</t>
  </si>
  <si>
    <t>*6505000000160901*</t>
  </si>
  <si>
    <t>FORT BEND COUNTY TEXAS</t>
  </si>
  <si>
    <t>192 GULF FREEWAY SOUTH SUITE C-2</t>
  </si>
  <si>
    <t>LEAGUE CITY</t>
  </si>
  <si>
    <t>6520-00-000-0221-901</t>
  </si>
  <si>
    <t>*6520000000221901*</t>
  </si>
  <si>
    <t>KILLIAN JAMES</t>
  </si>
  <si>
    <t>J M J FARMS</t>
  </si>
  <si>
    <t>8055 BOTTOMS EAST RD</t>
  </si>
  <si>
    <t>TROY</t>
  </si>
  <si>
    <t>6520-00-000-0761-901</t>
  </si>
  <si>
    <t>*6520000000761901*</t>
  </si>
  <si>
    <t>ZIESCHANG KEVIN D &amp; APRIL N</t>
  </si>
  <si>
    <t>6536-01-002-0020-901</t>
  </si>
  <si>
    <t>*6536010020020901*</t>
  </si>
  <si>
    <t>CURTIS JANA LEE</t>
  </si>
  <si>
    <t>JANA CURTIS</t>
  </si>
  <si>
    <t>1935 FOSTER LEAF LN</t>
  </si>
  <si>
    <t>6536-03-004-0340-901</t>
  </si>
  <si>
    <t>*6536030040340901*</t>
  </si>
  <si>
    <t>6536-03-005-0140-901</t>
  </si>
  <si>
    <t>*6536030050140901*</t>
  </si>
  <si>
    <t>GILMER EUGENIA STOWERS</t>
  </si>
  <si>
    <t xml:space="preserve">1826 SPREADING BOUGH LN                 </t>
  </si>
  <si>
    <t>6560-02-001-0230-907</t>
  </si>
  <si>
    <t>*6560020010230907*</t>
  </si>
  <si>
    <t>SINGH MADHAVI B &amp; BONDILI D</t>
  </si>
  <si>
    <t xml:space="preserve">2606 PENINSULAS DR                      </t>
  </si>
  <si>
    <t>6625-02-001-0010-901</t>
  </si>
  <si>
    <t>*6625020010010901*</t>
  </si>
  <si>
    <t>CHINCHILLA NELSON GUERRA</t>
  </si>
  <si>
    <t>NELSON GUERRA</t>
  </si>
  <si>
    <t>6606 HAVEN FOREST LN</t>
  </si>
  <si>
    <t>6625-02-003-0410-901</t>
  </si>
  <si>
    <t>*6625020030410901*</t>
  </si>
  <si>
    <t>WENDEL GREGORY L</t>
  </si>
  <si>
    <t>DEWITT T POTTS</t>
  </si>
  <si>
    <t>OR DONNA POTTS</t>
  </si>
  <si>
    <t>304 BINGHAM</t>
  </si>
  <si>
    <t>VICTORIA</t>
  </si>
  <si>
    <t>6630-03-005-0250-906</t>
  </si>
  <si>
    <t>*6630030050250906*</t>
  </si>
  <si>
    <t>BERRY TIMOTHY A &amp; MARIA E RUBIO</t>
  </si>
  <si>
    <t>MARIA ERIKA RUBIO</t>
  </si>
  <si>
    <t>10602 TREY DR.</t>
  </si>
  <si>
    <t>6630-03-005-0251-906</t>
  </si>
  <si>
    <t>*6630030050251906*</t>
  </si>
  <si>
    <t>BERRY TIMOTHY</t>
  </si>
  <si>
    <t>6651-01-001-0040-907</t>
  </si>
  <si>
    <t>*6651010010040907*</t>
  </si>
  <si>
    <t>BARNES CYNTHIA</t>
  </si>
  <si>
    <t xml:space="preserve">3122 PENINSULAS DR                      </t>
  </si>
  <si>
    <t>6660-01-002-0080-907</t>
  </si>
  <si>
    <t>*6660010020080907*</t>
  </si>
  <si>
    <t>BURNS ELEANORA</t>
  </si>
  <si>
    <t xml:space="preserve">3418 ASH CREEK DR                       </t>
  </si>
  <si>
    <t>6660-03-003-0050-907</t>
  </si>
  <si>
    <t>*6660030030050907*</t>
  </si>
  <si>
    <t>SPURLING DENNIS</t>
  </si>
  <si>
    <t>DENNIS D SPURLING ATTORNEY AT LAW</t>
  </si>
  <si>
    <t>IOLTA TRUST ACCOUNT</t>
  </si>
  <si>
    <t>3003 S LOOP W STE 400</t>
  </si>
  <si>
    <t>6660-03-003-0080-907</t>
  </si>
  <si>
    <t>*6660030030080907*</t>
  </si>
  <si>
    <t>WHITFIELD ALLICA &amp; BLAIR</t>
  </si>
  <si>
    <t>ALLICIA J WHITFIELD</t>
  </si>
  <si>
    <t>3203 CHINO VALLEY CT</t>
  </si>
  <si>
    <t>6672-01-003-0160-907</t>
  </si>
  <si>
    <t>*6672010030160907*</t>
  </si>
  <si>
    <t>MONGE VICTOR MANUEL ROLDAN &amp; NATACH</t>
  </si>
  <si>
    <t>NATACHA MILOSEVIC</t>
  </si>
  <si>
    <t>PO BOX 1028</t>
  </si>
  <si>
    <t>SOMERVILLE</t>
  </si>
  <si>
    <t>6672-01-005-0270-907</t>
  </si>
  <si>
    <t>*6672010050270907*</t>
  </si>
  <si>
    <t>SABIDO LOUIS I &amp; PROVIDENCIG</t>
  </si>
  <si>
    <t xml:space="preserve">3806 CARYA CIR                          </t>
  </si>
  <si>
    <t>6700-02-018-0290-907</t>
  </si>
  <si>
    <t>*6700020180290907*</t>
  </si>
  <si>
    <t>REAGAN SHEILA F</t>
  </si>
  <si>
    <t>REAGAN WILLIAM F &amp; SHEILA</t>
  </si>
  <si>
    <t xml:space="preserve">3215 TIMBER VIEW DR                     </t>
  </si>
  <si>
    <t>SHEILA F REAGAN</t>
  </si>
  <si>
    <t>OR WILLIAM F REAGAN</t>
  </si>
  <si>
    <t>3215 TIMBER VIEW DR</t>
  </si>
  <si>
    <t>6700-04-002-0130-907</t>
  </si>
  <si>
    <t>*6700040020130907*</t>
  </si>
  <si>
    <t>NGUYEN HOLLY</t>
  </si>
  <si>
    <t xml:space="preserve">3311 MESQUITE DR                        </t>
  </si>
  <si>
    <t>6705-32-002-0060-907</t>
  </si>
  <si>
    <t>*6705320020060907*</t>
  </si>
  <si>
    <t>STEPHENS ELIZABETH MARIE</t>
  </si>
  <si>
    <t>ELIZABETH STEPHENS</t>
  </si>
  <si>
    <t>4926 WINDING RIVER DRIVE</t>
  </si>
  <si>
    <t>6710-01-001-0120-907</t>
  </si>
  <si>
    <t>*6710010010120907*</t>
  </si>
  <si>
    <t>HAQUE MUHAMMAD N</t>
  </si>
  <si>
    <t>MUHAMMAD HAQUE</t>
  </si>
  <si>
    <t>4627 RINGROSE DR</t>
  </si>
  <si>
    <t>6710-01-003-0110-907</t>
  </si>
  <si>
    <t>*6710010030110907*</t>
  </si>
  <si>
    <t>CARDENAS JASMIN</t>
  </si>
  <si>
    <t>9001 CYPRESS WATERS BLVD STE 3B</t>
  </si>
  <si>
    <t>COPPELL</t>
  </si>
  <si>
    <t>6710-21-002-0081-907</t>
  </si>
  <si>
    <t>*6710210020081907*</t>
  </si>
  <si>
    <t>DAVIDSON ABHILASH MATHEW</t>
  </si>
  <si>
    <t>CARRINGTON MORGAGE SERVICES</t>
  </si>
  <si>
    <t>1600 S DOUGLASS RD STE 110 &amp; 200 A</t>
  </si>
  <si>
    <t>6725-01-001-0190-901</t>
  </si>
  <si>
    <t>*6725010010190901*</t>
  </si>
  <si>
    <t>RICHMOND STEVE A</t>
  </si>
  <si>
    <t>HOUSTON POLICE FEDERAL CREDIT UNION</t>
  </si>
  <si>
    <t>1600 MEMORIAL</t>
  </si>
  <si>
    <t>6731-02-003-0050-914</t>
  </si>
  <si>
    <t>*6731020030050914*</t>
  </si>
  <si>
    <t>KING JEFFREY D &amp; JULIE</t>
  </si>
  <si>
    <t>6750-01-001-0230-901</t>
  </si>
  <si>
    <t>*6750010010230901*</t>
  </si>
  <si>
    <t>SARAVIA KEVIN RAFAEL &amp; CRYSTAL CRUZ</t>
  </si>
  <si>
    <t>CLICK TO FUND TITLE LLC</t>
  </si>
  <si>
    <t>15301 SPECTRUM DR STE 405</t>
  </si>
  <si>
    <t>ADDISON</t>
  </si>
  <si>
    <t>6770-07-004-0260-901</t>
  </si>
  <si>
    <t>*6770070040260901*</t>
  </si>
  <si>
    <t>77 APS INC</t>
  </si>
  <si>
    <t>6770-09-003-0050-901</t>
  </si>
  <si>
    <t>*6770090030050901*</t>
  </si>
  <si>
    <t>6780-04-003-0150-914</t>
  </si>
  <si>
    <t>*6780040030150914*</t>
  </si>
  <si>
    <t>MANNING JASON &amp; KAREN CHEN-MANNING</t>
  </si>
  <si>
    <t>KAREN CHEN-MANNING</t>
  </si>
  <si>
    <t>23902 COASTAL MDW</t>
  </si>
  <si>
    <t>6780-06-003-0030-914</t>
  </si>
  <si>
    <t>*6780060030030914*</t>
  </si>
  <si>
    <t>TELLO JAVIER L &amp; LAURA K</t>
  </si>
  <si>
    <t>6780-14-002-0040-914</t>
  </si>
  <si>
    <t>*6780140020040914*</t>
  </si>
  <si>
    <t>RAJAGOPAL ESWARAN</t>
  </si>
  <si>
    <t xml:space="preserve">5410 LACEY OAK MEADOW DR                </t>
  </si>
  <si>
    <t>6780-21-003-0460-914</t>
  </si>
  <si>
    <t>*6780210030460914*</t>
  </si>
  <si>
    <t>SUN PENG</t>
  </si>
  <si>
    <t xml:space="preserve">5419 RISING MEADOW LN                   </t>
  </si>
  <si>
    <t>6820-00-002-0070-901</t>
  </si>
  <si>
    <t>*6820000020070901*</t>
  </si>
  <si>
    <t>GRIMES WILLIES B</t>
  </si>
  <si>
    <t xml:space="preserve">PO BOX 424                              </t>
  </si>
  <si>
    <t>6852-01-001-0290-907</t>
  </si>
  <si>
    <t>*6852010010290907*</t>
  </si>
  <si>
    <t>KEMPT WILLAM S &amp; JAMALE D</t>
  </si>
  <si>
    <t>JAMALE D KEMPT</t>
  </si>
  <si>
    <t>4510 WATER POINT</t>
  </si>
  <si>
    <t>6853-02-001-0190-901</t>
  </si>
  <si>
    <t>*6853020010190901*</t>
  </si>
  <si>
    <t>MILNE AMY E</t>
  </si>
  <si>
    <t>2301 WEST PLANO PARKWAY SUITE 215</t>
  </si>
  <si>
    <t>6883-05-002-0060-907</t>
  </si>
  <si>
    <t>*6883050020060907*</t>
  </si>
  <si>
    <t>JOHN MICHAEL &amp; SONA EMMANUEL</t>
  </si>
  <si>
    <t>FIRST AMERICAN TRUST FSB</t>
  </si>
  <si>
    <t>1500 SOUTH DAIRY ASHFORD STE 300</t>
  </si>
  <si>
    <t>6887-52-001-0081-907</t>
  </si>
  <si>
    <t>*6887520010081907*</t>
  </si>
  <si>
    <t>LEUNG KIN HANG &amp; WAN JUN TAN</t>
  </si>
  <si>
    <t>THE MONEY SOURCE</t>
  </si>
  <si>
    <t>6887-61-001-0370-907</t>
  </si>
  <si>
    <t>*6887610010370907*</t>
  </si>
  <si>
    <t>WANG TIFFANY SE-YA</t>
  </si>
  <si>
    <t>500 N BROADWAY STE 900</t>
  </si>
  <si>
    <t>ST LOUIS</t>
  </si>
  <si>
    <t>6887-61-001-0450-907</t>
  </si>
  <si>
    <t>*6887610010450907*</t>
  </si>
  <si>
    <t>NIYOGI ARUN &amp; JAYANTI</t>
  </si>
  <si>
    <t xml:space="preserve">2310 LAUREL LOCH LN                     </t>
  </si>
  <si>
    <t xml:space="preserve">PEARLAND                </t>
  </si>
  <si>
    <t>6887-62-001-0220-907</t>
  </si>
  <si>
    <t>*6887620010220907*</t>
  </si>
  <si>
    <t>HARRISON MORRIS O</t>
  </si>
  <si>
    <t>MORRIS HARRISON</t>
  </si>
  <si>
    <t>2209 LOST BRIDGE LANE</t>
  </si>
  <si>
    <t>6887-83-003-0011-907</t>
  </si>
  <si>
    <t>*6887830030011907*</t>
  </si>
  <si>
    <t>AZIZ MOHAMMAD S</t>
  </si>
  <si>
    <t>SUN WEST MORTGAGE COMPANY INC</t>
  </si>
  <si>
    <t>6887-91-001-0120-907</t>
  </si>
  <si>
    <t>*6887910010120907*</t>
  </si>
  <si>
    <t>ARIF MAHER &amp; GWENDOLYN R</t>
  </si>
  <si>
    <t xml:space="preserve">2602 BRIAR ROSE CT                      </t>
  </si>
  <si>
    <t>6887-93-003-0020-907</t>
  </si>
  <si>
    <t>*6887930030020907*</t>
  </si>
  <si>
    <t>LABARRE TONY SR &amp; BOBBIE</t>
  </si>
  <si>
    <t>ALL TYPE INSURANCE AGENCY LLC</t>
  </si>
  <si>
    <t>6464 SAVOY DR STE 757</t>
  </si>
  <si>
    <t>6887-94-001-0420-907</t>
  </si>
  <si>
    <t>*6887940010420907*</t>
  </si>
  <si>
    <t>PORTERFIELD ALLEGRIA &amp; JOE</t>
  </si>
  <si>
    <t>11200 BROADWAY ST STE1190</t>
  </si>
  <si>
    <t>6887-96-002-0020-907</t>
  </si>
  <si>
    <t>*6887960020020907*</t>
  </si>
  <si>
    <t>DUONG ANH NGOC</t>
  </si>
  <si>
    <t>FRISCO GAYLORD ESCROW ACCT</t>
  </si>
  <si>
    <t>4611 PRESTON ROAD STE 700</t>
  </si>
  <si>
    <t>6888-03-002-0111-907</t>
  </si>
  <si>
    <t>*6888030020111907*</t>
  </si>
  <si>
    <t>RICHARD JOSEPH</t>
  </si>
  <si>
    <t>6888-06-001-0051-907</t>
  </si>
  <si>
    <t>*6888060010051907*</t>
  </si>
  <si>
    <t>MAKOGE VERA EFETI MOKI</t>
  </si>
  <si>
    <t>6905-01-000-0026-907</t>
  </si>
  <si>
    <t>*6905010000026907*</t>
  </si>
  <si>
    <t>KHAN ZAKA</t>
  </si>
  <si>
    <t>ZAKA U KHAN</t>
  </si>
  <si>
    <t>5111 LOCKRIDGE SKY LN</t>
  </si>
  <si>
    <t>7136-91-001-0080-907</t>
  </si>
  <si>
    <t>*7136910010080907*</t>
  </si>
  <si>
    <t>DUMENG BRIAN LEE GARCIA</t>
  </si>
  <si>
    <t xml:space="preserve">8011 BLACK FOREST LN                    </t>
  </si>
  <si>
    <t>7138-01-005-0100-907</t>
  </si>
  <si>
    <t>*7138010050100907*</t>
  </si>
  <si>
    <t>ANDERSON DIANA J</t>
  </si>
  <si>
    <t xml:space="preserve">3522 BATTLE CREEK DR                    </t>
  </si>
  <si>
    <t>7138-04-002-0021-907</t>
  </si>
  <si>
    <t>*7138040020021907*</t>
  </si>
  <si>
    <t>CARDOZA GERARDO</t>
  </si>
  <si>
    <t>7138-41-001-0390-907</t>
  </si>
  <si>
    <t>*7138410010390907*</t>
  </si>
  <si>
    <t>GORDON KEVIN &amp; MARIA</t>
  </si>
  <si>
    <t>7138-41-006-0140-907</t>
  </si>
  <si>
    <t>*7138410060140907*</t>
  </si>
  <si>
    <t>DAVIS STEPHON CHRISTIAN</t>
  </si>
  <si>
    <t>7138-42-001-0340-907</t>
  </si>
  <si>
    <t>*7138420010340907*</t>
  </si>
  <si>
    <t>CATELAN YESENIA</t>
  </si>
  <si>
    <t xml:space="preserve">911  AUTUMN FLATS WAY                   </t>
  </si>
  <si>
    <t>7200-00-002-1500-907</t>
  </si>
  <si>
    <t>*7200000021500907*</t>
  </si>
  <si>
    <t>GUTIERREZ H A</t>
  </si>
  <si>
    <t>BELINDA ACEVEDO</t>
  </si>
  <si>
    <t>BY OMAR LOPEZ ACEVEDO</t>
  </si>
  <si>
    <t>2614 RUTH AVE</t>
  </si>
  <si>
    <t>7212-01-000-0110-901</t>
  </si>
  <si>
    <t>*7212010000110901*</t>
  </si>
  <si>
    <t>A-S 83 TOWN CENTER-FM 2218 LP</t>
  </si>
  <si>
    <t>BRAZOS TOWN CENTER RESERVE</t>
  </si>
  <si>
    <t>2002 WEST GRAND PARKWAY NORTH SUITE 100</t>
  </si>
  <si>
    <t>7212-01-000-0120-901</t>
  </si>
  <si>
    <t>*7212010000120901*</t>
  </si>
  <si>
    <t>2002 W GRAND PKWY N STE 100</t>
  </si>
  <si>
    <t>7212-02-004-0320-901</t>
  </si>
  <si>
    <t>*7212020040320901*</t>
  </si>
  <si>
    <t>BLOUNT RICHARD JR &amp; RHONDA KAY</t>
  </si>
  <si>
    <t xml:space="preserve">1729 WIMBERLY HOLLOW LN                 </t>
  </si>
  <si>
    <t>7213-02-001-0140-914</t>
  </si>
  <si>
    <t>*7213020010140914*</t>
  </si>
  <si>
    <t>APPIAH TONY &amp; THELMA A</t>
  </si>
  <si>
    <t>TONY APPIAH</t>
  </si>
  <si>
    <t>26434 CRIMSON BLUFF LN</t>
  </si>
  <si>
    <t>7217-01-003-0010-901</t>
  </si>
  <si>
    <t>*7217010030010901*</t>
  </si>
  <si>
    <t>ZAKARIA MOHEMMED AZAM &amp; MUBINA ZAKA</t>
  </si>
  <si>
    <t>MOHAMMED A ZAKARIA</t>
  </si>
  <si>
    <t>6161 SAVOY DR STE 904</t>
  </si>
  <si>
    <t>7225-01-003-0520-907</t>
  </si>
  <si>
    <t>*7225010030520907*</t>
  </si>
  <si>
    <t>HARRIS JUDY H</t>
  </si>
  <si>
    <t>JUDY HICKS HARRIS</t>
  </si>
  <si>
    <t>14418 WINDY WILLOW CT</t>
  </si>
  <si>
    <t>7230-03-001-0033-910</t>
  </si>
  <si>
    <t>*7230030010033910*</t>
  </si>
  <si>
    <t>ARKA HOSPITALITY LLC ETAL</t>
  </si>
  <si>
    <t>KAR HOLDINGS</t>
  </si>
  <si>
    <t>ARKA HOSPITALITY LLC12951 WIL</t>
  </si>
  <si>
    <t>7300-00-004-0400-910</t>
  </si>
  <si>
    <t>*7300000040400910*</t>
  </si>
  <si>
    <t>ENEDILIA LINARES TRUSTEE ESTATE</t>
  </si>
  <si>
    <t>DELORES VILLARREAL</t>
  </si>
  <si>
    <t>115 OAK ST</t>
  </si>
  <si>
    <t>7300-00-016-0300-910</t>
  </si>
  <si>
    <t>*7300000160300910*</t>
  </si>
  <si>
    <t>4235 MAIN LLC</t>
  </si>
  <si>
    <t>HOMELAND TITLE COMPANY ESCROW TRUST</t>
  </si>
  <si>
    <t>16554 CREEK BEND DR STE 250</t>
  </si>
  <si>
    <t>7300-00-075-0203-907</t>
  </si>
  <si>
    <t>*7300000750203907*</t>
  </si>
  <si>
    <t>SMITH INTERNATIONAL RESOURCES</t>
  </si>
  <si>
    <t>MS GLORIA L SMITH</t>
  </si>
  <si>
    <t>1403 NAILS CREEK DR</t>
  </si>
  <si>
    <t>7310-02-006-0420-910</t>
  </si>
  <si>
    <t>*7310020060420910*</t>
  </si>
  <si>
    <t>GONZALES JOSIE ESTATE &amp; MARY L SAEN</t>
  </si>
  <si>
    <t>MARYLOU SAENZ</t>
  </si>
  <si>
    <t>2227 NASHUA DRIVE</t>
  </si>
  <si>
    <t>7310-02-008-0310-910</t>
  </si>
  <si>
    <t>*7310020080310910*</t>
  </si>
  <si>
    <t>CEASER PATRICIA A</t>
  </si>
  <si>
    <t>7320-01-000-0020-901</t>
  </si>
  <si>
    <t>*7320010000020901*</t>
  </si>
  <si>
    <t>GREATWOOD COMMUNITY ASSOCIATION INC</t>
  </si>
  <si>
    <t xml:space="preserve">C/O HOUSTON COMMUNITY MANAGEMENT        </t>
  </si>
  <si>
    <t xml:space="preserve">17049 EL CAMINO REAL                    </t>
  </si>
  <si>
    <t>7342-01-001-0056-914</t>
  </si>
  <si>
    <t>*7342010010056914*</t>
  </si>
  <si>
    <t>DUNAWAY THOMAS WILLIAM JR</t>
  </si>
  <si>
    <t xml:space="preserve">208 SOUTHRIDGE LAKES PKWY               </t>
  </si>
  <si>
    <t xml:space="preserve">SOUTHLAKE               </t>
  </si>
  <si>
    <t>7360-01-000-0050-901</t>
  </si>
  <si>
    <t>*7360010000050901*</t>
  </si>
  <si>
    <t>OLEKSY LARRY &amp; LYDIA</t>
  </si>
  <si>
    <t>RICHAND CONCRETE &amp; CONSTRUCTION</t>
  </si>
  <si>
    <t>3614 RICHLAND PARK DR</t>
  </si>
  <si>
    <t>7430-00-000-0230-901</t>
  </si>
  <si>
    <t>*7430000000230901*</t>
  </si>
  <si>
    <t>SAMPAYO JAMIE R &amp; MELVA J</t>
  </si>
  <si>
    <t>MELVA SAMPAYO</t>
  </si>
  <si>
    <t>611 SAN CARLOS RD</t>
  </si>
  <si>
    <t>7493-01-001-0020-901</t>
  </si>
  <si>
    <t>*7493010010020901*</t>
  </si>
  <si>
    <t>GRIER L G &amp; EARLINE</t>
  </si>
  <si>
    <t xml:space="preserve">7320 VINCIK EHLERT RD                   </t>
  </si>
  <si>
    <t>7505-01-005-0230-907</t>
  </si>
  <si>
    <t>*7505010050230907*</t>
  </si>
  <si>
    <t>JETTI JAYA PRAKASH &amp; KAMALA VANARSA</t>
  </si>
  <si>
    <t>JAYA PRAKASH JETTI</t>
  </si>
  <si>
    <t>SATYA &amp; SUBBA L VANARSA</t>
  </si>
  <si>
    <t>5707 FAIRWIND LN</t>
  </si>
  <si>
    <t>7505-01-006-0230-907</t>
  </si>
  <si>
    <t>*7505010060230907*</t>
  </si>
  <si>
    <t>LAWAL ADEOLA ADIJAT &amp; KABIR AJIBOLA</t>
  </si>
  <si>
    <t>ADEOLA A LAWAL</t>
  </si>
  <si>
    <t>7639 VILLAGE MILL LANE</t>
  </si>
  <si>
    <t>7505-02-001-0320-907</t>
  </si>
  <si>
    <t>*7505020010320907*</t>
  </si>
  <si>
    <t>YUAN YONG</t>
  </si>
  <si>
    <t>YONG YUAN</t>
  </si>
  <si>
    <t>4918 ANTHONY SPRINGS LN.</t>
  </si>
  <si>
    <t>7505-02-001-0770-907</t>
  </si>
  <si>
    <t>*7505020010770907*</t>
  </si>
  <si>
    <t>DHAMOTHARAN SHAKIRA</t>
  </si>
  <si>
    <t>ROSEMEEDA MOHAMMED</t>
  </si>
  <si>
    <t>3335 CHANDLER HOLLOW LAN</t>
  </si>
  <si>
    <t>7508-01-002-0210-901</t>
  </si>
  <si>
    <t>*7508010020210901*</t>
  </si>
  <si>
    <t>LENNAR HOMES OF TEXAS LAND &amp; CONSTR</t>
  </si>
  <si>
    <t>ARENOSA DEVELOPEMENT POWERLINE LTD</t>
  </si>
  <si>
    <t xml:space="preserve">3004 PRECINCT LINE RD                   </t>
  </si>
  <si>
    <t>7508-01-002-0460-901</t>
  </si>
  <si>
    <t>*7508010020460901*</t>
  </si>
  <si>
    <t>7550-09-000-0600-907</t>
  </si>
  <si>
    <t>*7550090000600907*</t>
  </si>
  <si>
    <t>LOPEZ RICHARD J &amp; ROSALVA G</t>
  </si>
  <si>
    <t>R J LOPEZ</t>
  </si>
  <si>
    <t>2922 COUNTRY CLUB BLVD</t>
  </si>
  <si>
    <t>7550-10-001-3600-907</t>
  </si>
  <si>
    <t>*7550100013600907*</t>
  </si>
  <si>
    <t>BRECKENRIDGE PROPERTY FUND 2016 LLC</t>
  </si>
  <si>
    <t>FRAZIER CHARLIE ESTATE &amp; JOYCE U FR</t>
  </si>
  <si>
    <t xml:space="preserve">506  FOX BRIAR LN                       </t>
  </si>
  <si>
    <t>7550-11-000-0090-907</t>
  </si>
  <si>
    <t>*7550110000090907*</t>
  </si>
  <si>
    <t>ADAMS MARIA C &amp; STUART M</t>
  </si>
  <si>
    <t xml:space="preserve">1 CHARLESTON ST S                       </t>
  </si>
  <si>
    <t>7550-21-007-0120-907</t>
  </si>
  <si>
    <t>*7550210070120907*</t>
  </si>
  <si>
    <t>RIDDLE ASHLEY</t>
  </si>
  <si>
    <t>CLAYTON RIDDLE</t>
  </si>
  <si>
    <t>42 CLANSMOOR CT</t>
  </si>
  <si>
    <t>7550-22-005-0440-907</t>
  </si>
  <si>
    <t>*7550220050440907*</t>
  </si>
  <si>
    <t>STUMPF JACQUELINE N</t>
  </si>
  <si>
    <t>FARIS MOHAMMED</t>
  </si>
  <si>
    <t>215 KIRKWOOD CT</t>
  </si>
  <si>
    <t>7550-24-003-0300-907</t>
  </si>
  <si>
    <t>*7550240030300907*</t>
  </si>
  <si>
    <t>TROUT PAULA</t>
  </si>
  <si>
    <t>7550-28-001-0430-910</t>
  </si>
  <si>
    <t>*7550280010430910*</t>
  </si>
  <si>
    <t>DAWSON GARY J &amp; SUSAN T</t>
  </si>
  <si>
    <t>7559-01-002-0040-907</t>
  </si>
  <si>
    <t>*7559010020040907*</t>
  </si>
  <si>
    <t>SHAH BANKIM H &amp; KALPANA B</t>
  </si>
  <si>
    <t>PRINCE FLEXIPACK LLC</t>
  </si>
  <si>
    <t>10318 SUGARBRIDGE TRL</t>
  </si>
  <si>
    <t>7559-02-002-0120-907</t>
  </si>
  <si>
    <t>*7559020020120907*</t>
  </si>
  <si>
    <t>PATEL PRAMTHESH G ETAL</t>
  </si>
  <si>
    <t>ANAND PATEL</t>
  </si>
  <si>
    <t>2719 KIPLING STREETAPT E</t>
  </si>
  <si>
    <t>7560-04-002-0430-907</t>
  </si>
  <si>
    <t>*7560040020430907*</t>
  </si>
  <si>
    <t>NELL GUY D &amp; BERNICE GRANT</t>
  </si>
  <si>
    <t>FNC TITLE SERVICES LLC</t>
  </si>
  <si>
    <t>TEXAS ESCROW TRUST ACCOUNT</t>
  </si>
  <si>
    <t>2591 DALLAS PKWY STE 100</t>
  </si>
  <si>
    <t>7585-03-003-0491-901</t>
  </si>
  <si>
    <t>*7585030030491901*</t>
  </si>
  <si>
    <t>SAMPSON KATIE GREEN</t>
  </si>
  <si>
    <t>7585-03-005-0120-901</t>
  </si>
  <si>
    <t>*7585030050120901*</t>
  </si>
  <si>
    <t>AHMED FERHAN Y</t>
  </si>
  <si>
    <t xml:space="preserve">8114 SILENT DEEP DR                     </t>
  </si>
  <si>
    <t>7585-04-003-0100-901</t>
  </si>
  <si>
    <t>*7585040030100901*</t>
  </si>
  <si>
    <t>RAMIREZ-CUELLAR  ARTURO &amp; ESPERANZA</t>
  </si>
  <si>
    <t>ESPERANZA PENA-ROSALES</t>
  </si>
  <si>
    <t>7830 LAKE COMMONS DR</t>
  </si>
  <si>
    <t>7600-02-001-0010-907</t>
  </si>
  <si>
    <t>*7600020010010907*</t>
  </si>
  <si>
    <t>SCHMIDT PAUL F &amp; KERI CURTIS</t>
  </si>
  <si>
    <t>KERI SCHMIDT</t>
  </si>
  <si>
    <t>402 ABBOTT CIR</t>
  </si>
  <si>
    <t>7600-02-001-0850-907</t>
  </si>
  <si>
    <t>*7600020010850907*</t>
  </si>
  <si>
    <t>CATAMOUNT PROPERTIES 2018 LLC</t>
  </si>
  <si>
    <t>6032 FM 3009 STE 100</t>
  </si>
  <si>
    <t>SCHERTZ</t>
  </si>
  <si>
    <t>7600-05-002-0490-907</t>
  </si>
  <si>
    <t>*7600050020490907*</t>
  </si>
  <si>
    <t>FEUGE AUDREY S</t>
  </si>
  <si>
    <t xml:space="preserve">915 OAKLAND CT                          </t>
  </si>
  <si>
    <t>7600-05-003-0370-907</t>
  </si>
  <si>
    <t>*7600050030370907*</t>
  </si>
  <si>
    <t>RAMSHAW SYLVAIN &amp; ANNA J</t>
  </si>
  <si>
    <t>ANNA RAMSHAW</t>
  </si>
  <si>
    <t>1011 MILL RUN DR</t>
  </si>
  <si>
    <t>7600-07-002-0180-907</t>
  </si>
  <si>
    <t>*7600070020180907*</t>
  </si>
  <si>
    <t>XUE XIURONG</t>
  </si>
  <si>
    <t>JOHN R HOLLINS</t>
  </si>
  <si>
    <t>1100 NORWOOD RD</t>
  </si>
  <si>
    <t>DRIPPING SPRINGS</t>
  </si>
  <si>
    <t>7600-07-004-0220-907</t>
  </si>
  <si>
    <t>*7600070040220907*</t>
  </si>
  <si>
    <t>MILAM JOHN D JR</t>
  </si>
  <si>
    <t>JOHN MILAM</t>
  </si>
  <si>
    <t>1234 MISTY LAKE CT</t>
  </si>
  <si>
    <t>7610-01-002-0460-901</t>
  </si>
  <si>
    <t>*7610010020460901*</t>
  </si>
  <si>
    <t>INTIME HOME BUYERS INC</t>
  </si>
  <si>
    <t>INTIME HOME BUYERS, INC.</t>
  </si>
  <si>
    <t>306 TEXAS AVENUE</t>
  </si>
  <si>
    <t>7610-01-004-0190-901</t>
  </si>
  <si>
    <t>*7610010040190901*</t>
  </si>
  <si>
    <t>AMEY ISAAC ETAL</t>
  </si>
  <si>
    <t xml:space="preserve">12801 ROSECRANS AVE                     </t>
  </si>
  <si>
    <t xml:space="preserve">APT 354                                 </t>
  </si>
  <si>
    <t xml:space="preserve">NORWALK                 </t>
  </si>
  <si>
    <t>7615-02-001-0220-901</t>
  </si>
  <si>
    <t>*7615020010220901*</t>
  </si>
  <si>
    <t>ROBERSON LACY &amp; EDDIE</t>
  </si>
  <si>
    <t>JARCO STEEL INC</t>
  </si>
  <si>
    <t>OPERATING ACCOUNT</t>
  </si>
  <si>
    <t>PO BOX 266715</t>
  </si>
  <si>
    <t>7620-01-007-0050-901</t>
  </si>
  <si>
    <t>*7620010070050901*</t>
  </si>
  <si>
    <t>KRICHMAR DAVID &amp; NIDIA GUENARD</t>
  </si>
  <si>
    <t>7620-01-008-0460-901</t>
  </si>
  <si>
    <t>*7620010080460901*</t>
  </si>
  <si>
    <t>OPENDOOR PROPERTY J LLC</t>
  </si>
  <si>
    <t>7630-01-005-0370-907</t>
  </si>
  <si>
    <t>*7630010050370907*</t>
  </si>
  <si>
    <t>RISING HEIGHTS INC</t>
  </si>
  <si>
    <t>BAUHAUS HOUSTON</t>
  </si>
  <si>
    <t>1803 PEASE ST</t>
  </si>
  <si>
    <t>7645-00-000-0050-901</t>
  </si>
  <si>
    <t>*7645000000050901*</t>
  </si>
  <si>
    <t>RODRIGUEZ  ISRAEL &amp; SANDRA</t>
  </si>
  <si>
    <t>DENIS GUZMAN</t>
  </si>
  <si>
    <t>P.O BOX 45</t>
  </si>
  <si>
    <t>7665-01-001-0340-901</t>
  </si>
  <si>
    <t>*7665010010340901*</t>
  </si>
  <si>
    <t>VEGA SABRINA R</t>
  </si>
  <si>
    <t>7700-01-003-0020-907</t>
  </si>
  <si>
    <t>*7700010030020907*</t>
  </si>
  <si>
    <t>HERNANDEZ EDWARD</t>
  </si>
  <si>
    <t>LAWRENCE HERNANDEZ</t>
  </si>
  <si>
    <t>100 HUTCHESON ST</t>
  </si>
  <si>
    <t>7700-01-006-0510-907</t>
  </si>
  <si>
    <t>*7700010060510907*</t>
  </si>
  <si>
    <t>SEALE MICHAEL H &amp; CYNTHIA</t>
  </si>
  <si>
    <t xml:space="preserve">2714 SUGARWOOD DR                       </t>
  </si>
  <si>
    <t>7700-02-001-0070-907</t>
  </si>
  <si>
    <t>*7700020010070907*</t>
  </si>
  <si>
    <t>JORGENSEN CHARLES A &amp; HOLLY A</t>
  </si>
  <si>
    <t>CHUCK JORGENSEN</t>
  </si>
  <si>
    <t>2910 DEER CREEK DR</t>
  </si>
  <si>
    <t>7790-01-007-0040-907</t>
  </si>
  <si>
    <t>*7790010070040907*</t>
  </si>
  <si>
    <t>POLVADO TIMOTHY L</t>
  </si>
  <si>
    <t>TIMOTHY POLVADO</t>
  </si>
  <si>
    <t>2718 BRIAR CLIFF CT</t>
  </si>
  <si>
    <t>7791-02-004-0150-907</t>
  </si>
  <si>
    <t>*7791020040150907*</t>
  </si>
  <si>
    <t>WU EUNICE L LEE &amp; CHIEN-LING LEE</t>
  </si>
  <si>
    <t>CHIEN-LING LEE</t>
  </si>
  <si>
    <t>4426 MORNING CLOUD LN</t>
  </si>
  <si>
    <t>7800-01-006-0010-907</t>
  </si>
  <si>
    <t>*7800010060010907*</t>
  </si>
  <si>
    <t>NOSER ELIZABETH</t>
  </si>
  <si>
    <t>ELIZABETH A NOSER</t>
  </si>
  <si>
    <t>17 NORTHUMBRIA PARK</t>
  </si>
  <si>
    <t>7800-01-008-0230-907</t>
  </si>
  <si>
    <t>*7800010080230907*</t>
  </si>
  <si>
    <t>MORALES RAMIRO &amp; ESTELLA</t>
  </si>
  <si>
    <t>7800-12-009-0010-907</t>
  </si>
  <si>
    <t>*7800120090010907*</t>
  </si>
  <si>
    <t>STEVEN GUSE LIVING TRUST</t>
  </si>
  <si>
    <t>STEVEN GUSE</t>
  </si>
  <si>
    <t>4202 ST MICHAELS CT</t>
  </si>
  <si>
    <t>7811-01-003-0010-907</t>
  </si>
  <si>
    <t>*7811010030010907*</t>
  </si>
  <si>
    <t>ZHANG GUOJIN &amp; SA WU</t>
  </si>
  <si>
    <t>GUOJIN ZHANG</t>
  </si>
  <si>
    <t>4180 GREYSTONE WAY</t>
  </si>
  <si>
    <t>7835-00-019-0020-901</t>
  </si>
  <si>
    <t>*7835000190020901*</t>
  </si>
  <si>
    <t>VILLALOBOZ RICHARD</t>
  </si>
  <si>
    <t>BRIAN SOSA</t>
  </si>
  <si>
    <t>4707 HIGHWAY 36 S #25</t>
  </si>
  <si>
    <t>7835-00-022-0030-901</t>
  </si>
  <si>
    <t>*7835000220030901*</t>
  </si>
  <si>
    <t>MOORJANI VINOD</t>
  </si>
  <si>
    <t>TX CAPITAL PTH #1 ESCROW ACCOUNT</t>
  </si>
  <si>
    <t>2500 WEST LOOP S STE 500</t>
  </si>
  <si>
    <t>7835-00-025-0110-901</t>
  </si>
  <si>
    <t>*7835000250110901*</t>
  </si>
  <si>
    <t>CERVANTES GUILLERMINA</t>
  </si>
  <si>
    <t>MARIA CERVANTES</t>
  </si>
  <si>
    <t>506 N 4TH ST</t>
  </si>
  <si>
    <t>7860-00-000-0171-901</t>
  </si>
  <si>
    <t>*7860000000171901*</t>
  </si>
  <si>
    <t>CERDA JAIME M</t>
  </si>
  <si>
    <t>CRISTELA A CERDA</t>
  </si>
  <si>
    <t>4623 RANDON SCHOOL RD</t>
  </si>
  <si>
    <t>7897-04-001-0610-901</t>
  </si>
  <si>
    <t>*7897040010610901*</t>
  </si>
  <si>
    <t>PARKER DOUGLAS H JR &amp; BRIANNE N</t>
  </si>
  <si>
    <t>PRIMA TITLE GROUP LLC</t>
  </si>
  <si>
    <t>7897-09-001-0020-901</t>
  </si>
  <si>
    <t>*7897090010020901*</t>
  </si>
  <si>
    <t>SOUSA ECKEL</t>
  </si>
  <si>
    <t>ECKEL SOUSA</t>
  </si>
  <si>
    <t>3027 MCDONOUGH WAY</t>
  </si>
  <si>
    <t>7897-22-003-0100-901</t>
  </si>
  <si>
    <t>*7897220030100901*</t>
  </si>
  <si>
    <t>SHANE ASHLEIGH ROBYN &amp; JONATHAN</t>
  </si>
  <si>
    <t>7897-31-002-0040-914</t>
  </si>
  <si>
    <t>*7897310020040914*</t>
  </si>
  <si>
    <t>PADILLO ULYSSES &amp; OPALINE ANN</t>
  </si>
  <si>
    <t xml:space="preserve">28714 PALMS STROLL CT                   </t>
  </si>
  <si>
    <t>7897-53-004-0340-901</t>
  </si>
  <si>
    <t>*7897530040340901*</t>
  </si>
  <si>
    <t>LINARES HUMBERTO R SERRANO &amp; LINA L</t>
  </si>
  <si>
    <t>IGNACIO A MONTANO</t>
  </si>
  <si>
    <t>3418 SICILY ISLAND LN</t>
  </si>
  <si>
    <t>7935-02-009-0020-901</t>
  </si>
  <si>
    <t>*7935020090020901*</t>
  </si>
  <si>
    <t>OFOEYENO PRINCE B SR &amp; FEICIA A</t>
  </si>
  <si>
    <t xml:space="preserve">8819 CORBRIDGE DR                       </t>
  </si>
  <si>
    <t>7980-00-002-0090-907</t>
  </si>
  <si>
    <t>*7980000020090907*</t>
  </si>
  <si>
    <t>SHIN WANG G &amp; KYUNG H</t>
  </si>
  <si>
    <t>PRO-TECH FACILITY RESTORAION LLC</t>
  </si>
  <si>
    <t>PO BOX 14408</t>
  </si>
  <si>
    <t>7980-00-002-0120-907</t>
  </si>
  <si>
    <t>*7980000020120907*</t>
  </si>
  <si>
    <t>AKUCHIE EUNICE &amp; CHRIS I IGWILO</t>
  </si>
  <si>
    <t>EUNICE CHINYERE AKUCHIE</t>
  </si>
  <si>
    <t>14411 ARDWELL DR</t>
  </si>
  <si>
    <t>8000-00-003-1000-907</t>
  </si>
  <si>
    <t>*8000000031000907*</t>
  </si>
  <si>
    <t>LUCIO MELISSA A</t>
  </si>
  <si>
    <t>FGMS HOLDINGS LLC</t>
  </si>
  <si>
    <t>8000-00-015-0301-907</t>
  </si>
  <si>
    <t>*8000000150301907*</t>
  </si>
  <si>
    <t>MONTANO RAMON ISIORDIA &amp; MARIA TRIN</t>
  </si>
  <si>
    <t>RAMON ISIORDIA</t>
  </si>
  <si>
    <t>7110 SIENA VISTA DR</t>
  </si>
  <si>
    <t>8006-00-001-0730-901</t>
  </si>
  <si>
    <t>*8006000010730901*</t>
  </si>
  <si>
    <t>NGUYEN HONG TAM</t>
  </si>
  <si>
    <t>CHRISTOPHER R MYSTERY</t>
  </si>
  <si>
    <t>1253 CITRUSWOOD TRAIL LN</t>
  </si>
  <si>
    <t>8010-01-003-0030-907</t>
  </si>
  <si>
    <t>*8010010030030907*</t>
  </si>
  <si>
    <t>MBA MATTHEW</t>
  </si>
  <si>
    <t>MBA CHI</t>
  </si>
  <si>
    <t xml:space="preserve">6310 MISTY CRK                          </t>
  </si>
  <si>
    <t>8016-02-001-0111-901</t>
  </si>
  <si>
    <t>*8016020010111901*</t>
  </si>
  <si>
    <t>LEONARD BRENDAN GERALD2 &amp; SHAYA M H</t>
  </si>
  <si>
    <t>8070-06-001-0060-901</t>
  </si>
  <si>
    <t>*8070060010060901*</t>
  </si>
  <si>
    <t>VIVO HOLDINGS COMPANY LLC</t>
  </si>
  <si>
    <t>8075-01-001-0050-906</t>
  </si>
  <si>
    <t>*8075010010050906*</t>
  </si>
  <si>
    <t>K HOVNANIAN OF HOUSTON II LLC</t>
  </si>
  <si>
    <t>8090-02-027-2704-907</t>
  </si>
  <si>
    <t>*8090020272704907*</t>
  </si>
  <si>
    <t>HALL DANIEL R</t>
  </si>
  <si>
    <t>MR DANIEL HALL</t>
  </si>
  <si>
    <t>2910 GRANTS LAKE #801</t>
  </si>
  <si>
    <t>8100-01-004-0300-907</t>
  </si>
  <si>
    <t>*8100010040300907*</t>
  </si>
  <si>
    <t>LEDEZMA ANGELICA &amp; RAMSES LEON MONS</t>
  </si>
  <si>
    <t>8100-01-017-4200-907</t>
  </si>
  <si>
    <t>*8100010174200907*</t>
  </si>
  <si>
    <t>NGUYEN HOANG</t>
  </si>
  <si>
    <t>VI TRAN</t>
  </si>
  <si>
    <t>10606 HAT ST</t>
  </si>
  <si>
    <t>8100-02-003-0210-907</t>
  </si>
  <si>
    <t>*8100020030210907*</t>
  </si>
  <si>
    <t>FLORES ROSA MARIA</t>
  </si>
  <si>
    <t>8100-02-003-0260-907</t>
  </si>
  <si>
    <t>*8100020030260907*</t>
  </si>
  <si>
    <t>HESTER FRANCES WATSON</t>
  </si>
  <si>
    <t>10080 BELLAIRE BLVD SUITE 220</t>
  </si>
  <si>
    <t>8100-02-006-0100-907</t>
  </si>
  <si>
    <t>*8100020060100907*</t>
  </si>
  <si>
    <t>WILLIAMS VALERIE S</t>
  </si>
  <si>
    <t>8100-02-007-0141-907</t>
  </si>
  <si>
    <t>*8100020070141907*</t>
  </si>
  <si>
    <t>BURNS MICHAEL</t>
  </si>
  <si>
    <t>MICHAEL GARZA-BURNS</t>
  </si>
  <si>
    <t>STEVE A GARZA-BURNS</t>
  </si>
  <si>
    <t>10519 PERMIAN DR</t>
  </si>
  <si>
    <t>8100-02-009-0690-907</t>
  </si>
  <si>
    <t>*8100020090690907*</t>
  </si>
  <si>
    <t>WILLIAMS ANGELA</t>
  </si>
  <si>
    <t>ANGELA WILLIAMS</t>
  </si>
  <si>
    <t>14319 SOUTHLINE RD</t>
  </si>
  <si>
    <t>8100-04-004-0140-907</t>
  </si>
  <si>
    <t>*8100040040140907*</t>
  </si>
  <si>
    <t>TALMAGE INA M</t>
  </si>
  <si>
    <t>INA TALMAGE</t>
  </si>
  <si>
    <t>JERRY FRYER JR</t>
  </si>
  <si>
    <t>14119 PANHANDLE DR</t>
  </si>
  <si>
    <t>8100-04-005-0230-907</t>
  </si>
  <si>
    <t>*8100040050230907*</t>
  </si>
  <si>
    <t>TOWNEWEST HOMEOWNERS ASSOCIATION</t>
  </si>
  <si>
    <t>8100-04-009-0330-907</t>
  </si>
  <si>
    <t>*8100040090330907*</t>
  </si>
  <si>
    <t>BRANDENBERGER JENNY M</t>
  </si>
  <si>
    <t>EDGAR PASCUAL CASTRO</t>
  </si>
  <si>
    <t>12806 VILLAWOOD LN</t>
  </si>
  <si>
    <t>8100-05-001-0110-907</t>
  </si>
  <si>
    <t>*8100050010110907*</t>
  </si>
  <si>
    <t>NGUYEN TAI T &amp; KASEY LY</t>
  </si>
  <si>
    <t>8100-06-005-0450-907</t>
  </si>
  <si>
    <t>*8100060050450907*</t>
  </si>
  <si>
    <t>CALDERON RICARDO &amp; DORIS</t>
  </si>
  <si>
    <t>DORIS CALDERON</t>
  </si>
  <si>
    <t>718 GARRETT WAY</t>
  </si>
  <si>
    <t>8100-06-005-0630-907</t>
  </si>
  <si>
    <t>*8100060050630907*</t>
  </si>
  <si>
    <t>ROBERTSON AUBREY D &amp; RAYMOND K SASS</t>
  </si>
  <si>
    <t>14505 TORREY CHASE, SUITE 100</t>
  </si>
  <si>
    <t>8100-06-007-0240-907</t>
  </si>
  <si>
    <t>*8100060070240907*</t>
  </si>
  <si>
    <t>MILLARD MAGDALENA M</t>
  </si>
  <si>
    <t>TRAVIS MILLARD</t>
  </si>
  <si>
    <t>3131 W LOOP SAPT 138</t>
  </si>
  <si>
    <t>8110-03-001-0340-907</t>
  </si>
  <si>
    <t>*8110030010340907*</t>
  </si>
  <si>
    <t>TEHRANI MEHRDAD I</t>
  </si>
  <si>
    <t xml:space="preserve">7335 WIMBERLY OAKS LN                   </t>
  </si>
  <si>
    <t>8110-05-002-0250-907</t>
  </si>
  <si>
    <t>*8110050020250907*</t>
  </si>
  <si>
    <t>DOAN PARIS &amp; THAO THANH VO</t>
  </si>
  <si>
    <t xml:space="preserve">18127 EMERYBROOK CT                     </t>
  </si>
  <si>
    <t>8110-06-004-0561-907</t>
  </si>
  <si>
    <t>*8110060040561907*</t>
  </si>
  <si>
    <t>DU2 MAN THOAI &amp; THANH THI NGOC TRIN</t>
  </si>
  <si>
    <t>8110-09-005-0480-907</t>
  </si>
  <si>
    <t>*8110090050480907*</t>
  </si>
  <si>
    <t>DAOUD AMER</t>
  </si>
  <si>
    <t xml:space="preserve">7803 ROYAL CLIFF CT                     </t>
  </si>
  <si>
    <t>8119-22-002-0330-907</t>
  </si>
  <si>
    <t>*8119220020330907*</t>
  </si>
  <si>
    <t>WALKER TODD MICHAEL &amp; MEAGAN</t>
  </si>
  <si>
    <t>8126-03-002-0170-907</t>
  </si>
  <si>
    <t>*8126030020170907*</t>
  </si>
  <si>
    <t>TURPIN ANTHONY RAY</t>
  </si>
  <si>
    <t>ANTHONY R TURPIN</t>
  </si>
  <si>
    <t>8541 PRAIRIE FIRE DR</t>
  </si>
  <si>
    <t>8127-04-004-0110-914</t>
  </si>
  <si>
    <t>*8127040040110914*</t>
  </si>
  <si>
    <t>ABD DHEYAA T &amp; IMAN O. AL SAEDI</t>
  </si>
  <si>
    <t>8127-13-001-0210-914</t>
  </si>
  <si>
    <t>*8127130010210914*</t>
  </si>
  <si>
    <t>BRICENO-SALAZAR JENNYS K &amp; EDWARD J</t>
  </si>
  <si>
    <t xml:space="preserve">3014 ALORIA HILLS TRL                   </t>
  </si>
  <si>
    <t>8127-15-002-0120-914</t>
  </si>
  <si>
    <t>*8127150020120914*</t>
  </si>
  <si>
    <t>8127-15-003-0180-914</t>
  </si>
  <si>
    <t>*8127150030180914*</t>
  </si>
  <si>
    <t xml:space="preserve">2719 BETHEL VALLEY TRCE                 </t>
  </si>
  <si>
    <t>8128-02-002-0081-907</t>
  </si>
  <si>
    <t>*8128020020081907*</t>
  </si>
  <si>
    <t>DHUKA HAZARAT &amp; VAHIDA</t>
  </si>
  <si>
    <t>HAZARAT DHUKA</t>
  </si>
  <si>
    <t>RAINISH H DHUKA</t>
  </si>
  <si>
    <t>ALISHA H DHUKA</t>
  </si>
  <si>
    <t>1902 HEATHER COVE CT</t>
  </si>
  <si>
    <t>8130-01-001-0400-907</t>
  </si>
  <si>
    <t>*8130010010400907*</t>
  </si>
  <si>
    <t>SAYAVEDRA DIANA ISABEL</t>
  </si>
  <si>
    <t>SERVICED BY CORELOGICTAX SERVICES, LLC</t>
  </si>
  <si>
    <t>8130-01-004-0030-907</t>
  </si>
  <si>
    <t>*8130010040030907*</t>
  </si>
  <si>
    <t>ALLEN MELODY</t>
  </si>
  <si>
    <t xml:space="preserve">9503 STEEP BANK PSGE                    </t>
  </si>
  <si>
    <t>8130-15-001-0010-907</t>
  </si>
  <si>
    <t>*8130150010010907*</t>
  </si>
  <si>
    <t>HUDSON SFR PROPERTY HOLDINGS II LLC</t>
  </si>
  <si>
    <t>8130-22-002-0050-907</t>
  </si>
  <si>
    <t>*8130220020050907*</t>
  </si>
  <si>
    <t>GAY DONALD D &amp; DONNA M</t>
  </si>
  <si>
    <t xml:space="preserve">3811 SMITHERS LN                        </t>
  </si>
  <si>
    <t>8131-01-004-0310-907</t>
  </si>
  <si>
    <t>*8131010040310907*</t>
  </si>
  <si>
    <t>MESFIN BEZAWIT &amp; ALMAZE SIBHATU</t>
  </si>
  <si>
    <t xml:space="preserve">5702 HORSESHOE FLS                      </t>
  </si>
  <si>
    <t>8131-05-005-0150-907</t>
  </si>
  <si>
    <t>*8131050050150907*</t>
  </si>
  <si>
    <t>BERGERON DIONE</t>
  </si>
  <si>
    <t>8131-08-003-0240-907</t>
  </si>
  <si>
    <t>*8131080030240907*</t>
  </si>
  <si>
    <t>SCOTT RELIA</t>
  </si>
  <si>
    <t xml:space="preserve">7127 BAITLAND DR                        </t>
  </si>
  <si>
    <t>8131-11-002-0040-907</t>
  </si>
  <si>
    <t>*8131110020040907*</t>
  </si>
  <si>
    <t>ASHLEY MINETREE KEY INVESTMENT TRUS</t>
  </si>
  <si>
    <t xml:space="preserve">6006 BRIDGESIDE LN                      </t>
  </si>
  <si>
    <t>8131-23-001-0060-907</t>
  </si>
  <si>
    <t>*8131230010060907*</t>
  </si>
  <si>
    <t>MCGRIGGS LEE</t>
  </si>
  <si>
    <t>ORCHARD STREET SETTLEMENTS LLC</t>
  </si>
  <si>
    <t>18 ROBBINS STREET</t>
  </si>
  <si>
    <t>TOMS RIVER</t>
  </si>
  <si>
    <t>8131-27-002-0010-907</t>
  </si>
  <si>
    <t>*8131270020010907*</t>
  </si>
  <si>
    <t>GORDON YESENIA CONTRERAS</t>
  </si>
  <si>
    <t>8132-22-001-0370-907</t>
  </si>
  <si>
    <t>*8132220010370907*</t>
  </si>
  <si>
    <t>MASSIH SAM</t>
  </si>
  <si>
    <t>8133-01-001-0200-907</t>
  </si>
  <si>
    <t>*8133010010200907*</t>
  </si>
  <si>
    <t>HAMILTON LIVING TRUST DATED JANUARY</t>
  </si>
  <si>
    <t xml:space="preserve">3410 CHAMBERS CT                        </t>
  </si>
  <si>
    <t>8133-05-001-0020-907</t>
  </si>
  <si>
    <t>*8133050010020907*</t>
  </si>
  <si>
    <t>FERTITTA RANDY &amp; ON NA LI</t>
  </si>
  <si>
    <t>RANDY FERTITTA</t>
  </si>
  <si>
    <t>SZE SZE REALTY LLC</t>
  </si>
  <si>
    <t>9839 MCMAHON CT</t>
  </si>
  <si>
    <t>8133-05-003-0100-907</t>
  </si>
  <si>
    <t>*8133050030100907*</t>
  </si>
  <si>
    <t>COOK GERALD &amp; RUBY</t>
  </si>
  <si>
    <t xml:space="preserve">3311 MCMAHON LN                         </t>
  </si>
  <si>
    <t>8133-09-001-0310-907</t>
  </si>
  <si>
    <t>*8133090010310907*</t>
  </si>
  <si>
    <t>LABUS RONALD N &amp; MARTHA</t>
  </si>
  <si>
    <t xml:space="preserve">2411 KENWORTHY DR                       </t>
  </si>
  <si>
    <t>8133-16-003-0010-907</t>
  </si>
  <si>
    <t>*8133160030010907*</t>
  </si>
  <si>
    <t>ROMINE MICHAEL R &amp; KIMBERLY K</t>
  </si>
  <si>
    <t xml:space="preserve">10306 FELDMAN FLS                       </t>
  </si>
  <si>
    <t>8133-17-005-0130-907</t>
  </si>
  <si>
    <t>*8133170050130907*</t>
  </si>
  <si>
    <t>GONZALEZ RONALD S &amp; DONNA M</t>
  </si>
  <si>
    <t>8133-17-007-0021-907</t>
  </si>
  <si>
    <t>*8133170070021907*</t>
  </si>
  <si>
    <t>TROUT DANIELLE</t>
  </si>
  <si>
    <t>C/O CORELOGIC TAX SERVICE LLC</t>
  </si>
  <si>
    <t>8133-32-001-0140-907</t>
  </si>
  <si>
    <t>*8133320010140907*</t>
  </si>
  <si>
    <t>JIN YIJUAN</t>
  </si>
  <si>
    <t>RODCAM PROPERTIES LLC</t>
  </si>
  <si>
    <t xml:space="preserve">16647 SEMINOLE RIDGE DR                 </t>
  </si>
  <si>
    <t xml:space="preserve">CYPRESS                 </t>
  </si>
  <si>
    <t>8135-23-001-0190-907</t>
  </si>
  <si>
    <t>*8135230010190907*</t>
  </si>
  <si>
    <t>ALLEN DUDLEY &amp; JESSILYN M</t>
  </si>
  <si>
    <t>8135-27-001-0460-907</t>
  </si>
  <si>
    <t>*8135270010460907*</t>
  </si>
  <si>
    <t>BAZAN THERESA Y &amp; ALBERT S</t>
  </si>
  <si>
    <t>8135-27-001-0550-907</t>
  </si>
  <si>
    <t>*8135270010550907*</t>
  </si>
  <si>
    <t>PEEL THERESA L &amp; CLIFFORD</t>
  </si>
  <si>
    <t>CLIFFORD D. PEEL II</t>
  </si>
  <si>
    <t>3418 SUNSET FIELD LN</t>
  </si>
  <si>
    <t>8135-28-001-0260-907</t>
  </si>
  <si>
    <t>*8135280010260907*</t>
  </si>
  <si>
    <t>RAMIREZ CARLO &amp; EIRYNE</t>
  </si>
  <si>
    <t>CARLO A RAMIREZ</t>
  </si>
  <si>
    <t>9203 ELK MOUNTAIN CT</t>
  </si>
  <si>
    <t>8135-53-003-0060-907</t>
  </si>
  <si>
    <t>*8135530030060907*</t>
  </si>
  <si>
    <t>SULLIVAN BRYAN C &amp; MARSHON E</t>
  </si>
  <si>
    <t xml:space="preserve">3034 ROAD RUNNER WALK                   </t>
  </si>
  <si>
    <t>8135-91-004-0290-907</t>
  </si>
  <si>
    <t>*8135910040290907*</t>
  </si>
  <si>
    <t>OSTERHOLD ROBERT J &amp; ANN C</t>
  </si>
  <si>
    <t>8135-91-005-0110-907</t>
  </si>
  <si>
    <t>*8135910050110907*</t>
  </si>
  <si>
    <t>WERNER JOHN R &amp; LESLEY A</t>
  </si>
  <si>
    <t>8136-01-003-0021-907</t>
  </si>
  <si>
    <t>*8136010030021907*</t>
  </si>
  <si>
    <t>PETER MANU SHIRLY &amp; MELBY BABY</t>
  </si>
  <si>
    <t>HOME POINT FINANCIAL</t>
  </si>
  <si>
    <t>11511 LUMA RD STE 200</t>
  </si>
  <si>
    <t>8136-27-001-0010-907</t>
  </si>
  <si>
    <t>*8136270010010907*</t>
  </si>
  <si>
    <t>WARD MICHELLE &amp; COURTLAND</t>
  </si>
  <si>
    <t xml:space="preserve">2503 ASHLEY FOREST DR                   </t>
  </si>
  <si>
    <t xml:space="preserve">MISSOURI                </t>
  </si>
  <si>
    <t>8283-04-003-0351-907</t>
  </si>
  <si>
    <t>*8283040030351907*</t>
  </si>
  <si>
    <t>SCHNITZER SHANA</t>
  </si>
  <si>
    <t>8287-01-003-0140-907</t>
  </si>
  <si>
    <t>*8287010030140907*</t>
  </si>
  <si>
    <t>DAVIS DONALD</t>
  </si>
  <si>
    <t>DONALD DAVIS</t>
  </si>
  <si>
    <t>1803 PARKVIEW LANE</t>
  </si>
  <si>
    <t>8287-02-002-0400-907</t>
  </si>
  <si>
    <t>*8287020020400907*</t>
  </si>
  <si>
    <t>MIURA JASON</t>
  </si>
  <si>
    <t>8289-01-005-0160-901</t>
  </si>
  <si>
    <t>*8289010050160901*</t>
  </si>
  <si>
    <t>COLVIN LESLIE R</t>
  </si>
  <si>
    <t>CUSTODIAL ACCOUNT FOR FLAGSTAR BANK</t>
  </si>
  <si>
    <t>PO BOX 961232</t>
  </si>
  <si>
    <t>8289-02-000-0060-901</t>
  </si>
  <si>
    <t>*8289020000060901*</t>
  </si>
  <si>
    <t>SUNRISE MEADOW PROPERTY ASSOCIATION</t>
  </si>
  <si>
    <t xml:space="preserve">C/O REALMANAGE                          </t>
  </si>
  <si>
    <t xml:space="preserve">PO BOX 702438                           </t>
  </si>
  <si>
    <t>8289-08-003-0160-901</t>
  </si>
  <si>
    <t>*8289080030160901*</t>
  </si>
  <si>
    <t>CHISM ALAN BRADFORD &amp; PATRICIA</t>
  </si>
  <si>
    <t>NATIONS LENDING CORPORATION</t>
  </si>
  <si>
    <t>4 SUMMIT PARK DR STE 200</t>
  </si>
  <si>
    <t>INDEPENDENCE</t>
  </si>
  <si>
    <t>8310-00-002-0070-901</t>
  </si>
  <si>
    <t>*8310000020070901*</t>
  </si>
  <si>
    <t>KAMINSKI LIVING TRUST</t>
  </si>
  <si>
    <t>KATHRYN E KAMINSKI</t>
  </si>
  <si>
    <t>1411 AZALEA</t>
  </si>
  <si>
    <t>8320-01-001-0250-901</t>
  </si>
  <si>
    <t>*8320010010250901*</t>
  </si>
  <si>
    <t>BRYSCH RENEE</t>
  </si>
  <si>
    <t>RENEE KULCAK BRYSCH</t>
  </si>
  <si>
    <t>815 KLARE AVE</t>
  </si>
  <si>
    <t>8320-02-000-0030-901</t>
  </si>
  <si>
    <t>*8320020000030901*</t>
  </si>
  <si>
    <t>SCOTT RICKY L &amp; BRENDA J</t>
  </si>
  <si>
    <t xml:space="preserve">914 KLARE AVE                           </t>
  </si>
  <si>
    <t>8453-01-001-0630-906</t>
  </si>
  <si>
    <t>*8453010010630906*</t>
  </si>
  <si>
    <t>COMEAUX MARK</t>
  </si>
  <si>
    <t xml:space="preserve">7718 N COUNTRY SPACE LOOP               </t>
  </si>
  <si>
    <t>8453-01-002-0060-906</t>
  </si>
  <si>
    <t>*8453010020060906*</t>
  </si>
  <si>
    <t>ORELLANA ISRRAEL MARTINEZ &amp; ROSARIO</t>
  </si>
  <si>
    <t>8496-05-002-0191-901</t>
  </si>
  <si>
    <t>*8496050020191901*</t>
  </si>
  <si>
    <t>SEDIQ MOHAMMAD N</t>
  </si>
  <si>
    <t>8496-06-001-0020-901</t>
  </si>
  <si>
    <t>*8496060010020901*</t>
  </si>
  <si>
    <t>SHEBIOBA IREOLUWATOMIWA OLUWADARA</t>
  </si>
  <si>
    <t>CALATLANTIC TEXAS BOA ESCROW ACCOUNT</t>
  </si>
  <si>
    <t>CALATLANTIC TITLE INC</t>
  </si>
  <si>
    <t>681 GREENS PKWY STE 110</t>
  </si>
  <si>
    <t>8496-09-001-0150-901</t>
  </si>
  <si>
    <t>*8496090010150901*</t>
  </si>
  <si>
    <t>JACK LAWRENCE L &amp; IRMA LORRAINE</t>
  </si>
  <si>
    <t>8496-18-001-0131-901</t>
  </si>
  <si>
    <t>*8496180010131901*</t>
  </si>
  <si>
    <t>ZOLLNER MAX E</t>
  </si>
  <si>
    <t>8496-19-002-0081-901</t>
  </si>
  <si>
    <t>*8496190020081901*</t>
  </si>
  <si>
    <t>KUSTER CURTIS</t>
  </si>
  <si>
    <t>8496-23-003-0100-901</t>
  </si>
  <si>
    <t>*8496230030100901*</t>
  </si>
  <si>
    <t>ROLLINS JACQUAI &amp; NATHANIEL JR</t>
  </si>
  <si>
    <t>8496-23-003-0130-901</t>
  </si>
  <si>
    <t>*8496230030130901*</t>
  </si>
  <si>
    <t>WOODALL KRISTIN</t>
  </si>
  <si>
    <t>KRISTIN WOODALL</t>
  </si>
  <si>
    <t>2018 HAYS RANCH DR.</t>
  </si>
  <si>
    <t>8496-34-001-0340-901</t>
  </si>
  <si>
    <t>*8496340010340901*</t>
  </si>
  <si>
    <t>PIRANI PINKY AMIN</t>
  </si>
  <si>
    <t>PRIORITY TITLE LLC</t>
  </si>
  <si>
    <t>8502-00-006-0540-907</t>
  </si>
  <si>
    <t>*8502000060540907*</t>
  </si>
  <si>
    <t>BALCAZAR DORNA L &amp; JOSE H</t>
  </si>
  <si>
    <t xml:space="preserve">16419 HIDDEN GATE CT                    </t>
  </si>
  <si>
    <t>8502-00-009-0120-907</t>
  </si>
  <si>
    <t>*8502000090120907*</t>
  </si>
  <si>
    <t>NARVAS GREGORIO S JR &amp; CONSTANCIA D</t>
  </si>
  <si>
    <t>CONSTANCIA D NARVAS</t>
  </si>
  <si>
    <t>GREGORIO S NARVAS JR</t>
  </si>
  <si>
    <t>1947 AUBURN WILLOW LN</t>
  </si>
  <si>
    <t>8502-02-001-0570-907</t>
  </si>
  <si>
    <t>*8502020010570907*</t>
  </si>
  <si>
    <t>TRAN KIET H</t>
  </si>
  <si>
    <t xml:space="preserve">16651 BROADOAK GROVE LN                 </t>
  </si>
  <si>
    <t>8502-03-002-0050-907</t>
  </si>
  <si>
    <t>*8502030020050907*</t>
  </si>
  <si>
    <t>ZILLOW HOMES PROPERTY TRUST</t>
  </si>
  <si>
    <t>8502-05-001-0360-907</t>
  </si>
  <si>
    <t>*8502050010360907*</t>
  </si>
  <si>
    <t>SHAIKH KHURRAM MUKHTAR &amp; AMNA SIDDI</t>
  </si>
  <si>
    <t>8502-05-003-0040-907</t>
  </si>
  <si>
    <t>*8502050030040907*</t>
  </si>
  <si>
    <t>YANCY-BUSH LISA</t>
  </si>
  <si>
    <t>LISA ANN YANCY-BUSH</t>
  </si>
  <si>
    <t>16630 VILLAGE VIEW TRL</t>
  </si>
  <si>
    <t>8503-05-001-0300-901</t>
  </si>
  <si>
    <t>*8503050010300901*</t>
  </si>
  <si>
    <t>DELEON JENNIFER</t>
  </si>
  <si>
    <t>JENNIFER DELEON</t>
  </si>
  <si>
    <t>5814 TAYLAN LN</t>
  </si>
  <si>
    <t>8503-06-001-0140-901</t>
  </si>
  <si>
    <t>*8503060010140901*</t>
  </si>
  <si>
    <t>WOEBSE CAROLINE M</t>
  </si>
  <si>
    <t>CAROLINE K WOEBSE</t>
  </si>
  <si>
    <t>5513 WALID LANE</t>
  </si>
  <si>
    <t>8504-01-000-0032-901</t>
  </si>
  <si>
    <t>*8504010000032901*</t>
  </si>
  <si>
    <t>BRAZOS TC-PARTNERSHIP A LP</t>
  </si>
  <si>
    <t>BRIDGESTONE RETAIL OPERATIONS LLC</t>
  </si>
  <si>
    <t>200 4TH AVE SOUTH STE 100</t>
  </si>
  <si>
    <t>NASHVILLE</t>
  </si>
  <si>
    <t>TN</t>
  </si>
  <si>
    <t>8506-01-004-0240-901</t>
  </si>
  <si>
    <t>*8506010040240901*</t>
  </si>
  <si>
    <t>SONNIER LAURA M</t>
  </si>
  <si>
    <t xml:space="preserve">26154 FLINTON DR                        </t>
  </si>
  <si>
    <t>8560-03-002-0080-906</t>
  </si>
  <si>
    <t>*8560030020080906*</t>
  </si>
  <si>
    <t>WASHINGTON SHIRLEY &amp; ESTELLA</t>
  </si>
  <si>
    <t>LUTHER OR ESTELLA WASHINGTON</t>
  </si>
  <si>
    <t>PO BOX 1221</t>
  </si>
  <si>
    <t>8695-02-004-0220-901</t>
  </si>
  <si>
    <t>*8695020040220901*</t>
  </si>
  <si>
    <t>THE DAISY MUNOZ TRUST 10/22/2012</t>
  </si>
  <si>
    <t>VERONICA A ANAYA DE MUNOZ</t>
  </si>
  <si>
    <t>7215 SHARPSBURG DR.</t>
  </si>
  <si>
    <t>8695-02-008-0010-901</t>
  </si>
  <si>
    <t>*8695020080010901*</t>
  </si>
  <si>
    <t>BROWN MILDRED J</t>
  </si>
  <si>
    <t>8695-02-009-0240-901</t>
  </si>
  <si>
    <t>*8695020090240901*</t>
  </si>
  <si>
    <t>GUTIERREZ HENRY SR</t>
  </si>
  <si>
    <t xml:space="preserve">7115 TARA DR                            </t>
  </si>
  <si>
    <t>8695-04-002-0150-901</t>
  </si>
  <si>
    <t>*8695040020150901*</t>
  </si>
  <si>
    <t>GARCIA CONSUELO C &amp; ANASTACIA RAMIR</t>
  </si>
  <si>
    <t>8695-05-006-0040-901</t>
  </si>
  <si>
    <t>*8695050060040901*</t>
  </si>
  <si>
    <t>MORALES AGAPITO &amp; LETICIA G</t>
  </si>
  <si>
    <t>4795 REGENT BLVD SUITE 100</t>
  </si>
  <si>
    <t>8697-02-001-0020-901</t>
  </si>
  <si>
    <t>*8697020010020901*</t>
  </si>
  <si>
    <t>ALMARAZ EPITACHIO &amp; JOSIE</t>
  </si>
  <si>
    <t xml:space="preserve">203 WILLOUGHBY DR                       </t>
  </si>
  <si>
    <t>8697-02-004-0240-901</t>
  </si>
  <si>
    <t>*8697020040240901*</t>
  </si>
  <si>
    <t>JOHNSON RODNEY</t>
  </si>
  <si>
    <t xml:space="preserve">106 OXFORD CT                           </t>
  </si>
  <si>
    <t>8697-02-004-0290-901</t>
  </si>
  <si>
    <t>*8697020040290901*</t>
  </si>
  <si>
    <t>ROMERO GERMAN</t>
  </si>
  <si>
    <t xml:space="preserve">130 OXFORD CT                           </t>
  </si>
  <si>
    <t>8698-01-003-0190-906</t>
  </si>
  <si>
    <t>*8698010030190906*</t>
  </si>
  <si>
    <t>MUNIZ ANSELMO GUERRERO &amp; VIRGINIA M</t>
  </si>
  <si>
    <t>16554 CREEK BEND CRIVE STE 250</t>
  </si>
  <si>
    <t>8700-01-002-0530-907</t>
  </si>
  <si>
    <t>*8700010020530907*</t>
  </si>
  <si>
    <t>VEGA MARIA V ESTATE</t>
  </si>
  <si>
    <t>PAULINA BANUELOS</t>
  </si>
  <si>
    <t>7102 LAS BRISAS DR</t>
  </si>
  <si>
    <t>8700-09-003-0410-907</t>
  </si>
  <si>
    <t>*8700090030410907*</t>
  </si>
  <si>
    <t>PARKER-FAVORITE CHERYL</t>
  </si>
  <si>
    <t>CHERYL L GREEN</t>
  </si>
  <si>
    <t>4510 NEALWOOD CT</t>
  </si>
  <si>
    <t>8700-11-002-0060-907</t>
  </si>
  <si>
    <t>*8700110020060907*</t>
  </si>
  <si>
    <t>MORRISON AMOS</t>
  </si>
  <si>
    <t xml:space="preserve">1823 TEAL RUN PLACE DR                  </t>
  </si>
  <si>
    <t>8700-16-001-0260-907</t>
  </si>
  <si>
    <t>*8700160010260907*</t>
  </si>
  <si>
    <t>MEJIA PABLO J MORAN &amp; LILIANA SANCH</t>
  </si>
  <si>
    <t>8700-16-006-0380-907</t>
  </si>
  <si>
    <t>*8700160060380907*</t>
  </si>
  <si>
    <t>SCURLOCK EARL &amp; KAREN L</t>
  </si>
  <si>
    <t>8700-17-002-0120-907</t>
  </si>
  <si>
    <t>*8700170020120907*</t>
  </si>
  <si>
    <t>JACKSON BITHIAH</t>
  </si>
  <si>
    <t>8707-01-001-0100-907</t>
  </si>
  <si>
    <t>*8707010010100907*</t>
  </si>
  <si>
    <t>MAHASANIYA SHAMROZ ETAL</t>
  </si>
  <si>
    <t>SHOUKAT MESHANIA</t>
  </si>
  <si>
    <t>6919 GOSSAMER LN</t>
  </si>
  <si>
    <t>8707-05-004-0410-907</t>
  </si>
  <si>
    <t>*8707050040410907*</t>
  </si>
  <si>
    <t>YACHAMANENI RAM M</t>
  </si>
  <si>
    <t>8707-06-003-0180-907</t>
  </si>
  <si>
    <t>*8707060030180907*</t>
  </si>
  <si>
    <t>VYAS ASHISH G &amp; MANISHA A</t>
  </si>
  <si>
    <t>ASHISH G VYAS</t>
  </si>
  <si>
    <t>6730 CONSTATINE CT</t>
  </si>
  <si>
    <t>8707-07-005-0080-907</t>
  </si>
  <si>
    <t>*8707070050080907*</t>
  </si>
  <si>
    <t>HEMANI MEHDI &amp; HABIBAH M</t>
  </si>
  <si>
    <t>MURAD HEMANI</t>
  </si>
  <si>
    <t>14018 RAGUS LAKE DR</t>
  </si>
  <si>
    <t>8707-09-007-0290-907</t>
  </si>
  <si>
    <t>*8707090070290907*</t>
  </si>
  <si>
    <t>LIU HAOYING &amp; PENG LI</t>
  </si>
  <si>
    <t>KATY ESCROW ACCT</t>
  </si>
  <si>
    <t>23054 WESTHEIMER PKWY</t>
  </si>
  <si>
    <t>8707-11-001-0061-907</t>
  </si>
  <si>
    <t>*8707110010061907*</t>
  </si>
  <si>
    <t>SON TROY</t>
  </si>
  <si>
    <t>KOOK H SON</t>
  </si>
  <si>
    <t>9301 BIISSONNET 160</t>
  </si>
  <si>
    <t>8707-16-003-0210-907</t>
  </si>
  <si>
    <t>*8707160030210907*</t>
  </si>
  <si>
    <t>NARAYANAN ARUN KUMAR &amp; ANUPAMA JAYA</t>
  </si>
  <si>
    <t xml:space="preserve">1515 SANDCROFT LN                       </t>
  </si>
  <si>
    <t>8707-17-002-0080-907</t>
  </si>
  <si>
    <t>*8707170020080907*</t>
  </si>
  <si>
    <t>ABRAHAM ANITHA T</t>
  </si>
  <si>
    <t>ANITHA ABRAHAM</t>
  </si>
  <si>
    <t>1202 COLERIRDGE STREET</t>
  </si>
  <si>
    <t>8707-17-004-0360-907</t>
  </si>
  <si>
    <t>*8707170040360907*</t>
  </si>
  <si>
    <t>BROWNEWELL MICHAEL FREDERICK &amp; VICT</t>
  </si>
  <si>
    <t>MICHAEL F BROWNEWELL</t>
  </si>
  <si>
    <t>8707-18-003-0070-907</t>
  </si>
  <si>
    <t>*8707180030070907*</t>
  </si>
  <si>
    <t>KYATHAM VAMSHI &amp; MAYURI V</t>
  </si>
  <si>
    <t>MAYURI V KYATHAM</t>
  </si>
  <si>
    <t>1210 AMHERST AVE</t>
  </si>
  <si>
    <t>8707-20-001-0171-907</t>
  </si>
  <si>
    <t>*8707200010171907*</t>
  </si>
  <si>
    <t>AHMED3 ALIYA S &amp; SAQIB</t>
  </si>
  <si>
    <t xml:space="preserve">603 PLUMBRIDGE LN                       </t>
  </si>
  <si>
    <t>8707-23-001-0380-907</t>
  </si>
  <si>
    <t>*8707230010380907*</t>
  </si>
  <si>
    <t>SANKARAN UMA &amp; KRIS</t>
  </si>
  <si>
    <t>KRIS SANKARAN</t>
  </si>
  <si>
    <t>238 CHATHAM AVE</t>
  </si>
  <si>
    <t>.SUGAR LAND</t>
  </si>
  <si>
    <t>8707-28-005-0360-907</t>
  </si>
  <si>
    <t>*8707280050360907*</t>
  </si>
  <si>
    <t>PATEL INDIRA</t>
  </si>
  <si>
    <t>SNEHAL PATEL</t>
  </si>
  <si>
    <t>KINNARY PATEL</t>
  </si>
  <si>
    <t>2311 SPARTAN TRL</t>
  </si>
  <si>
    <t>8707-31-001-0320-907</t>
  </si>
  <si>
    <t>*8707310010320907*</t>
  </si>
  <si>
    <t>ZAVERI PRATIK &amp; BIJALBEN PATEL</t>
  </si>
  <si>
    <t>1821-CH-6133</t>
  </si>
  <si>
    <t>13310 UNIVERSITY BLVD STE 110</t>
  </si>
  <si>
    <t>8707-51-003-0150-907</t>
  </si>
  <si>
    <t>*8707510030150907*</t>
  </si>
  <si>
    <t>HEYL TIMOTHY A &amp; MARIA CONSUELO</t>
  </si>
  <si>
    <t xml:space="preserve">6811 DELANDER WAY                       </t>
  </si>
  <si>
    <t>8795-00-004-0040-901</t>
  </si>
  <si>
    <t>*8795000040040901*</t>
  </si>
  <si>
    <t>MILLER TERRY L &amp; MARIA D</t>
  </si>
  <si>
    <t>JOHN W MILLER</t>
  </si>
  <si>
    <t>POA JEANETTE MILLER</t>
  </si>
  <si>
    <t>115 WEST ST</t>
  </si>
  <si>
    <t>8835-01-001-0310-901</t>
  </si>
  <si>
    <t>*8835010010310901*</t>
  </si>
  <si>
    <t>FOSTER JOSHUA L</t>
  </si>
  <si>
    <t>8835-01-005-0190-901</t>
  </si>
  <si>
    <t>*8835010050190901*</t>
  </si>
  <si>
    <t>ALBRIGHT JOSHUA M &amp; FRANCESCA E DOS</t>
  </si>
  <si>
    <t>8865-00-002-0011-901</t>
  </si>
  <si>
    <t>*8865000020011901*</t>
  </si>
  <si>
    <t>J S CARDWELL PROPERTIES LLC</t>
  </si>
  <si>
    <t xml:space="preserve">1111  2ND ST                            </t>
  </si>
  <si>
    <t>8865-00-006-0010-901</t>
  </si>
  <si>
    <t>*8865000060010901*</t>
  </si>
  <si>
    <t>MARIN JOE &amp; VIRGINIA</t>
  </si>
  <si>
    <t>VIRGINIA MARIN</t>
  </si>
  <si>
    <t>1119 6TH ST</t>
  </si>
  <si>
    <t>8865-00-009-0110-901</t>
  </si>
  <si>
    <t>*8865000090110901*</t>
  </si>
  <si>
    <t>CHU MINHTRI</t>
  </si>
  <si>
    <t>TITLEOLOGY INC DBA FIN TITLE</t>
  </si>
  <si>
    <t>FIN TITLE - TRUST ACCOUNT - TX</t>
  </si>
  <si>
    <t>14800 LANDMARK BLVD STE 850</t>
  </si>
  <si>
    <t>8865-00-017-0165-901</t>
  </si>
  <si>
    <t>*8865000170165901*</t>
  </si>
  <si>
    <t>CAMARILLO VICENTE &amp; JORGE ALBERTO P</t>
  </si>
  <si>
    <t>ROSA GONZALEZ</t>
  </si>
  <si>
    <t>2209 NORTH BELMONT DRIVE</t>
  </si>
  <si>
    <t>8865-00-019-0120-901</t>
  </si>
  <si>
    <t>*8865000190120901*</t>
  </si>
  <si>
    <t>GAAS PATRICK E &amp; CAROL A</t>
  </si>
  <si>
    <t xml:space="preserve">1603 SAVANNAH DR                        </t>
  </si>
  <si>
    <t>8870-01-000-0230-901</t>
  </si>
  <si>
    <t>*8870010000230901*</t>
  </si>
  <si>
    <t>SOUTH LAND TITLE LLC</t>
  </si>
  <si>
    <t>ATTN:  WENDY</t>
  </si>
  <si>
    <t>192 GULF FWY S STE C-2</t>
  </si>
  <si>
    <t>8870-01-000-0232-901</t>
  </si>
  <si>
    <t>*8870010000232901*</t>
  </si>
  <si>
    <t>8870-01-000-0242-901</t>
  </si>
  <si>
    <t>*8870010000242901*</t>
  </si>
  <si>
    <t>VILLEGAS MARIA MAGDALENA HERNANDEZ</t>
  </si>
  <si>
    <t xml:space="preserve">1118 AURELIA LN                         </t>
  </si>
  <si>
    <t>8870-01-000-0243-901</t>
  </si>
  <si>
    <t>*8870010000243901*</t>
  </si>
  <si>
    <t>MORALES MARTIN &amp; MARIA C. HERNANDEZ</t>
  </si>
  <si>
    <t>MARTIN MORLAES</t>
  </si>
  <si>
    <t>1118 AURELIA LN</t>
  </si>
  <si>
    <t>8870-01-000-0311-901</t>
  </si>
  <si>
    <t>*8870010000311901*</t>
  </si>
  <si>
    <t>MERCADO NEFTALI &amp; VANESSA</t>
  </si>
  <si>
    <t>NEFTALI MERCADO</t>
  </si>
  <si>
    <t>906AURELIA LN</t>
  </si>
  <si>
    <t>8891-04-004-0360-914</t>
  </si>
  <si>
    <t>*8891040040360914*</t>
  </si>
  <si>
    <t>DWIVEDI ASHUTOSH HARIKANT &amp; JYOTI A</t>
  </si>
  <si>
    <t>RADIAN TITLE AGENCY OF TEXAS LLC</t>
  </si>
  <si>
    <t>14241 DALLAS PKWY</t>
  </si>
  <si>
    <t>8899-01-003-0080-907</t>
  </si>
  <si>
    <t>*8899010030080907*</t>
  </si>
  <si>
    <t>ENSOR JOE E JR</t>
  </si>
  <si>
    <t>JOE E ENSOR JR</t>
  </si>
  <si>
    <t>58 ASBURY PARK</t>
  </si>
  <si>
    <t>8907-01-002-0130-907</t>
  </si>
  <si>
    <t>*8907010020130907*</t>
  </si>
  <si>
    <t>COOK PEARLENE</t>
  </si>
  <si>
    <t>8907-01-006-0310-907</t>
  </si>
  <si>
    <t>*8907010060310907*</t>
  </si>
  <si>
    <t>BROOKS WANDA C</t>
  </si>
  <si>
    <t xml:space="preserve">3322 BRECKINRIDGE LN                    </t>
  </si>
  <si>
    <t>8912-00-002-0050-901</t>
  </si>
  <si>
    <t>*8912000020050901*</t>
  </si>
  <si>
    <t>CARROLL EDGAR E JR &amp; LINDA</t>
  </si>
  <si>
    <t xml:space="preserve">1516 WALENTA AVE                        </t>
  </si>
  <si>
    <t>8914-09-001-0230-901</t>
  </si>
  <si>
    <t>*8914090010230901*</t>
  </si>
  <si>
    <t>ROODA ROBERT EELKMAN</t>
  </si>
  <si>
    <t>ROBERT ROODA</t>
  </si>
  <si>
    <t>6911 LANTERN HILL LANE</t>
  </si>
  <si>
    <t>8914-12-001-0010-901</t>
  </si>
  <si>
    <t>*8914120010010901*</t>
  </si>
  <si>
    <t>LENNAR CORPORATION</t>
  </si>
  <si>
    <t>681 GREENS PKWY STE 220</t>
  </si>
  <si>
    <t>8914-13-001-0011-901</t>
  </si>
  <si>
    <t>*8914130010011901*</t>
  </si>
  <si>
    <t>TRAN YEN P</t>
  </si>
  <si>
    <t>8914-14-002-0010-901</t>
  </si>
  <si>
    <t>*8914140020010901*</t>
  </si>
  <si>
    <t>KENNISON MARIA D &amp; DONNIE R</t>
  </si>
  <si>
    <t>8914-20-003-0130-901</t>
  </si>
  <si>
    <t>*8914200030130901*</t>
  </si>
  <si>
    <t>BOOSINGER STACEY LYNN</t>
  </si>
  <si>
    <t>8914-25-001-0210-901</t>
  </si>
  <si>
    <t>*8914250010210901*</t>
  </si>
  <si>
    <t>VALLANI ANTIL &amp; SANEEA LAKHANI</t>
  </si>
  <si>
    <t>2363 SOUTH FOOTHILL DR</t>
  </si>
  <si>
    <t>8926-00-001-0030-907</t>
  </si>
  <si>
    <t>*8926000010030907*</t>
  </si>
  <si>
    <t>ALVARADO FRANCISCO</t>
  </si>
  <si>
    <t>FRAMALVA CORP DBA TEXAS SITE SOLUTIONS</t>
  </si>
  <si>
    <t>6515 ANDERSON RD</t>
  </si>
  <si>
    <t>8941-00-004-0170-901</t>
  </si>
  <si>
    <t>*8941000040170901*</t>
  </si>
  <si>
    <t>MCDANIEL JOUNTE</t>
  </si>
  <si>
    <t>8944-03-005-0160-907</t>
  </si>
  <si>
    <t>*8944030050160907*</t>
  </si>
  <si>
    <t>WILLIAMS ERIC ANDRE</t>
  </si>
  <si>
    <t>8944-04-001-0140-907</t>
  </si>
  <si>
    <t>*8944040010140907*</t>
  </si>
  <si>
    <t>BULLARD CINDY</t>
  </si>
  <si>
    <t>CINDY L BULLARD</t>
  </si>
  <si>
    <t>3322 VILLAGE POND LN</t>
  </si>
  <si>
    <t>8945-02-011-0120-901</t>
  </si>
  <si>
    <t>*8945020110120901*</t>
  </si>
  <si>
    <t>RUIZ LUIS FERNANDO FLORES &amp; ANABEL</t>
  </si>
  <si>
    <t>SERVICE LINK OF TEXAS LLC</t>
  </si>
  <si>
    <t>ESCROW TRUST ACCOUNT</t>
  </si>
  <si>
    <t>1320 GREENWAY DRIVE SUITE 300</t>
  </si>
  <si>
    <t>8947-02-001-0241-907</t>
  </si>
  <si>
    <t>*8947020010241907*</t>
  </si>
  <si>
    <t>WONG BEN</t>
  </si>
  <si>
    <t>8947-03-001-0280-907</t>
  </si>
  <si>
    <t>*8947030010280907*</t>
  </si>
  <si>
    <t>SERRANILLA RAFAEL &amp; EDISA</t>
  </si>
  <si>
    <t>8955-01-002-0090-907</t>
  </si>
  <si>
    <t>*8955010020090907*</t>
  </si>
  <si>
    <t>MANNE RAMA K &amp; SHARADA</t>
  </si>
  <si>
    <t>RAMAKRISHNA MANNE</t>
  </si>
  <si>
    <t>4502 ROTH DR</t>
  </si>
  <si>
    <t>8955-02-001-0120-907</t>
  </si>
  <si>
    <t>*8955020010120907*</t>
  </si>
  <si>
    <t>NIRMAL UMA CHINMAYEE &amp; RAVIKUMAR S</t>
  </si>
  <si>
    <t>MARINA HOTELS CI</t>
  </si>
  <si>
    <t>4903 SHAPIRO CT</t>
  </si>
  <si>
    <t>8960-01-001-0210-907</t>
  </si>
  <si>
    <t>*8960010010210907*</t>
  </si>
  <si>
    <t>LARSON KYLE LEE &amp; JENNIFER MARIE</t>
  </si>
  <si>
    <t>OLD REPUBLIC NATIONAL TITLE INSURANCE</t>
  </si>
  <si>
    <t>9100-00-004-0010-907</t>
  </si>
  <si>
    <t>*9100000040010907*</t>
  </si>
  <si>
    <t>JONES HOLLAND DWAYNE &amp; LESLIE R</t>
  </si>
  <si>
    <t>FBC MORTGAGE LLC</t>
  </si>
  <si>
    <t>189 S ORANGE AVE STE 970</t>
  </si>
  <si>
    <t>ORLANDO</t>
  </si>
  <si>
    <t>9150-01-002-0150-907</t>
  </si>
  <si>
    <t>*9150010020150907*</t>
  </si>
  <si>
    <t>BARS JESSICA &amp; INNOCENT OMORUYI</t>
  </si>
  <si>
    <t>9163-03-002-0150-907</t>
  </si>
  <si>
    <t>*9163030020150907*</t>
  </si>
  <si>
    <t>NELSON DORAL L &amp; SANDRA K</t>
  </si>
  <si>
    <t xml:space="preserve">1422 MUSTANG LAKE CT                    </t>
  </si>
  <si>
    <t>9163-10-002-0140-907</t>
  </si>
  <si>
    <t>*9163100020140907*</t>
  </si>
  <si>
    <t>TRYELS MELVIN</t>
  </si>
  <si>
    <t>MELVIN TRYELS</t>
  </si>
  <si>
    <t>1818 LAKE ARROWHEAD DRIVE</t>
  </si>
  <si>
    <t>9170-02-003-0410-907</t>
  </si>
  <si>
    <t>*9170020030410907*</t>
  </si>
  <si>
    <t>DELGADO CHRISTINA &amp; KRISTOPHER</t>
  </si>
  <si>
    <t>9175-01-004-0030-907</t>
  </si>
  <si>
    <t>*9175010040030907*</t>
  </si>
  <si>
    <t>WILLEBY KENDRA RENEE</t>
  </si>
  <si>
    <t>9175-05-003-0050-907</t>
  </si>
  <si>
    <t>*9175050030050907*</t>
  </si>
  <si>
    <t>RUBIO FLORIBERTO &amp; AURORA</t>
  </si>
  <si>
    <t>FLORIBERTO RUBIO</t>
  </si>
  <si>
    <t>19919 CAPE CLOVER TR</t>
  </si>
  <si>
    <t>9200-00-002-4300-907</t>
  </si>
  <si>
    <t>*9200000024300907*</t>
  </si>
  <si>
    <t>MARTINEZ FELIX &amp; SANDRA E</t>
  </si>
  <si>
    <t xml:space="preserve">6410 W BEND ST                          </t>
  </si>
  <si>
    <t>9260-01-002-0670-907</t>
  </si>
  <si>
    <t>*9260010020670907*</t>
  </si>
  <si>
    <t>WASHINGTON WILLIE L &amp; PAUL</t>
  </si>
  <si>
    <t>3217 SOUTH DECKER LAKE DR</t>
  </si>
  <si>
    <t>9260-02-004-0270-907</t>
  </si>
  <si>
    <t>*9260020040270907*</t>
  </si>
  <si>
    <t>ALBERT SAMUEL T &amp; DIANNE H</t>
  </si>
  <si>
    <t>SAMUEL T ALBERT</t>
  </si>
  <si>
    <t>7014 ANGEL OAKS CT</t>
  </si>
  <si>
    <t>9260-03-001-0540-907</t>
  </si>
  <si>
    <t>*9260030010540907*</t>
  </si>
  <si>
    <t>FADAHUNSI OLAPOSI</t>
  </si>
  <si>
    <t>OLAPOSI O FADAHUNSI</t>
  </si>
  <si>
    <t>13607 SHORT BROOK LN</t>
  </si>
  <si>
    <t>9260-03-001-0600-907</t>
  </si>
  <si>
    <t>*9260030010600907*</t>
  </si>
  <si>
    <t>JACKSON ROBERT D &amp; RENITA A</t>
  </si>
  <si>
    <t>ROBERT D JACKSON</t>
  </si>
  <si>
    <t>25739 OAKWOOD KNOLL DR</t>
  </si>
  <si>
    <t>9305-04-001-0260-914</t>
  </si>
  <si>
    <t>*9305040010260914*</t>
  </si>
  <si>
    <t>SHANTIE BRADLEY &amp; STEPHANIE L</t>
  </si>
  <si>
    <t>BRADLEY SHANTIE</t>
  </si>
  <si>
    <t>18134 CAMPBELLFORD DR</t>
  </si>
  <si>
    <t>9400-01-000-0050-907</t>
  </si>
  <si>
    <t>*9400010000050907*</t>
  </si>
  <si>
    <t>FISHEL JERRY</t>
  </si>
  <si>
    <t>JERRY FISHEL</t>
  </si>
  <si>
    <t>13439 PARKWAY</t>
  </si>
  <si>
    <t>9410-02-003-0700-901</t>
  </si>
  <si>
    <t>*9410020030700901*</t>
  </si>
  <si>
    <t>BANGCO DANILO G &amp; MILAFLOR R</t>
  </si>
  <si>
    <t>MILAFLOR BANGCO</t>
  </si>
  <si>
    <t>3 LUNA ST CORINTHIAN GARDENS</t>
  </si>
  <si>
    <t>QUEZON CITY</t>
  </si>
  <si>
    <t>9410-06-006-0230-901</t>
  </si>
  <si>
    <t>*9410060060230901*</t>
  </si>
  <si>
    <t>SANTOLLANI OSCAR &amp; LIA CECILIA</t>
  </si>
  <si>
    <t xml:space="preserve">5006 WESTERDALE DR                      </t>
  </si>
  <si>
    <t>9410-12-003-0010-901</t>
  </si>
  <si>
    <t>*9410120030010901*</t>
  </si>
  <si>
    <t>TURNER NEIL &amp; ROSEMARY V</t>
  </si>
  <si>
    <t xml:space="preserve">32706 WHITBURN TRL                      </t>
  </si>
  <si>
    <t>9480-00-000-0160-906</t>
  </si>
  <si>
    <t>*9480000000160906*</t>
  </si>
  <si>
    <t>NAVARRO MICHAEL RYAN</t>
  </si>
  <si>
    <t>NEEL TITLE CORPORATION</t>
  </si>
  <si>
    <t>1202 WELBY CT</t>
  </si>
  <si>
    <t>9480-00-000-0202-906</t>
  </si>
  <si>
    <t>*9480000000202906*</t>
  </si>
  <si>
    <t>FREEZE B E</t>
  </si>
  <si>
    <t>MIGUEL G SALAZAR</t>
  </si>
  <si>
    <t>3019 BULL RUN ST</t>
  </si>
  <si>
    <t>9550-01-005-7017-907</t>
  </si>
  <si>
    <t>*9550010057017907*</t>
  </si>
  <si>
    <t>SESSION ANNIE B</t>
  </si>
  <si>
    <t>ANNIE B SESSION</t>
  </si>
  <si>
    <t>2734 PRICHARD</t>
  </si>
  <si>
    <t>9550-01-010-6843-907</t>
  </si>
  <si>
    <t>*9550010106843907*</t>
  </si>
  <si>
    <t>GEORGE BEENA B</t>
  </si>
  <si>
    <t xml:space="preserve">11926 MCKINNEY FALLS LN                 </t>
  </si>
  <si>
    <t>9550-02-004-0310-907</t>
  </si>
  <si>
    <t>*9550020040310907*</t>
  </si>
  <si>
    <t>BLACKMON ARTHUR R &amp; CAROLYN KELLUM</t>
  </si>
  <si>
    <t>MONEK L KELLUM</t>
  </si>
  <si>
    <t>7030 ROBERSON RD</t>
  </si>
  <si>
    <t>9550-02-005-0200-907</t>
  </si>
  <si>
    <t>*9550020050200907*</t>
  </si>
  <si>
    <t>QUEEN RIDGE HOLDINGS LLC</t>
  </si>
  <si>
    <t xml:space="preserve">7070 W 43RD ST STE 204                  </t>
  </si>
  <si>
    <t>9551-02-002-0080-914</t>
  </si>
  <si>
    <t>*9551020020080914*</t>
  </si>
  <si>
    <t>PATEL NIMESH NARENDRA</t>
  </si>
  <si>
    <t>9551-02-003-0020-914</t>
  </si>
  <si>
    <t>*9551020030020914*</t>
  </si>
  <si>
    <t>LEE DONG HYUN &amp; SAEAM</t>
  </si>
  <si>
    <t>FINANCE OF AMERICA MORTGAGE LLC</t>
  </si>
  <si>
    <t>1 WEST ELM ST</t>
  </si>
  <si>
    <t>CONSHOHOCKEN</t>
  </si>
  <si>
    <t>9551-02-003-0070-914</t>
  </si>
  <si>
    <t>*9551020030070914*</t>
  </si>
  <si>
    <t>PULWARTY HAYDN &amp; ZAKIYA SMART</t>
  </si>
  <si>
    <t>HAYDN PULWARTY</t>
  </si>
  <si>
    <t>1211 RYANN ROSE CREEK LANE</t>
  </si>
  <si>
    <t>9556-01-001-0400-907</t>
  </si>
  <si>
    <t>*9556010010400907*</t>
  </si>
  <si>
    <t>BUI THIEN NHAT</t>
  </si>
  <si>
    <t>THIEN BUI</t>
  </si>
  <si>
    <t>17010 MIDNIGHT SUN LN</t>
  </si>
  <si>
    <t>9556-01-002-0150-907</t>
  </si>
  <si>
    <t>*9556010020150907*</t>
  </si>
  <si>
    <t>PROVOST EDWARD J</t>
  </si>
  <si>
    <t>9560-00-002-0020-907</t>
  </si>
  <si>
    <t>*9560000020020907*</t>
  </si>
  <si>
    <t>PACHECO WILFREDO RIVERA &amp; JOAN MARI</t>
  </si>
  <si>
    <t>9621-01-001-0170-901</t>
  </si>
  <si>
    <t>*9621010010170901*</t>
  </si>
  <si>
    <t>ARBELAEZ HOLDINGS LLC</t>
  </si>
  <si>
    <t>DOMA INSURANCE AGENCY OF TEXAS INC</t>
  </si>
  <si>
    <t>WOODWAY ESCROW ACCOUNT SS</t>
  </si>
  <si>
    <t>ATTORNEY OFFICE</t>
  </si>
  <si>
    <t>9650-06-002-0030-907</t>
  </si>
  <si>
    <t>*9650060020030907*</t>
  </si>
  <si>
    <t>KHAN NASREEN</t>
  </si>
  <si>
    <t>MUHAMMAD KHAN</t>
  </si>
  <si>
    <t>11214 HUNDRED BRIDGE LN</t>
  </si>
  <si>
    <t>9660-04-002-0060-914</t>
  </si>
  <si>
    <t>*9660040020060914*</t>
  </si>
  <si>
    <t>TREBING CODY R &amp; RENATA HELANI</t>
  </si>
  <si>
    <t>9700-01-001-1201-907</t>
  </si>
  <si>
    <t>*9700010011201907*</t>
  </si>
  <si>
    <t>SAWYER HEIGHTS TRADING LLC</t>
  </si>
  <si>
    <t>OLD REPUBLIC NATIONAL TITLE INSURANCE CO</t>
  </si>
  <si>
    <t>9700-02-005-0300-910</t>
  </si>
  <si>
    <t>*9700020050300910*</t>
  </si>
  <si>
    <t>PENA LUPE &amp; YOLANDA</t>
  </si>
  <si>
    <t>YOLANDA F PENA</t>
  </si>
  <si>
    <t>3606 LA COSTA RD</t>
  </si>
  <si>
    <t>9701-01-003-0150-907</t>
  </si>
  <si>
    <t>*9701010030150907*</t>
  </si>
  <si>
    <t>ME CON LLC</t>
  </si>
  <si>
    <t xml:space="preserve">PO BOX 18442                            </t>
  </si>
  <si>
    <t>9715-01-001-0170-914</t>
  </si>
  <si>
    <t>*9715010010170914*</t>
  </si>
  <si>
    <t>HENDERSON BART &amp; MICHELLE</t>
  </si>
  <si>
    <t xml:space="preserve">26 WYNDEHAVEN LAKES DR                  </t>
  </si>
  <si>
    <t>9800-02-001-0600-901</t>
  </si>
  <si>
    <t>*9800020010600901*</t>
  </si>
  <si>
    <t>CALATLANTIC HOMES OF TEXAS INC</t>
  </si>
  <si>
    <t>9800-04-003-0061-901</t>
  </si>
  <si>
    <t>*9800040030061901*</t>
  </si>
  <si>
    <t>MASCARDO RICARDO BAUTISTA JR</t>
  </si>
  <si>
    <t>9800-07-002-0020-914</t>
  </si>
  <si>
    <t>*9800070020020914*</t>
  </si>
  <si>
    <t>MOGAPARTI NARAYANA R &amp; ANUSHA PATIB</t>
  </si>
  <si>
    <t>10235 W LITTLE YORK STE 111</t>
  </si>
  <si>
    <t>9800-10-001-0020-914</t>
  </si>
  <si>
    <t>*9800100010020914*</t>
  </si>
  <si>
    <t>ADEBAYO BEATRICE A</t>
  </si>
  <si>
    <t>BEAZER HOMES TEXAS LP HOUSTON</t>
  </si>
  <si>
    <t>10235 WEST LITTLE YORK STE 200</t>
  </si>
  <si>
    <t>9800-11-002-0010-914</t>
  </si>
  <si>
    <t>*9800110020010914*</t>
  </si>
  <si>
    <t>YARO INUWA</t>
  </si>
  <si>
    <t>9800-12-001-0270-901</t>
  </si>
  <si>
    <t>*9800120010270901*</t>
  </si>
  <si>
    <t>LANDAL ADRIAN J RAMIREZ &amp; MARIA J S</t>
  </si>
  <si>
    <t>9960-01-097-0012-907</t>
  </si>
  <si>
    <t>*9960010970012907*</t>
  </si>
  <si>
    <t>GFI GROUP INC/BGC PARTNERS INC</t>
  </si>
  <si>
    <t>BGC USA LP</t>
  </si>
  <si>
    <t>110 EAST 59TH STREET</t>
  </si>
  <si>
    <t>NEW YORK</t>
  </si>
  <si>
    <t>9960-01-209-0100-907</t>
  </si>
  <si>
    <t>*9960012090100907*</t>
  </si>
  <si>
    <t>S&amp;J CARMONA AMLP ENTERPRISES LLC</t>
  </si>
  <si>
    <t xml:space="preserve">125 E MAIN ST                           </t>
  </si>
  <si>
    <t xml:space="preserve">CUERO                   </t>
  </si>
  <si>
    <t>9960-01-210-0130-907</t>
  </si>
  <si>
    <t>*9960012100130907*</t>
  </si>
  <si>
    <t>ALMOR ENTERPRISES LLC</t>
  </si>
  <si>
    <t>PATRICIA M ALLEN</t>
  </si>
  <si>
    <t>9347 ROYAL WAY</t>
  </si>
  <si>
    <t>9960-01-212-0056-907</t>
  </si>
  <si>
    <t>*9960012120056907*</t>
  </si>
  <si>
    <t>AFFORDABLE CARE LLC</t>
  </si>
  <si>
    <t>GIAO H LE DDS PA</t>
  </si>
  <si>
    <t>629 DAVIS DRIVE SUITE 300</t>
  </si>
  <si>
    <t>MORRISVILLE</t>
  </si>
  <si>
    <t>9960-01-212-0170-914</t>
  </si>
  <si>
    <t>*9960012120170914*</t>
  </si>
  <si>
    <t>LOGIX FIBER NETWORKS</t>
  </si>
  <si>
    <t>LOGIX COMMUNICATIONS LP</t>
  </si>
  <si>
    <t>ATTN: CORPORATE HEADQUARTERS</t>
  </si>
  <si>
    <t>2950 NORTH LOOP W FL 10</t>
  </si>
  <si>
    <t>9960-01-213-0037-914</t>
  </si>
  <si>
    <t>*9960012130037914*</t>
  </si>
  <si>
    <t>THE ARTISAN CENTER FOR PLASTIC SURG</t>
  </si>
  <si>
    <t>TRICIA RODGERS</t>
  </si>
  <si>
    <t>24022 CINCO VILLAGE CENTER BLV</t>
  </si>
  <si>
    <t>9960-01-216-0039-907</t>
  </si>
  <si>
    <t>*9960012160039907*</t>
  </si>
  <si>
    <t>BROWN &amp; NOYES LLC</t>
  </si>
  <si>
    <t>MICHAEL NOYES</t>
  </si>
  <si>
    <t>3151 BRIARPARK DRIVE</t>
  </si>
  <si>
    <t>9960-01-216-0110-910</t>
  </si>
  <si>
    <t>*9960012160110910*</t>
  </si>
  <si>
    <t>A SERENE HEALTHCARE SERVICES</t>
  </si>
  <si>
    <t xml:space="preserve">4434 BLUEBONNET DR                      </t>
  </si>
  <si>
    <t xml:space="preserve">STE 159                                 </t>
  </si>
  <si>
    <t>9960-01-217-0127-914</t>
  </si>
  <si>
    <t>*9960012170127914*</t>
  </si>
  <si>
    <t>ALIBABBA CUISINE GORP</t>
  </si>
  <si>
    <t>ALIBABBA CUISINE CORP</t>
  </si>
  <si>
    <t>9006 S FRY RD STE C</t>
  </si>
  <si>
    <t>YERALDINE DIAZ DE CARVAJAL</t>
  </si>
  <si>
    <t>9006 S FRY RDSUITE C</t>
  </si>
  <si>
    <t>9960-01-218-0146-907</t>
  </si>
  <si>
    <t>*9960012180146907*</t>
  </si>
  <si>
    <t>ALEX AND ANI LLC</t>
  </si>
  <si>
    <t xml:space="preserve">10 BRIGGS DR                            </t>
  </si>
  <si>
    <t xml:space="preserve">EAST GREENWICH          </t>
  </si>
  <si>
    <t>RI</t>
  </si>
  <si>
    <t>9960-01-219-0037-910</t>
  </si>
  <si>
    <t>*9960012190037910*</t>
  </si>
  <si>
    <t>ALL-AMERICAN TILE &amp; REMODELING</t>
  </si>
  <si>
    <t>ALL-AMERICAN TILE &amp; REMODELING LLC</t>
  </si>
  <si>
    <t>4111 GREENBRIAR DR STE E</t>
  </si>
  <si>
    <t>9960-01-219-0077-907</t>
  </si>
  <si>
    <t>*9960012190077907*</t>
  </si>
  <si>
    <t>AN &amp; SS CARE GROUP LLC</t>
  </si>
  <si>
    <t>IVANA HOME HEALTH SERVICES</t>
  </si>
  <si>
    <t>12808 W AIRPORT BLVD STE 343</t>
  </si>
  <si>
    <t>9960-01-219-0150-914</t>
  </si>
  <si>
    <t>*9960012190150914*</t>
  </si>
  <si>
    <t>IKK LLC</t>
  </si>
  <si>
    <t xml:space="preserve">5205 S MASON RD STE 205                 </t>
  </si>
  <si>
    <t>9960-01-220-0151-907</t>
  </si>
  <si>
    <t>*9960012200151907*</t>
  </si>
  <si>
    <t>ADMIX COMPOUNDING PHARMACY PLLC</t>
  </si>
  <si>
    <t>LINDA GRAMA</t>
  </si>
  <si>
    <t>1403 HIGHWAY 6SUITE 300B</t>
  </si>
  <si>
    <t>9960-02-200-0035-914</t>
  </si>
  <si>
    <t>*9960022000035914*</t>
  </si>
  <si>
    <t>BURLINGTON COAT FACTORY OF TEXAS IN</t>
  </si>
  <si>
    <t>RYAN TAX COMPLIANCE SERVICES</t>
  </si>
  <si>
    <t>PAYING FOR INVITATION HOMES</t>
  </si>
  <si>
    <t>16220 NORTH SCOTTSDALE ROAD STE 450</t>
  </si>
  <si>
    <t>SCOTSSDALE</t>
  </si>
  <si>
    <t>9960-02-206-0003-907</t>
  </si>
  <si>
    <t>*9960022060003907*</t>
  </si>
  <si>
    <t>CWP ASSET CORP</t>
  </si>
  <si>
    <t>RYAN TAX COMPLIANCE SERVICES LLC</t>
  </si>
  <si>
    <t>PAYING FOR PROG LEASING LLC</t>
  </si>
  <si>
    <t>9960-02-206-0015-901</t>
  </si>
  <si>
    <t>*9960022060015901*</t>
  </si>
  <si>
    <t>BERNAL CONSULTANTS INC</t>
  </si>
  <si>
    <t xml:space="preserve">19855 SOUTHWEST FWY                     </t>
  </si>
  <si>
    <t>9960-02-207-0034-901</t>
  </si>
  <si>
    <t>*9960022070034901*</t>
  </si>
  <si>
    <t>BYCO</t>
  </si>
  <si>
    <t xml:space="preserve">C/O JEREMY BYRUM                        </t>
  </si>
  <si>
    <t xml:space="preserve">504 AVENUE H                            </t>
  </si>
  <si>
    <t>9960-02-209-0016-907</t>
  </si>
  <si>
    <t>*9960022090016907*</t>
  </si>
  <si>
    <t>NORTHERN FOOD DISTRIBUTORS INC</t>
  </si>
  <si>
    <t>NORTHERN FOOD DISTRIBUTORS</t>
  </si>
  <si>
    <t>810 SUCCESS COURT STE 100</t>
  </si>
  <si>
    <t>9960-02-214-0010-907</t>
  </si>
  <si>
    <t>*9960022140010907*</t>
  </si>
  <si>
    <t>BANK OF AMERICA NA</t>
  </si>
  <si>
    <t xml:space="preserve">C/O PERSONAL PROPERTY TAX NCI-001-0     </t>
  </si>
  <si>
    <t xml:space="preserve">101 NORTH TRYON ST                      </t>
  </si>
  <si>
    <t xml:space="preserve">CHARLOTTE               </t>
  </si>
  <si>
    <t>9960-02-216-0033-907</t>
  </si>
  <si>
    <t>*9960022160033907*</t>
  </si>
  <si>
    <t>BARBIN BARBARA J</t>
  </si>
  <si>
    <t>BETTER PEST MANAGEMENT</t>
  </si>
  <si>
    <t>630 FM 1092 STE 107</t>
  </si>
  <si>
    <t>9960-02-217-0086-914</t>
  </si>
  <si>
    <t>*9960022170086914*</t>
  </si>
  <si>
    <t>BOARDROOM KATY LLC</t>
  </si>
  <si>
    <t xml:space="preserve">1540 KELLER PKWY                        </t>
  </si>
  <si>
    <t xml:space="preserve">108 BOX 176                             </t>
  </si>
  <si>
    <t xml:space="preserve">KELLER                  </t>
  </si>
  <si>
    <t>9960-02-219-0164-914</t>
  </si>
  <si>
    <t>*9960022190164914*</t>
  </si>
  <si>
    <t>BISSELL RENTAL LLC</t>
  </si>
  <si>
    <t xml:space="preserve">2345 WALKER AVE NW                      </t>
  </si>
  <si>
    <t xml:space="preserve">GRAND RAPIDS            </t>
  </si>
  <si>
    <t>9960-02-219-0172-914</t>
  </si>
  <si>
    <t>*9960022190172914*</t>
  </si>
  <si>
    <t>BRUNET WOLF &amp; CO LLC</t>
  </si>
  <si>
    <t>COMPLETE ACCOUNTING LP</t>
  </si>
  <si>
    <t>4601 AVENUE H SUITE 10</t>
  </si>
  <si>
    <t>9960-03-211-0031-901</t>
  </si>
  <si>
    <t>*9960032110031901*</t>
  </si>
  <si>
    <t>COMPETITIVE TIRE LLC</t>
  </si>
  <si>
    <t xml:space="preserve">51 HIGHWAY 90A E                        </t>
  </si>
  <si>
    <t>9960-03-212-0187-907</t>
  </si>
  <si>
    <t>*9960032120187907*</t>
  </si>
  <si>
    <t>COMPUTERLAND CORP</t>
  </si>
  <si>
    <t>SYNNEX CORP</t>
  </si>
  <si>
    <t>44201 NOBEL DRIVE</t>
  </si>
  <si>
    <t>FREMONT</t>
  </si>
  <si>
    <t>9960-03-213-0068-914</t>
  </si>
  <si>
    <t>*9960032130068914*</t>
  </si>
  <si>
    <t>CAMERON FOSTER PROPERTIES INC</t>
  </si>
  <si>
    <t xml:space="preserve">1203 STERLING CT                        </t>
  </si>
  <si>
    <t>9960-03-214-0089-907</t>
  </si>
  <si>
    <t>*9960032140089907*</t>
  </si>
  <si>
    <t>VIETNOM LLP</t>
  </si>
  <si>
    <t>LEAH NGUYEN</t>
  </si>
  <si>
    <t>17514 SAUKI LN</t>
  </si>
  <si>
    <t>9960-03-216-0056-907</t>
  </si>
  <si>
    <t>*9960032160056907*</t>
  </si>
  <si>
    <t>CIMC ENRIC SJZ GAS EQUIPMENT INC</t>
  </si>
  <si>
    <t>XIN FENG</t>
  </si>
  <si>
    <t>4701 FM 2920 SUITE C-2, SPRING</t>
  </si>
  <si>
    <t>9960-03-216-0107-901</t>
  </si>
  <si>
    <t>*9960032160107901*</t>
  </si>
  <si>
    <t>COMING TO GET YOU BAIL BONDS</t>
  </si>
  <si>
    <t>ANDRE ROBINSON</t>
  </si>
  <si>
    <t>601 AUSTIN ST</t>
  </si>
  <si>
    <t>9960-03-217-0068-914</t>
  </si>
  <si>
    <t>*9960032170068914*</t>
  </si>
  <si>
    <t>CHURRO CAFE LLC</t>
  </si>
  <si>
    <t xml:space="preserve">5306 HUMBOLDT PARK LN                   </t>
  </si>
  <si>
    <t>9960-03-217-0152-901</t>
  </si>
  <si>
    <t>*9960032170152901*</t>
  </si>
  <si>
    <t>THULE INC</t>
  </si>
  <si>
    <t xml:space="preserve">2420 TRADE CENTRE AVE                   </t>
  </si>
  <si>
    <t xml:space="preserve">STE A                                   </t>
  </si>
  <si>
    <t xml:space="preserve">LONGMONT                </t>
  </si>
  <si>
    <t>9960-03-218-0123-906</t>
  </si>
  <si>
    <t>*9960032180123906*</t>
  </si>
  <si>
    <t>C &amp; S MASONRY CONTRACTORS INC</t>
  </si>
  <si>
    <t>C &amp; S MASONRY CONTRACTORS, INC</t>
  </si>
  <si>
    <t>PO BOX 220</t>
  </si>
  <si>
    <t>9960-03-219-0077-907</t>
  </si>
  <si>
    <t>*9960032190077907*</t>
  </si>
  <si>
    <t>COACH XU SPORTS PERFORMANCE</t>
  </si>
  <si>
    <t>COACHXU SPORTS INSTITUTE LLC.</t>
  </si>
  <si>
    <t>6 FOXWORTH CT</t>
  </si>
  <si>
    <t>9960-03-219-0116-901</t>
  </si>
  <si>
    <t>*9960032190116901*</t>
  </si>
  <si>
    <t>CATCHERS UNIVERSITY BASEBALL</t>
  </si>
  <si>
    <t>CATCHERS UNIVERSITY LLC</t>
  </si>
  <si>
    <t>5018 E 5TH ST</t>
  </si>
  <si>
    <t>9960-03-219-0181-907</t>
  </si>
  <si>
    <t>*9960032190181907*</t>
  </si>
  <si>
    <t>COMPETITION CONSTRUCTION LLC</t>
  </si>
  <si>
    <t>10615 CLO0DINE RD STE 16</t>
  </si>
  <si>
    <t>9960-04-086-0615-907</t>
  </si>
  <si>
    <t>*9960040860615907*</t>
  </si>
  <si>
    <t>KINDERCARE EDUCATION LLC #000485</t>
  </si>
  <si>
    <t>KINDERCARE LEARNING CENTERS IN</t>
  </si>
  <si>
    <t>P O BOX 6330</t>
  </si>
  <si>
    <t>PORTLAND</t>
  </si>
  <si>
    <t>9960-04-096-0017-907</t>
  </si>
  <si>
    <t>*9960040960017907*</t>
  </si>
  <si>
    <t>DANIEL &amp; ASSOCIATES</t>
  </si>
  <si>
    <t xml:space="preserve">15614 S POST OAK RD                     </t>
  </si>
  <si>
    <t>9960-04-212-0047-907</t>
  </si>
  <si>
    <t>*9960042120047907*</t>
  </si>
  <si>
    <t>DIAMOND SLEEPLAB INC</t>
  </si>
  <si>
    <t xml:space="preserve">4501 CARTWRIGHT RD # 401                </t>
  </si>
  <si>
    <t>9960-04-216-0032-907</t>
  </si>
  <si>
    <t>*9960042160032907*</t>
  </si>
  <si>
    <t>NEW ORLEANS D&amp;W DAIQUIRIS TO GO LLC</t>
  </si>
  <si>
    <t xml:space="preserve">10202 BOB WHITE DR                      </t>
  </si>
  <si>
    <t>9960-04-216-0052-907</t>
  </si>
  <si>
    <t>*9960042160052907*</t>
  </si>
  <si>
    <t>TEELE MARGARET</t>
  </si>
  <si>
    <t>DESTINATION DREAMLAND PC</t>
  </si>
  <si>
    <t>9638 ROARKS PSGE</t>
  </si>
  <si>
    <t>9960-04-217-0036-907</t>
  </si>
  <si>
    <t>*9960042170036907*</t>
  </si>
  <si>
    <t>DIMASSI FIRST COLONY INC</t>
  </si>
  <si>
    <t>DBA DIMASSIS MEDITERRANEAN KITCHEN</t>
  </si>
  <si>
    <t>16535 SOUTHWEST FWY STE 2610</t>
  </si>
  <si>
    <t>9960-04-217-0041-907</t>
  </si>
  <si>
    <t>*9960042170041907*</t>
  </si>
  <si>
    <t>DAVIDSON ERIC</t>
  </si>
  <si>
    <t>ERIC E DAVIDSON</t>
  </si>
  <si>
    <t>DBA DAVIDSON SECURITY SERVICE</t>
  </si>
  <si>
    <t>PO BOX 450004</t>
  </si>
  <si>
    <t>9960-04-218-0001-907</t>
  </si>
  <si>
    <t>*9960042180001907*</t>
  </si>
  <si>
    <t>HUYNH TRI C</t>
  </si>
  <si>
    <t>TRI C HUYNH</t>
  </si>
  <si>
    <t>DANNYS CRAWFISH &amp; SEAFOODS</t>
  </si>
  <si>
    <t>7046 W FUQUA ST</t>
  </si>
  <si>
    <t>9960-04-218-0066-901</t>
  </si>
  <si>
    <t>*9960042180066901*</t>
  </si>
  <si>
    <t>DR HORTON -TEXAS LTD</t>
  </si>
  <si>
    <t>DRH INC CONTROLLED DISB</t>
  </si>
  <si>
    <t>1341 HORTON CIR</t>
  </si>
  <si>
    <t>ARLINGTON</t>
  </si>
  <si>
    <t>9960-04-218-0088-901</t>
  </si>
  <si>
    <t>*9960042180088901*</t>
  </si>
  <si>
    <t>DAVIS VISION</t>
  </si>
  <si>
    <t xml:space="preserve">175 E HOUSTON ST                        </t>
  </si>
  <si>
    <t xml:space="preserve">SAN ANTONIO             </t>
  </si>
  <si>
    <t>9960-05-208-0043-901</t>
  </si>
  <si>
    <t>*9960052080043901*</t>
  </si>
  <si>
    <t>EXCESS MATERIALS MANAGEMENT LLC</t>
  </si>
  <si>
    <t xml:space="preserve">C/O ANDRES SENSKA                       </t>
  </si>
  <si>
    <t xml:space="preserve">3212 BAND RD                            </t>
  </si>
  <si>
    <t>9960-05-209-0037-907</t>
  </si>
  <si>
    <t>*9960052090037907*</t>
  </si>
  <si>
    <t>EXTREME DESIGN KUTZ &amp; STYLE</t>
  </si>
  <si>
    <t xml:space="preserve">ATTN: LAJUAN MITCHELL                   </t>
  </si>
  <si>
    <t xml:space="preserve">15930 S POST OAK RD STE D               </t>
  </si>
  <si>
    <t>9960-05-215-0039-914</t>
  </si>
  <si>
    <t>*9960052150039914*</t>
  </si>
  <si>
    <t>EUROSKIN LLC</t>
  </si>
  <si>
    <t xml:space="preserve">5000 KATY MILLS CIR. # 140              </t>
  </si>
  <si>
    <t>9960-05-217-0073-907</t>
  </si>
  <si>
    <t>*9960052170073907*</t>
  </si>
  <si>
    <t>EMPIRE DISPATCHING SERVICES</t>
  </si>
  <si>
    <t>CHRISTINA STEWART</t>
  </si>
  <si>
    <t>13014 MANOR LAKE LN</t>
  </si>
  <si>
    <t>9960-05-217-0079-907</t>
  </si>
  <si>
    <t>*9960052170079907*</t>
  </si>
  <si>
    <t>ECO-SITE INC</t>
  </si>
  <si>
    <t>PAYING FOR VERTICAL BRIDGE</t>
  </si>
  <si>
    <t>16220 N SCOTTSDALE RD STE 450</t>
  </si>
  <si>
    <t>9960-05-218-0066-901</t>
  </si>
  <si>
    <t>*9960052180066901*</t>
  </si>
  <si>
    <t>ELOX INC</t>
  </si>
  <si>
    <t>E LOX INC</t>
  </si>
  <si>
    <t>133 FM 359 RD</t>
  </si>
  <si>
    <t>9960-05-219-0088-914</t>
  </si>
  <si>
    <t>*9960052190088914*</t>
  </si>
  <si>
    <t>EVGO SERVICES LLC</t>
  </si>
  <si>
    <t xml:space="preserve">11835 W OLYMPIC BLVD STE 900E           </t>
  </si>
  <si>
    <t xml:space="preserve">LOS ANGELES             </t>
  </si>
  <si>
    <t>9960-05-220-0069-914</t>
  </si>
  <si>
    <t>*9960052200069914*</t>
  </si>
  <si>
    <t>GG &amp; J SERVICES LLC</t>
  </si>
  <si>
    <t>GERARDO GOMEZ</t>
  </si>
  <si>
    <t>4123 ADDISON RANCH LN</t>
  </si>
  <si>
    <t>9960-06-096-0019-907</t>
  </si>
  <si>
    <t>*9960060960019907*</t>
  </si>
  <si>
    <t>FIFTH AVE HAIR DESIGNS</t>
  </si>
  <si>
    <t>H S IMAGES</t>
  </si>
  <si>
    <t>15622 S POST OAK RD STE 2</t>
  </si>
  <si>
    <t>9960-06-097-0025-907</t>
  </si>
  <si>
    <t>*9960060970025907*</t>
  </si>
  <si>
    <t>FIRST AMERICAN TITLE CO-SUGAR LAND</t>
  </si>
  <si>
    <t>9000 E PIMA CENTER PKWY</t>
  </si>
  <si>
    <t>9960-06-205-0046-901</t>
  </si>
  <si>
    <t>*9960062050046901*</t>
  </si>
  <si>
    <t>KRACKER DANA S</t>
  </si>
  <si>
    <t>FOREVER DANCE LLC</t>
  </si>
  <si>
    <t>4610 FM 723 RD STE 1</t>
  </si>
  <si>
    <t>9960-06-207-0066-914</t>
  </si>
  <si>
    <t>*9960062070066914*</t>
  </si>
  <si>
    <t>FAST MASTER PRODUCTS INC</t>
  </si>
  <si>
    <t xml:space="preserve">C/O DALVA ALEXANDER                     </t>
  </si>
  <si>
    <t xml:space="preserve">PO BOX 654                              </t>
  </si>
  <si>
    <t>9960-06-208-0009-906</t>
  </si>
  <si>
    <t>*9960062080009906*</t>
  </si>
  <si>
    <t>LOPEZ ROBERTO MENESES</t>
  </si>
  <si>
    <t>FIRST MAIN AUTO SERVICE</t>
  </si>
  <si>
    <t>9120 MAIN ST</t>
  </si>
  <si>
    <t>9960-06-214-0013-907</t>
  </si>
  <si>
    <t>*9960062140013907*</t>
  </si>
  <si>
    <t>FEI ENTERPRISES INC</t>
  </si>
  <si>
    <t xml:space="preserve">14015 SOUTHWEST FWY STE 12              </t>
  </si>
  <si>
    <t>9960-06-215-0055-901</t>
  </si>
  <si>
    <t>*9960062150055901*</t>
  </si>
  <si>
    <t>FULSHEAR FAMILY MEDICINE</t>
  </si>
  <si>
    <t xml:space="preserve">C/O HEIDI SCHULTZ                       </t>
  </si>
  <si>
    <t xml:space="preserve">7629 TIKI DR                            </t>
  </si>
  <si>
    <t>9960-06-216-0022-901</t>
  </si>
  <si>
    <t>*9960062160022901*</t>
  </si>
  <si>
    <t>FULSHEAR ELITE LLC</t>
  </si>
  <si>
    <t>29255 FM 1093 RD</t>
  </si>
  <si>
    <t>9960-06-217-0062-907</t>
  </si>
  <si>
    <t>*9960062170062907*</t>
  </si>
  <si>
    <t>FAMILY MEDICINE OF MISSOURI CITY P.</t>
  </si>
  <si>
    <t>9960-06-219-0100-907</t>
  </si>
  <si>
    <t>*9960062190100907*</t>
  </si>
  <si>
    <t>PEKAR THOMAS J</t>
  </si>
  <si>
    <t>SUCCESS AVIATION, INC</t>
  </si>
  <si>
    <t>503 MCKEEVER RDHANGAR A10 STE</t>
  </si>
  <si>
    <t>9960-07-094-0004-901</t>
  </si>
  <si>
    <t>*9960070940004901*</t>
  </si>
  <si>
    <t>GALVAN'S SAUSAGE HOUSE</t>
  </si>
  <si>
    <t>9960-07-097-0020-910</t>
  </si>
  <si>
    <t>*9960070970020910*</t>
  </si>
  <si>
    <t>WHITTINGTON CHERRY LYNN</t>
  </si>
  <si>
    <t xml:space="preserve">C/O CHERRY WHITTINGTON                  </t>
  </si>
  <si>
    <t xml:space="preserve">2829 N MAIN ST                          </t>
  </si>
  <si>
    <t>9960-07-209-0001-901</t>
  </si>
  <si>
    <t>*9960072090001901*</t>
  </si>
  <si>
    <t>BINH NGO &amp; DUNG TRAN</t>
  </si>
  <si>
    <t>DUNG KHAC TRAN</t>
  </si>
  <si>
    <t>BINH THI NGO</t>
  </si>
  <si>
    <t>16934 HAMPTON GLEN CT</t>
  </si>
  <si>
    <t>9960-07-211-0027-901</t>
  </si>
  <si>
    <t>*9960072110027901*</t>
  </si>
  <si>
    <t>ESCOBEDO RITA B</t>
  </si>
  <si>
    <t xml:space="preserve">4506 SAINT MICHAELS CT                  </t>
  </si>
  <si>
    <t>9960-07-212-0029-901</t>
  </si>
  <si>
    <t>*9960072120029901*</t>
  </si>
  <si>
    <t>KENNETH REGNER DC PA</t>
  </si>
  <si>
    <t xml:space="preserve">7830 W GRAND PKWY S STE 180             </t>
  </si>
  <si>
    <t>9960-07-214-0067-907</t>
  </si>
  <si>
    <t>*9960072140067907*</t>
  </si>
  <si>
    <t>GENSCAPE INC</t>
  </si>
  <si>
    <t>545 WASHINGTON BLVD</t>
  </si>
  <si>
    <t>JERSEY CITY</t>
  </si>
  <si>
    <t>9960-07-217-0014-907</t>
  </si>
  <si>
    <t>*9960072170014907*</t>
  </si>
  <si>
    <t>KARIM AIMADEDDINE</t>
  </si>
  <si>
    <t>GOODLY BODY FIT SCACKS LLC</t>
  </si>
  <si>
    <t>14110 SHAMROCK PARK LN</t>
  </si>
  <si>
    <t>9960-07-219-0005-907</t>
  </si>
  <si>
    <t>*9960072190005907*</t>
  </si>
  <si>
    <t>GOLDIE LOCK'S HAIR BOUTIQUE</t>
  </si>
  <si>
    <t>SHALONDA PHILLIPS</t>
  </si>
  <si>
    <t>4414 PARK BREEZE DR</t>
  </si>
  <si>
    <t>9960-07-221-0054-907</t>
  </si>
  <si>
    <t>*9960072210054907*</t>
  </si>
  <si>
    <t>GRACE MASSAGE</t>
  </si>
  <si>
    <t xml:space="preserve">2232 FM 1092 RD                         </t>
  </si>
  <si>
    <t>9960-08-202-0056-907</t>
  </si>
  <si>
    <t>*9960082020056907*</t>
  </si>
  <si>
    <t>HEALIX INFUSION THERAPY INC</t>
  </si>
  <si>
    <t xml:space="preserve">C/O FRANK CHAVELEH                      </t>
  </si>
  <si>
    <t xml:space="preserve">14140 SOUTHWEST FWY                     </t>
  </si>
  <si>
    <t>9960-08-216-0078-907</t>
  </si>
  <si>
    <t>*9960082160078907*</t>
  </si>
  <si>
    <t>HRB TECHNOLOGY LLC</t>
  </si>
  <si>
    <t>PROPERTY TAX</t>
  </si>
  <si>
    <t>ONE H AND R BLOCK WAY</t>
  </si>
  <si>
    <t>KANSAS CITY</t>
  </si>
  <si>
    <t>9960-08-217-0017-907</t>
  </si>
  <si>
    <t>*9960082170017907*</t>
  </si>
  <si>
    <t>GOASTICO KAROLINE</t>
  </si>
  <si>
    <t>EDISON D NETO</t>
  </si>
  <si>
    <t>7002 SUGAR OAKS CT</t>
  </si>
  <si>
    <t>9960-08-219-0032-907</t>
  </si>
  <si>
    <t>*9960082190032907*</t>
  </si>
  <si>
    <t>THE ADINA GROUP INC</t>
  </si>
  <si>
    <t>HOUSTON WATER HEATERS</t>
  </si>
  <si>
    <t>13404 GREENWAY</t>
  </si>
  <si>
    <t>9960-09-219-0032-910</t>
  </si>
  <si>
    <t>*9960092190032910*</t>
  </si>
  <si>
    <t>IMPACT RECEIVABLES MANAGEMENT LLC</t>
  </si>
  <si>
    <t>VICTOR TOACHE</t>
  </si>
  <si>
    <t>11104 W. AIRPORT BLVD SUITE 19</t>
  </si>
  <si>
    <t>9960-09-220-0023-907</t>
  </si>
  <si>
    <t>*9960092200023907*</t>
  </si>
  <si>
    <t>IORA PRIMARY CARE</t>
  </si>
  <si>
    <t>IORA HEALTH INC</t>
  </si>
  <si>
    <t>101 TREMONT ST6TH FLOOR</t>
  </si>
  <si>
    <t>BOSTON</t>
  </si>
  <si>
    <t>MA</t>
  </si>
  <si>
    <t>9960-10-212-0015-914</t>
  </si>
  <si>
    <t>*9960102120015914*</t>
  </si>
  <si>
    <t>GYMBOREE RETAIL STORES LLC</t>
  </si>
  <si>
    <t xml:space="preserve">71 STEVENSON ST STE 2200                </t>
  </si>
  <si>
    <t>9960-10-216-0025-907</t>
  </si>
  <si>
    <t>*9960102160025907*</t>
  </si>
  <si>
    <t>JEI LEARNING CENTER</t>
  </si>
  <si>
    <t>ASHMI C KESARIA</t>
  </si>
  <si>
    <t>6702 LATHROP CT</t>
  </si>
  <si>
    <t>9960-10-217-0033-901</t>
  </si>
  <si>
    <t>*9960102170033901*</t>
  </si>
  <si>
    <t>NGUYEN LOAN T</t>
  </si>
  <si>
    <t xml:space="preserve">2115 THOMPSON RD STE 5                  </t>
  </si>
  <si>
    <t>9960-10-218-0047-906</t>
  </si>
  <si>
    <t>*9960102180047906*</t>
  </si>
  <si>
    <t>CFC ENTERPRISES LLC</t>
  </si>
  <si>
    <t xml:space="preserve">P O BOX 329                             </t>
  </si>
  <si>
    <t>9960-10-219-0024-910</t>
  </si>
  <si>
    <t>*9960102190024910*</t>
  </si>
  <si>
    <t>JMC HEALTH CARE SERVICES</t>
  </si>
  <si>
    <t>JMC HEALTHCARE SERVICES PC</t>
  </si>
  <si>
    <t>2227 S MAIN ST STE A</t>
  </si>
  <si>
    <t>9960-11-209-0022-901</t>
  </si>
  <si>
    <t>*9960112090022901*</t>
  </si>
  <si>
    <t>KOHLS ILLINOIS INC</t>
  </si>
  <si>
    <t xml:space="preserve">C/O TAX DEPT                            </t>
  </si>
  <si>
    <t xml:space="preserve">N56W17000 RIDGEWOOD DR                  </t>
  </si>
  <si>
    <t xml:space="preserve">MENOMONEE FALLS         </t>
  </si>
  <si>
    <t>WI</t>
  </si>
  <si>
    <t>9960-11-215-0002-907</t>
  </si>
  <si>
    <t>*9960112150002907*</t>
  </si>
  <si>
    <t>VOSS FAMILY CLINIC PLLC</t>
  </si>
  <si>
    <t>MISBAH AHMED</t>
  </si>
  <si>
    <t>24603 PELHAMWOODS WAY</t>
  </si>
  <si>
    <t>9960-11-215-0022-910</t>
  </si>
  <si>
    <t>*9960112150022910*</t>
  </si>
  <si>
    <t>KEYSTONE CONTRACTING GROUP</t>
  </si>
  <si>
    <t>WYNN T JOHNSON</t>
  </si>
  <si>
    <t>3727 GREENBRIAR DR., SUITE 400</t>
  </si>
  <si>
    <t>9960-11-217-0030-901</t>
  </si>
  <si>
    <t>*9960112170030901*</t>
  </si>
  <si>
    <t>THE KELLY CLINIC PLLC</t>
  </si>
  <si>
    <t xml:space="preserve">5503 FM 359 RD STE C                    </t>
  </si>
  <si>
    <t>9960-11-217-0061-901</t>
  </si>
  <si>
    <t>*9960112170061901*</t>
  </si>
  <si>
    <t>ALLAN BAKER INC</t>
  </si>
  <si>
    <t>DBA KORRECT OPTICAL</t>
  </si>
  <si>
    <t>3801 BISHOP LN</t>
  </si>
  <si>
    <t>LOUISVILLE</t>
  </si>
  <si>
    <t>KY</t>
  </si>
  <si>
    <t>9960-12-202-0015-907</t>
  </si>
  <si>
    <t>*9960122020015907*</t>
  </si>
  <si>
    <t>LN BEAUTY EXPRESS</t>
  </si>
  <si>
    <t>SNF MAC CORPORATION #1</t>
  </si>
  <si>
    <t>4565 HWY 6 SOUTH</t>
  </si>
  <si>
    <t>9960-12-206-0051-901</t>
  </si>
  <si>
    <t>*9960122060051901*</t>
  </si>
  <si>
    <t>LAW OFFICES OF DAVID W SHOWALTER LL</t>
  </si>
  <si>
    <t xml:space="preserve">1117 FM 359 RD                          </t>
  </si>
  <si>
    <t>9960-12-214-0025-907</t>
  </si>
  <si>
    <t>*9960122140025907*</t>
  </si>
  <si>
    <t>LANDMAPP VALUATION &amp; ASSET SERVICES</t>
  </si>
  <si>
    <t>LANDMAPP VALUATION &amp; ASSET SERVICES INC</t>
  </si>
  <si>
    <t>4855 RIVERSTONE BLVD STE 100</t>
  </si>
  <si>
    <t>9960-12-214-0040-907</t>
  </si>
  <si>
    <t>*9960122140040907*</t>
  </si>
  <si>
    <t>LONG LAKE LTD</t>
  </si>
  <si>
    <t xml:space="preserve">15915 KATY FREEWAY                      </t>
  </si>
  <si>
    <t xml:space="preserve">STE 405                                 </t>
  </si>
  <si>
    <t>9960-12-215-0018-907</t>
  </si>
  <si>
    <t>*9960122150018907*</t>
  </si>
  <si>
    <t>LA ROCA</t>
  </si>
  <si>
    <t xml:space="preserve">15838 S POST OAK RD                     </t>
  </si>
  <si>
    <t>9960-12-216-0080-907</t>
  </si>
  <si>
    <t>*9960122160080907*</t>
  </si>
  <si>
    <t>LARA'S LPA LLC</t>
  </si>
  <si>
    <t>JERRY FLOWERS</t>
  </si>
  <si>
    <t>4524 HWY 6</t>
  </si>
  <si>
    <t>9960-12-219-0030-910</t>
  </si>
  <si>
    <t>*9960122190030910*</t>
  </si>
  <si>
    <t>LOOKOUT SERVICES</t>
  </si>
  <si>
    <t>LOOKOUT SERVICES, INC</t>
  </si>
  <si>
    <t>PO BOX 1692</t>
  </si>
  <si>
    <t>9960-12-219-0055-907</t>
  </si>
  <si>
    <t>*9960122190055907*</t>
  </si>
  <si>
    <t>NATALIE SEIJO</t>
  </si>
  <si>
    <t>4855 RIVERSTONE BLVDSTE 100</t>
  </si>
  <si>
    <t>9960-12-219-0060-901</t>
  </si>
  <si>
    <t>*9960122190060901*</t>
  </si>
  <si>
    <t>ALTISIMO HOLDINGS LLC</t>
  </si>
  <si>
    <t xml:space="preserve">10606 S WILCREST DR                     </t>
  </si>
  <si>
    <t>9960-12-219-0109-906</t>
  </si>
  <si>
    <t>*9960122190109906*</t>
  </si>
  <si>
    <t>LOOSE HIDE RANCH LLC</t>
  </si>
  <si>
    <t>9960-12-219-0120-907</t>
  </si>
  <si>
    <t>*9960122190120907*</t>
  </si>
  <si>
    <t>LIPSEY COMMUNICATIONS LLC</t>
  </si>
  <si>
    <t>DBA CONNECTIVITY SOURCE</t>
  </si>
  <si>
    <t>7026 OLD KATY RD STE 201</t>
  </si>
  <si>
    <t>9960-12-220-0035-907</t>
  </si>
  <si>
    <t>*9960122200035907*</t>
  </si>
  <si>
    <t>LEVEL'D UP INK</t>
  </si>
  <si>
    <t xml:space="preserve">2651 CARTWRIGHT RD STE E                </t>
  </si>
  <si>
    <t>9960-13-097-0003-907</t>
  </si>
  <si>
    <t>*9960130970003907*</t>
  </si>
  <si>
    <t>9960-13-207-0023-910</t>
  </si>
  <si>
    <t>*9960132070023910*</t>
  </si>
  <si>
    <t>MATHEWS SAMUEL &amp; ASSOCIATES PC</t>
  </si>
  <si>
    <t xml:space="preserve">11104 W AIRPORT BLVD STE 114            </t>
  </si>
  <si>
    <t>9960-13-207-0031-907</t>
  </si>
  <si>
    <t>*9960132070031907*</t>
  </si>
  <si>
    <t>MWDC TEXAS INC</t>
  </si>
  <si>
    <t>EDIT TX LLC</t>
  </si>
  <si>
    <t>DBA TIDE DRY CLEANERS</t>
  </si>
  <si>
    <t>5807 63RD ST STE 100</t>
  </si>
  <si>
    <t>LUBBOCK</t>
  </si>
  <si>
    <t>9960-13-207-0040-910</t>
  </si>
  <si>
    <t>*9960132070040910*</t>
  </si>
  <si>
    <t>MEDCARE PEDIATRIC GROUP LP</t>
  </si>
  <si>
    <t xml:space="preserve">C/O PAIGE KINKADE                       </t>
  </si>
  <si>
    <t xml:space="preserve">12371 S KIRKWOOD RD                     </t>
  </si>
  <si>
    <t>9960-13-208-0008-914</t>
  </si>
  <si>
    <t>*9960132080008914*</t>
  </si>
  <si>
    <t>SMW INTEREST LLC</t>
  </si>
  <si>
    <t>SMW INTERESTS LLC DBA</t>
  </si>
  <si>
    <t>MAZZEI'S GOURMET PIZZA</t>
  </si>
  <si>
    <t>6868 S MASON RD</t>
  </si>
  <si>
    <t>9960-13-209-0041-910</t>
  </si>
  <si>
    <t>*9960132090041910*</t>
  </si>
  <si>
    <t>9960-13-212-0012-907</t>
  </si>
  <si>
    <t>*9960132120012907*</t>
  </si>
  <si>
    <t>9960-13-212-0048-907</t>
  </si>
  <si>
    <t>*9960132120048907*</t>
  </si>
  <si>
    <t>AGUIRRE DAVID</t>
  </si>
  <si>
    <t>DAVID AGUIRRE</t>
  </si>
  <si>
    <t>2719 VILLA DEL ST</t>
  </si>
  <si>
    <t>9960-13-214-0019-914</t>
  </si>
  <si>
    <t>*9960132140019914*</t>
  </si>
  <si>
    <t>MOFFATT &amp; NICHOL</t>
  </si>
  <si>
    <t>4225 E CONANT ST</t>
  </si>
  <si>
    <t>LONG BEACH</t>
  </si>
  <si>
    <t>9960-13-217-0008-907</t>
  </si>
  <si>
    <t>*9960132170008907*</t>
  </si>
  <si>
    <t>MEGLOBAL AMERICAS INC</t>
  </si>
  <si>
    <t xml:space="preserve">C/O COMPTROLLER                         </t>
  </si>
  <si>
    <t xml:space="preserve">2150 TOWN SQUARE PL STE 750             </t>
  </si>
  <si>
    <t>9960-13-217-0059-907</t>
  </si>
  <si>
    <t>*9960132170059907*</t>
  </si>
  <si>
    <t>9960-13-217-0098-914</t>
  </si>
  <si>
    <t>*9960132170098914*</t>
  </si>
  <si>
    <t>MYLUX MEDSPA LLC</t>
  </si>
  <si>
    <t>JOSE M RAMIREZ</t>
  </si>
  <si>
    <t>16230 WESTPARK DR</t>
  </si>
  <si>
    <t>9960-13-220-0033-901</t>
  </si>
  <si>
    <t>*9960132200033901*</t>
  </si>
  <si>
    <t>MADDOX CUSTOM POOLS INC</t>
  </si>
  <si>
    <t>SHELLY MADDOX</t>
  </si>
  <si>
    <t>2105 SPACEK RD</t>
  </si>
  <si>
    <t>9960-13-220-0034-901</t>
  </si>
  <si>
    <t>*9960132200034901*</t>
  </si>
  <si>
    <t>MADDOX LANDSCAPING &amp; LAWN CO.</t>
  </si>
  <si>
    <t>9960-13-220-0142-901</t>
  </si>
  <si>
    <t>*9960132200142901*</t>
  </si>
  <si>
    <t>ABU KHATRI INC</t>
  </si>
  <si>
    <t>MA MART</t>
  </si>
  <si>
    <t>16722 W GRAND PKWY S</t>
  </si>
  <si>
    <t>9960-13-220-0213-910</t>
  </si>
  <si>
    <t>*9960132200213910*</t>
  </si>
  <si>
    <t>MCI COMMUNICATIONS SERVICES INC</t>
  </si>
  <si>
    <t>DUFF &amp; PHELPS LLC</t>
  </si>
  <si>
    <t>PO BOX 2629</t>
  </si>
  <si>
    <t>9960-14-206-0037-910</t>
  </si>
  <si>
    <t>*9960142060037910*</t>
  </si>
  <si>
    <t xml:space="preserve">14019 SOUTHWEST FWY                     </t>
  </si>
  <si>
    <t xml:space="preserve">STE 301 PMB 442                         </t>
  </si>
  <si>
    <t>9960-14-208-0026-907</t>
  </si>
  <si>
    <t>*9960142080026907*</t>
  </si>
  <si>
    <t>NATIONS AUTO CARE BODY &amp; PAINT</t>
  </si>
  <si>
    <t>MASON AUTO CARE PAINT &amp; BODY DBA</t>
  </si>
  <si>
    <t>NATION AUTO PAINT &amp; BODY</t>
  </si>
  <si>
    <t>111 PRESENT ST</t>
  </si>
  <si>
    <t>9960-14-209-0022-907</t>
  </si>
  <si>
    <t>*9960142090022907*</t>
  </si>
  <si>
    <t>NPI TECHNOLOGIES</t>
  </si>
  <si>
    <t xml:space="preserve">C/O TYLER PHAM                          </t>
  </si>
  <si>
    <t xml:space="preserve">12144 DAIRY ASHFORD                     </t>
  </si>
  <si>
    <t xml:space="preserve">STE 400                                 </t>
  </si>
  <si>
    <t>9960-14-217-0001-907</t>
  </si>
  <si>
    <t>*9960142170001907*</t>
  </si>
  <si>
    <t>NAILS UNLIMITED</t>
  </si>
  <si>
    <t>UNLIMITED NAILS LLC</t>
  </si>
  <si>
    <t>16615 WILSONS CREEK LN</t>
  </si>
  <si>
    <t>9960-14-218-0041-914</t>
  </si>
  <si>
    <t>*9960142180041914*</t>
  </si>
  <si>
    <t>DUY MAI INVESTMENT</t>
  </si>
  <si>
    <t>NAILS &amp; CO</t>
  </si>
  <si>
    <t>2731 FM 1463 RD STE 400</t>
  </si>
  <si>
    <t>9960-14-219-0034-914</t>
  </si>
  <si>
    <t>*9960142190034914*</t>
  </si>
  <si>
    <t>NEW IMAGE SALON &amp; SPA</t>
  </si>
  <si>
    <t xml:space="preserve">4118 WINDSOCK LN                        </t>
  </si>
  <si>
    <t xml:space="preserve">BROOKSHIRE              </t>
  </si>
  <si>
    <t>9960-14-220-0015-907</t>
  </si>
  <si>
    <t>*9960142200015907*</t>
  </si>
  <si>
    <t>N G BARBERSHOP SALON</t>
  </si>
  <si>
    <t>DBA GONZALEZ NG BARBERSHOP AND SALON</t>
  </si>
  <si>
    <t>NANCI L GONZALEZ SOLE PROP</t>
  </si>
  <si>
    <t>9960-14-220-0044-907</t>
  </si>
  <si>
    <t>*9960142200044907*</t>
  </si>
  <si>
    <t>ARIF LAWJI ATTORNEY AT LAW PC</t>
  </si>
  <si>
    <t>9960-15-089-0019-907</t>
  </si>
  <si>
    <t>*9960150890019907*</t>
  </si>
  <si>
    <t>NESOSSI INC</t>
  </si>
  <si>
    <t>GEOFFREY N NESOSSIS</t>
  </si>
  <si>
    <t>13719 GREENWAY DR</t>
  </si>
  <si>
    <t>9960-15-213-0007-907</t>
  </si>
  <si>
    <t>*9960152130007907*</t>
  </si>
  <si>
    <t>OSD SURGERY CENTER</t>
  </si>
  <si>
    <t xml:space="preserve">2121 WILLIAMS TRACE BLVD STE 200        </t>
  </si>
  <si>
    <t>9960-15-217-0014-907</t>
  </si>
  <si>
    <t>*9960152170014907*</t>
  </si>
  <si>
    <t>ONTIME BI INC</t>
  </si>
  <si>
    <t>ONTIIME BI INC</t>
  </si>
  <si>
    <t>77 SUGAR CREEK CENTER BLVD STE</t>
  </si>
  <si>
    <t>9960-15-219-0047-907</t>
  </si>
  <si>
    <t>*9960152190047907*</t>
  </si>
  <si>
    <t>CONTEXT MEDIA LLC</t>
  </si>
  <si>
    <t>DEIRDRE MCMULLEN</t>
  </si>
  <si>
    <t>8530 HALLS RETREAT CT</t>
  </si>
  <si>
    <t>9960-16-212-0051-907</t>
  </si>
  <si>
    <t>*9960162120051907*</t>
  </si>
  <si>
    <t>PIONEER MUTUAL FEDERAL CREDIT UNION</t>
  </si>
  <si>
    <t xml:space="preserve">1521 LAKE POINTE PKWY                   </t>
  </si>
  <si>
    <t>9960-16-212-0113-914</t>
  </si>
  <si>
    <t>*9960162120113914*</t>
  </si>
  <si>
    <t>RESTOP INVESTMENTS LLC</t>
  </si>
  <si>
    <t>23501 CINCO RANCH BLVD S14023</t>
  </si>
  <si>
    <t>9960-16-216-0010-910</t>
  </si>
  <si>
    <t>*9960162160010910*</t>
  </si>
  <si>
    <t>ALMAS BUSINESS INC</t>
  </si>
  <si>
    <t xml:space="preserve">10701 CORPORATE DR STE 248              </t>
  </si>
  <si>
    <t>9960-16-219-0034-910</t>
  </si>
  <si>
    <t>*9960162190034910*</t>
  </si>
  <si>
    <t>PSYCHESYNC LLC</t>
  </si>
  <si>
    <t>MELODY ALLEN</t>
  </si>
  <si>
    <t>4800 SUGAR GROVE BLVD STE 620E</t>
  </si>
  <si>
    <t>9960-16-219-0073-907</t>
  </si>
  <si>
    <t>*9960162190073907*</t>
  </si>
  <si>
    <t>PINE CONE THERAPIES</t>
  </si>
  <si>
    <t>PINE CONE THERAPIES LLC</t>
  </si>
  <si>
    <t>2104 GREENBRIAR DR STE A</t>
  </si>
  <si>
    <t>9960-16-219-0115-907</t>
  </si>
  <si>
    <t>*9960162190115907*</t>
  </si>
  <si>
    <t>LAM NGUYEN CORPORATION</t>
  </si>
  <si>
    <t xml:space="preserve">13610 W AIRPORT BLVD STE A              </t>
  </si>
  <si>
    <t>9960-16-220-0010-907</t>
  </si>
  <si>
    <t>*9960162200010907*</t>
  </si>
  <si>
    <t>PREMIER NAIL BAR</t>
  </si>
  <si>
    <t xml:space="preserve">C/O HONG LE                             </t>
  </si>
  <si>
    <t xml:space="preserve">202 N WASHINGTON AVE STE 300            </t>
  </si>
  <si>
    <t xml:space="preserve">LIVINGSTON              </t>
  </si>
  <si>
    <t>9960-16-220-0016-907</t>
  </si>
  <si>
    <t>*9960162200016907*</t>
  </si>
  <si>
    <t>PETSUITES OF AMERICA LLC</t>
  </si>
  <si>
    <t>NVA</t>
  </si>
  <si>
    <t>29229 CANWOOD STREET SUITE 100</t>
  </si>
  <si>
    <t>9960-18-210-0032-907</t>
  </si>
  <si>
    <t>*9960182100032907*</t>
  </si>
  <si>
    <t>REGIONAL SPECIALTY CLINIC P.A.</t>
  </si>
  <si>
    <t>RUBINA WAHID</t>
  </si>
  <si>
    <t>1441 HWY 6STE 100</t>
  </si>
  <si>
    <t>9960-18-213-0069-907</t>
  </si>
  <si>
    <t>*9960182130069907*</t>
  </si>
  <si>
    <t>RM ACQUISITION LLC</t>
  </si>
  <si>
    <t>RAND MCNALLY</t>
  </si>
  <si>
    <t>8770 W BRYN MAWR AVE</t>
  </si>
  <si>
    <t>9960-18-214-0048-901</t>
  </si>
  <si>
    <t>*9960182140048901*</t>
  </si>
  <si>
    <t>SUCCESS PHARMACY DEVELOPMENT INC</t>
  </si>
  <si>
    <t xml:space="preserve">C/O HONG NGUYEN                         </t>
  </si>
  <si>
    <t xml:space="preserve">4114 AVENUE H                           </t>
  </si>
  <si>
    <t>9960-18-216-0068-901</t>
  </si>
  <si>
    <t>*9960182160068901*</t>
  </si>
  <si>
    <t>R &amp; SL CONSTRUCTION LLC</t>
  </si>
  <si>
    <t xml:space="preserve">PO BOX 1507                             </t>
  </si>
  <si>
    <t>9960-18-217-0035-907</t>
  </si>
  <si>
    <t>*9960182170035907*</t>
  </si>
  <si>
    <t>ADR VENTURES LLC</t>
  </si>
  <si>
    <t>ANKUR TRIVEDI</t>
  </si>
  <si>
    <t>5311 LOCKWOOD BEND LN</t>
  </si>
  <si>
    <t>9960-18-218-0041-914</t>
  </si>
  <si>
    <t>*9960182180041914*</t>
  </si>
  <si>
    <t>RASOI</t>
  </si>
  <si>
    <t>JYOTHI TIPPARAJU</t>
  </si>
  <si>
    <t>3002 OVERBROOK MEADOW LN</t>
  </si>
  <si>
    <t>9960-18-219-0060-901</t>
  </si>
  <si>
    <t>*9960182190060901*</t>
  </si>
  <si>
    <t>LAWRENCE ROBERT PLLC</t>
  </si>
  <si>
    <t>ROBERT W LAWRENCE</t>
  </si>
  <si>
    <t>5610 WEST RIVERPARK DRIVEC</t>
  </si>
  <si>
    <t>9960-18-219-0088-907</t>
  </si>
  <si>
    <t>*9960182190088907*</t>
  </si>
  <si>
    <t>NGUYEN KAYLEN</t>
  </si>
  <si>
    <t>DR KAYLYN C NGUYEN AND ASSOC</t>
  </si>
  <si>
    <t>13603 DOVETAIL GLEN CT</t>
  </si>
  <si>
    <t>9960-18-219-0091-914</t>
  </si>
  <si>
    <t>*9960182190091914*</t>
  </si>
  <si>
    <t>AGILITAS USA INC</t>
  </si>
  <si>
    <t xml:space="preserve">C/O DONNA PATTON                        </t>
  </si>
  <si>
    <t xml:space="preserve">800 CRESCENT CENTRE DR STE 300          </t>
  </si>
  <si>
    <t xml:space="preserve">FRANKLIN                </t>
  </si>
  <si>
    <t>9960-18-221-0044-901</t>
  </si>
  <si>
    <t>*9960182210044901*</t>
  </si>
  <si>
    <t>ALNIMER INC</t>
  </si>
  <si>
    <t>DBA ROSENBERG SMOKE SHOP #2</t>
  </si>
  <si>
    <t>25503 LOCKSPUR DR</t>
  </si>
  <si>
    <t>9960-19-087-0036-907</t>
  </si>
  <si>
    <t>*9960190870036907*</t>
  </si>
  <si>
    <t>SKIPPER BEVERAGE CO INC</t>
  </si>
  <si>
    <t>CIRCLE K STORES STORES INC</t>
  </si>
  <si>
    <t>PO BOX 52085</t>
  </si>
  <si>
    <t>PHOENIX</t>
  </si>
  <si>
    <t>9960-19-097-0055-907</t>
  </si>
  <si>
    <t>*9960190970055907*</t>
  </si>
  <si>
    <t>CHHIN SARUN</t>
  </si>
  <si>
    <t>SHIPLEY DO-NUTS</t>
  </si>
  <si>
    <t>2451 FM 1092 RD</t>
  </si>
  <si>
    <t>ANN CHHIN</t>
  </si>
  <si>
    <t>6422 WEXFORD PARK DRIVE</t>
  </si>
  <si>
    <t>9960-19-099-0033-907</t>
  </si>
  <si>
    <t>*9960190990033907*</t>
  </si>
  <si>
    <t>WEST S SCOTT</t>
  </si>
  <si>
    <t>THE WEST LAW FIRM</t>
  </si>
  <si>
    <t>OPERATINB ACCOUNT</t>
  </si>
  <si>
    <t>1600 HIGHWAY 6 STE 450</t>
  </si>
  <si>
    <t>9960-19-209-0176-907</t>
  </si>
  <si>
    <t>*9960192090176907*</t>
  </si>
  <si>
    <t>SAVVY INDUSTRIES INC</t>
  </si>
  <si>
    <t>PO BOX 711179</t>
  </si>
  <si>
    <t>9960-19-210-0086-910</t>
  </si>
  <si>
    <t>*9960192100086910*</t>
  </si>
  <si>
    <t>STARPOINT SERVICES INC</t>
  </si>
  <si>
    <t xml:space="preserve">12818 CENTURY DR                        </t>
  </si>
  <si>
    <t xml:space="preserve">STE 105-106                             </t>
  </si>
  <si>
    <t>9960-19-210-0133-907</t>
  </si>
  <si>
    <t>*9960192100133907*</t>
  </si>
  <si>
    <t>PEKAR JENIFER A</t>
  </si>
  <si>
    <t>9960-19-211-0067-907</t>
  </si>
  <si>
    <t>*9960192110067907*</t>
  </si>
  <si>
    <t>SPARTAN WEALTH MANAGEMENT LLC</t>
  </si>
  <si>
    <t>KEITH BORGFELDT</t>
  </si>
  <si>
    <t>THREE SUGAR CREEK CENTER BLVD.</t>
  </si>
  <si>
    <t>9960-19-213-0065-910</t>
  </si>
  <si>
    <t>*9960192130065910*</t>
  </si>
  <si>
    <t>TEXAS INFINITY ENTERPRISES INC</t>
  </si>
  <si>
    <t>STAFFORD AUTO TECH</t>
  </si>
  <si>
    <t>2338 S MAIN ST</t>
  </si>
  <si>
    <t>9960-19-214-0132-907</t>
  </si>
  <si>
    <t>*9960192140132907*</t>
  </si>
  <si>
    <t>TEXPRO FITNESS LLC</t>
  </si>
  <si>
    <t>BRIAN BLACK</t>
  </si>
  <si>
    <t>73 BIG TRAIL</t>
  </si>
  <si>
    <t>9960-19-216-0049-907</t>
  </si>
  <si>
    <t>*9960192160049907*</t>
  </si>
  <si>
    <t>SIGNATURE PLASTIC SURGERY</t>
  </si>
  <si>
    <t>DAVID STAPENHORST</t>
  </si>
  <si>
    <t>1111 HWY 6STE 174</t>
  </si>
  <si>
    <t>9960-19-217-0203-907</t>
  </si>
  <si>
    <t>*9960192170203907*</t>
  </si>
  <si>
    <t>LJ CYCLES LLC</t>
  </si>
  <si>
    <t>7260 HIGHWAY 6SUITE 400</t>
  </si>
  <si>
    <t>9960-19-217-0223-907</t>
  </si>
  <si>
    <t>*9960192170223907*</t>
  </si>
  <si>
    <t>SMILE ONSITE SERVICES PC</t>
  </si>
  <si>
    <t xml:space="preserve">C/O TIM BRADBURY DDS                    </t>
  </si>
  <si>
    <t xml:space="preserve">14019 SOUTHWEST FWY STE 301             </t>
  </si>
  <si>
    <t xml:space="preserve">BOX 334                                 </t>
  </si>
  <si>
    <t>9960-19-218-0006-907</t>
  </si>
  <si>
    <t>*9960192180006907*</t>
  </si>
  <si>
    <t>SHER BUSINESS INC</t>
  </si>
  <si>
    <t xml:space="preserve">13003 W BELLFORT AVE                    </t>
  </si>
  <si>
    <t>9960-19-218-0160-907</t>
  </si>
  <si>
    <t>*9960192180160907*</t>
  </si>
  <si>
    <t>SOMERSET CAPITAL GROUP LTD</t>
  </si>
  <si>
    <t xml:space="preserve">612 WHEELERS FARMS RD                   </t>
  </si>
  <si>
    <t xml:space="preserve">MILFORD                 </t>
  </si>
  <si>
    <t>9960-19-218-0197-907</t>
  </si>
  <si>
    <t>*9960192180197907*</t>
  </si>
  <si>
    <t>SIENNA CLH LLC</t>
  </si>
  <si>
    <t>26 PALMER CREST CIRCLE</t>
  </si>
  <si>
    <t>9960-19-219-0075-907</t>
  </si>
  <si>
    <t>*9960192190075907*</t>
  </si>
  <si>
    <t>SEA COAST</t>
  </si>
  <si>
    <t>GENUINE CABLE GROUP LLC</t>
  </si>
  <si>
    <t>2018 POWERS FERRY RD STE 500</t>
  </si>
  <si>
    <t>ATLANTA</t>
  </si>
  <si>
    <t>9960-19-219-0078-907</t>
  </si>
  <si>
    <t>*9960192190078907*</t>
  </si>
  <si>
    <t>SAINT AGNES MEMORIAL HOSPICE INC</t>
  </si>
  <si>
    <t xml:space="preserve">12808 W AIRPORT BLVD STE 290            </t>
  </si>
  <si>
    <t>9960-19-219-0180-914</t>
  </si>
  <si>
    <t>*9960192190180914*</t>
  </si>
  <si>
    <t>MOBU LLC</t>
  </si>
  <si>
    <t xml:space="preserve">22136 WESTHEIMER PKWY #613              </t>
  </si>
  <si>
    <t>9960-19-219-0220-907</t>
  </si>
  <si>
    <t>*9960192190220907*</t>
  </si>
  <si>
    <t>NAEEMAN LLC</t>
  </si>
  <si>
    <t>AMMAR JABR</t>
  </si>
  <si>
    <t>17806 CARRINGTON WOODS LN</t>
  </si>
  <si>
    <t>9960-19-219-0221-910</t>
  </si>
  <si>
    <t>*9960192190221910*</t>
  </si>
  <si>
    <t>9960-19-220-0057-901</t>
  </si>
  <si>
    <t>*9960192200057901*</t>
  </si>
  <si>
    <t>STEELE RESULTS FITNESS</t>
  </si>
  <si>
    <t xml:space="preserve">4325 FM 359 RD                          </t>
  </si>
  <si>
    <t>9960-19-220-0126-907</t>
  </si>
  <si>
    <t>*9960192200126907*</t>
  </si>
  <si>
    <t>B &amp; D HOTTMAN LLC</t>
  </si>
  <si>
    <t xml:space="preserve">14115 GREENWAY DR                       </t>
  </si>
  <si>
    <t>9960-19-220-0171-907</t>
  </si>
  <si>
    <t>*9960192200171907*</t>
  </si>
  <si>
    <t>SMYRNA READY MIX CONCRETE LLC</t>
  </si>
  <si>
    <t xml:space="preserve">1136 2ND AVE N                          </t>
  </si>
  <si>
    <t xml:space="preserve">NASHVILLE               </t>
  </si>
  <si>
    <t>9960-20-208-0054-907</t>
  </si>
  <si>
    <t>*9960202080054907*</t>
  </si>
  <si>
    <t>TAQUERIA DE JALISCO RESTAURANT NO 1</t>
  </si>
  <si>
    <t xml:space="preserve">C/O JOSE JESUS MENDEZ                   </t>
  </si>
  <si>
    <t xml:space="preserve">15818 S POST OAK RD                     </t>
  </si>
  <si>
    <t>9960-20-211-0086-910</t>
  </si>
  <si>
    <t>*9960202110086910*</t>
  </si>
  <si>
    <t>TRANSPO MOTORS INC</t>
  </si>
  <si>
    <t>2638 5TH #13</t>
  </si>
  <si>
    <t>9960-20-211-0108-910</t>
  </si>
  <si>
    <t>*9960202110108910*</t>
  </si>
  <si>
    <t>TIBCO SOFTWARE INC.</t>
  </si>
  <si>
    <t xml:space="preserve">3301 HILLVIEW AVE                       </t>
  </si>
  <si>
    <t xml:space="preserve">PALO ALTO               </t>
  </si>
  <si>
    <t>9960-20-214-0059-907</t>
  </si>
  <si>
    <t>*9960202140059907*</t>
  </si>
  <si>
    <t>TANDEM TRAINING &amp; CONSULTING</t>
  </si>
  <si>
    <t xml:space="preserve">132 ELDRIDGE RD                         </t>
  </si>
  <si>
    <t xml:space="preserve">STE B                                   </t>
  </si>
  <si>
    <t>9960-20-216-0149-901</t>
  </si>
  <si>
    <t>*9960202160149901*</t>
  </si>
  <si>
    <t>TOWN CENTER TRANSPORTATION INC</t>
  </si>
  <si>
    <t xml:space="preserve">318 KNOLL FOREST DR                     </t>
  </si>
  <si>
    <t>9960-20-219-0014-907</t>
  </si>
  <si>
    <t>*9960202190014907*</t>
  </si>
  <si>
    <t>MAIER JOY</t>
  </si>
  <si>
    <t>JOY MAIER</t>
  </si>
  <si>
    <t>831 DRUMMOND DRIVE</t>
  </si>
  <si>
    <t>PROSPER</t>
  </si>
  <si>
    <t>9960-20-219-0048-907</t>
  </si>
  <si>
    <t>*9960202190048907*</t>
  </si>
  <si>
    <t>TRANS ACT TITLE LLC</t>
  </si>
  <si>
    <t xml:space="preserve">245 COMMERCE GREEN BLVD STE 151         </t>
  </si>
  <si>
    <t>9960-20-220-0132-907</t>
  </si>
  <si>
    <t>*9960202200132907*</t>
  </si>
  <si>
    <t>TOTAL CHIROPRACTIC &amp; WELLNESS CENTE</t>
  </si>
  <si>
    <t xml:space="preserve">14965 SOUTHWEST FWY                     </t>
  </si>
  <si>
    <t>9960-21-218-0014-914</t>
  </si>
  <si>
    <t>*9960212180014914*</t>
  </si>
  <si>
    <t>UNIKE SIGN</t>
  </si>
  <si>
    <t>MOISES MILLAN</t>
  </si>
  <si>
    <t>27027 WESTHEIMER PKWY SUITE 22</t>
  </si>
  <si>
    <t>9960-22-207-0007-901</t>
  </si>
  <si>
    <t>*9960222070007901*</t>
  </si>
  <si>
    <t>SV LIVING ASSISTANCE LLC</t>
  </si>
  <si>
    <t xml:space="preserve">19901 SOUTHWEST FWY STE 104             </t>
  </si>
  <si>
    <t>9960-22-209-0004-914</t>
  </si>
  <si>
    <t>*9960222090004914*</t>
  </si>
  <si>
    <t>VALENTIA BILLINGUAL THERAPY SERVICE</t>
  </si>
  <si>
    <t xml:space="preserve">722 OIN OAK RD                          </t>
  </si>
  <si>
    <t xml:space="preserve">STE 220                                 </t>
  </si>
  <si>
    <t>9960-23-200-0021-907</t>
  </si>
  <si>
    <t>*9960232000021907*</t>
  </si>
  <si>
    <t>MAGNUM BUSINESS INC</t>
  </si>
  <si>
    <t>DBA WETZEL PRETZEL</t>
  </si>
  <si>
    <t>16535 S W FREEWAY</t>
  </si>
  <si>
    <t>9960-23-210-0042-907</t>
  </si>
  <si>
    <t>*9960232100042907*</t>
  </si>
  <si>
    <t>9960-23-218-0038-901</t>
  </si>
  <si>
    <t>*9960232180038901*</t>
  </si>
  <si>
    <t>WARRANTY LOGISTICS LLC</t>
  </si>
  <si>
    <t>SARA AMACHER</t>
  </si>
  <si>
    <t>648 GRASSMERE PARK, STE 300</t>
  </si>
  <si>
    <t>9960-23-218-0039-907</t>
  </si>
  <si>
    <t>*9960232180039907*</t>
  </si>
  <si>
    <t>9960-25-219-0008-914</t>
  </si>
  <si>
    <t>*9960252190008914*</t>
  </si>
  <si>
    <t>RAD YA YA LLC</t>
  </si>
  <si>
    <t xml:space="preserve">123 FM 1463 RD                          </t>
  </si>
  <si>
    <t>9963-03-220-0163-907</t>
  </si>
  <si>
    <t>*9963032200163907*</t>
  </si>
  <si>
    <t>CDK GLOBAL LLC</t>
  </si>
  <si>
    <t xml:space="preserve">1950 HASSELL RD                         </t>
  </si>
  <si>
    <t xml:space="preserve">HOFFMAN ESTATES         </t>
  </si>
  <si>
    <t>9963-05-216-0011-907</t>
  </si>
  <si>
    <t>*9963052160011907*</t>
  </si>
  <si>
    <t>EPLUS GROUP INC</t>
  </si>
  <si>
    <t>IMAGENET CONSULTING LLC</t>
  </si>
  <si>
    <t>IDM CORPORATE OFFICE</t>
  </si>
  <si>
    <t>913 NORTH BROADWAY AVE</t>
  </si>
  <si>
    <t>OKLAHOMA</t>
  </si>
  <si>
    <t>9963-12-213-0003-907</t>
  </si>
  <si>
    <t>*9963122130003907*</t>
  </si>
  <si>
    <t>LEASECOMM CORPORATION</t>
  </si>
  <si>
    <t>1600 DISTRICT AVE STE 200</t>
  </si>
  <si>
    <t>BURLINGTON</t>
  </si>
  <si>
    <t>9963-13-215-0123-907</t>
  </si>
  <si>
    <t>*9963132150123907*</t>
  </si>
  <si>
    <t>QUADIENT LEASING USA INC</t>
  </si>
  <si>
    <t>ASHFORD LAKES COMMUNITY IMPROVEMENT ASSO</t>
  </si>
  <si>
    <t>11201 LAKE WOODBRIDGE DR</t>
  </si>
  <si>
    <t xml:space="preserve">478 WHEELERS FARM RD                    </t>
  </si>
  <si>
    <t>9963-13-217-0206-901</t>
  </si>
  <si>
    <t>*9963132170206901*</t>
  </si>
  <si>
    <t>MOBILE MINI I INC</t>
  </si>
  <si>
    <t>4646 E VAN BURAN STREET STE 400</t>
  </si>
  <si>
    <t>9963-14-211-0031-907</t>
  </si>
  <si>
    <t>*9963142110031907*</t>
  </si>
  <si>
    <t>NUC02 SUPPLY LLC</t>
  </si>
  <si>
    <t>NUCO2 SUPPLY LLC</t>
  </si>
  <si>
    <t>2800 SE MARKET PL</t>
  </si>
  <si>
    <t>STUART</t>
  </si>
  <si>
    <t>9963-16-217-0001-901</t>
  </si>
  <si>
    <t>*9963162170001901*</t>
  </si>
  <si>
    <t>PRO-VIGIL INC</t>
  </si>
  <si>
    <t xml:space="preserve">4740 PERRIN CRK STE 480                 </t>
  </si>
  <si>
    <t>9963-17-220-0013-901</t>
  </si>
  <si>
    <t>*9963172200013901*</t>
  </si>
  <si>
    <t>9963-19-218-0026-907</t>
  </si>
  <si>
    <t>*9963192180026907*</t>
  </si>
  <si>
    <t>STRYKER CORPORATION</t>
  </si>
  <si>
    <t xml:space="preserve">4100 EAST MILHAM RD                     </t>
  </si>
  <si>
    <t xml:space="preserve">KALAMAZOO               </t>
  </si>
  <si>
    <t>9963-25-207-0033-907</t>
  </si>
  <si>
    <t>*9963252070033907*</t>
  </si>
  <si>
    <t>XEROX CORPORATION</t>
  </si>
  <si>
    <t>800 PHILIPS RDTAX DEPT. 111-04B</t>
  </si>
  <si>
    <t>9964-12-221-0065-901</t>
  </si>
  <si>
    <t>*9964122210065901*</t>
  </si>
  <si>
    <t>LEASE PLAN USA INC</t>
  </si>
  <si>
    <t>LEASE PLAN</t>
  </si>
  <si>
    <t>1165 SANCTUARY PKWY</t>
  </si>
  <si>
    <t>9964-20-219-0063-914</t>
  </si>
  <si>
    <t>*9964202190063914*</t>
  </si>
  <si>
    <t>TOYOTA LEASE TRUST (TLT)</t>
  </si>
  <si>
    <t>TOYOTA MOTOR CREDIT CORPORATION</t>
  </si>
  <si>
    <t>PO BOX 23590</t>
  </si>
  <si>
    <t>9966-18-011-7611-901</t>
  </si>
  <si>
    <t>*9966180117611901*</t>
  </si>
  <si>
    <t>JAMIE CRANDALL EQUIPMENT CORPORATIO</t>
  </si>
  <si>
    <t>RICHMOND EQUIPMENT</t>
  </si>
  <si>
    <t>4803 FM 2218 RD</t>
  </si>
  <si>
    <t>9966-19-012-6615-914</t>
  </si>
  <si>
    <t>*9966190126615914*</t>
  </si>
  <si>
    <t>STARTECH GARAGE LLC</t>
  </si>
  <si>
    <t xml:space="preserve">1855 CULLEN BLVD STE 309                </t>
  </si>
  <si>
    <t>9999-00-010-0176-910</t>
  </si>
  <si>
    <t>*9999000100176910*</t>
  </si>
  <si>
    <t>AVALOS JOSE LUIS &amp; ROSE ANN</t>
  </si>
  <si>
    <t>ROSE ANDRADE</t>
  </si>
  <si>
    <t>5327 FLEDGING TRL</t>
  </si>
  <si>
    <t>9999-00-064-3371-907</t>
  </si>
  <si>
    <t>*9999000643371907*</t>
  </si>
  <si>
    <t>HERNANDEZ DOMINGA</t>
  </si>
  <si>
    <t xml:space="preserve">2819 RICHTON RD                         </t>
  </si>
  <si>
    <t xml:space="preserve">SPC 37                                  </t>
  </si>
  <si>
    <t>9999-00-064-4205-907</t>
  </si>
  <si>
    <t>*9999000644205907*</t>
  </si>
  <si>
    <t>GOMEZ BLANCA ESTELA</t>
  </si>
  <si>
    <t>BLANCA E GOMEZ</t>
  </si>
  <si>
    <t>1423 PHYLLIS</t>
  </si>
  <si>
    <t>9999-00-140-0793-910</t>
  </si>
  <si>
    <t>*9999001400793910*</t>
  </si>
  <si>
    <t>RUEDA MAGALI ARTEAGA</t>
  </si>
  <si>
    <t>PATEL SAMIR</t>
  </si>
  <si>
    <t xml:space="preserve">509 BRAND LN                            </t>
  </si>
  <si>
    <t xml:space="preserve">SPC 79                                  </t>
  </si>
  <si>
    <t>9999-00-140-0829-910</t>
  </si>
  <si>
    <t>*9999001400829910*</t>
  </si>
  <si>
    <t>LOPEZ SANDRA CASTELLANOS</t>
  </si>
  <si>
    <t>ROBERT DANIEL WORK</t>
  </si>
  <si>
    <t>12018 SCOTTSDALE DR</t>
  </si>
  <si>
    <t>9999-00-180-0243-901</t>
  </si>
  <si>
    <t>*9999001800243901*</t>
  </si>
  <si>
    <t>HUERTA HOMERO &amp; MAGAILI MORENO</t>
  </si>
  <si>
    <t>RAMIREZ RAYMOND &amp; CYNTHIA</t>
  </si>
  <si>
    <t xml:space="preserve">1229 HERMAN DR                          </t>
  </si>
  <si>
    <t>9999-00-280-0401-901</t>
  </si>
  <si>
    <t>*9999002800401901*</t>
  </si>
  <si>
    <t>GARCIA OPHELIA</t>
  </si>
  <si>
    <t>MARGIE REYES</t>
  </si>
  <si>
    <t>1609 JENNY LN</t>
  </si>
  <si>
    <t>9999-00-280-0602-901</t>
  </si>
  <si>
    <t>*9999002800602901*</t>
  </si>
  <si>
    <t>RAMON EVELYN NATALI MENDOZA</t>
  </si>
  <si>
    <t>MANUEL A CASTILLO</t>
  </si>
  <si>
    <t>1506 JENNY LN</t>
  </si>
  <si>
    <t>9999-00-370-0506-910</t>
  </si>
  <si>
    <t>*9999003700506910*</t>
  </si>
  <si>
    <t>FURBEE JOHN F</t>
  </si>
  <si>
    <t>FRANCISCO SAMUEL GUTIERREZ</t>
  </si>
  <si>
    <t>8602 ALDEBURGH CT#50</t>
  </si>
  <si>
    <t>9999-00-470-0033-906</t>
  </si>
  <si>
    <t>*9999004700033906*</t>
  </si>
  <si>
    <t>PONDEROSA FB LLC</t>
  </si>
  <si>
    <t>RONNIE J FINKELMAN</t>
  </si>
  <si>
    <t>6300 W LOOPS STE 100</t>
  </si>
  <si>
    <t>9999-00-510-0212-901</t>
  </si>
  <si>
    <t>*9999005100212901*</t>
  </si>
  <si>
    <t>RODRIGUEZHECTOR &amp; CECILIA</t>
  </si>
  <si>
    <t>REYES VALDEMAR</t>
  </si>
  <si>
    <t xml:space="preserve">C/O HECTOR &amp; CECILIA RODRIGUEZ          </t>
  </si>
  <si>
    <t xml:space="preserve">1800 PRESTON ST                         </t>
  </si>
  <si>
    <t xml:space="preserve">TRLR 21                                 </t>
  </si>
  <si>
    <t>9999-00-510-0270-901</t>
  </si>
  <si>
    <t>*9999005100270901*</t>
  </si>
  <si>
    <t>REQUENO TORIVIO LEIVA &amp; JUANA ANTON</t>
  </si>
  <si>
    <t xml:space="preserve">SPC 27                                  </t>
  </si>
  <si>
    <t>9999-00-545-0071-901</t>
  </si>
  <si>
    <t>*9999005450071901*</t>
  </si>
  <si>
    <t>RINCON MARIA DEL CARMEN</t>
  </si>
  <si>
    <t xml:space="preserve">3319 RYCHLIK DR                         </t>
  </si>
  <si>
    <t xml:space="preserve">SPC 7                                   </t>
  </si>
  <si>
    <t>9999-00-545-0120-901</t>
  </si>
  <si>
    <t>*9999005450120901*</t>
  </si>
  <si>
    <t>GARCIA MARIA DELCARMEN</t>
  </si>
  <si>
    <t>MFO RENTALS INC</t>
  </si>
  <si>
    <t>1925 FIRST STREET</t>
  </si>
  <si>
    <t>9999-00-567-1041-907</t>
  </si>
  <si>
    <t>*9999005671041907*</t>
  </si>
  <si>
    <t>OCHOA MARIELA V</t>
  </si>
  <si>
    <t>DEISY GOMEZ</t>
  </si>
  <si>
    <t>13269 WEBB LN</t>
  </si>
  <si>
    <t>9999-00-600-0351-901</t>
  </si>
  <si>
    <t>*9999006000351901*</t>
  </si>
  <si>
    <t>BENETTA NICHOLS</t>
  </si>
  <si>
    <t>725 BLUME RD TRLR 35</t>
  </si>
  <si>
    <t>9999-00-600-0675-901</t>
  </si>
  <si>
    <t>*9999006000675901*</t>
  </si>
  <si>
    <t>ALVAREZ ALEXANDER</t>
  </si>
  <si>
    <t>LOGUIS CONSTRUCTION SERVICES</t>
  </si>
  <si>
    <t>PO BOX 859</t>
  </si>
  <si>
    <t>9999-00-600-0691-901</t>
  </si>
  <si>
    <t>*9999006000691901*</t>
  </si>
  <si>
    <t>TREVINO CERGIO &amp; MARIA SANCHEZ</t>
  </si>
  <si>
    <t>P O BOX 31609</t>
  </si>
  <si>
    <t>9999-01-064-1014-907</t>
  </si>
  <si>
    <t>*9999010641014907*</t>
  </si>
  <si>
    <t>CHOZMATEO ROSALIO CHAY &amp; MARIA REBE</t>
  </si>
  <si>
    <t>MATEO ROSALIO CHAY CHOZ</t>
  </si>
  <si>
    <t>3411 5TH #101</t>
  </si>
  <si>
    <t>9999-01-064-3140-907</t>
  </si>
  <si>
    <t>*9999010643140907*</t>
  </si>
  <si>
    <t>FLORES ALMA</t>
  </si>
  <si>
    <t xml:space="preserve">C/O REY PENALOSA                        </t>
  </si>
  <si>
    <t xml:space="preserve">3411 5TH ST                             </t>
  </si>
  <si>
    <t>9999-01-064-3661-907</t>
  </si>
  <si>
    <t>*9999010643661907*</t>
  </si>
  <si>
    <t>CORONILLA JUAN FRANCISO</t>
  </si>
  <si>
    <t>JUAN FRANCISCO CORONILLA</t>
  </si>
  <si>
    <t>3411 5TH ST #366</t>
  </si>
  <si>
    <t>MA32-00-000-1379-RI</t>
  </si>
  <si>
    <t>*MA32000001379RI*</t>
  </si>
  <si>
    <t>DICKSON KENNETH H</t>
  </si>
  <si>
    <t>THE SASSY TRAINER LLC</t>
  </si>
  <si>
    <t>6091 KATIE LN</t>
  </si>
  <si>
    <t>PAHRUMP</t>
  </si>
  <si>
    <t>NV</t>
  </si>
  <si>
    <t>MB86-00-026-9312-RI</t>
  </si>
  <si>
    <t>*MB86000269312RI*</t>
  </si>
  <si>
    <t>BATTLE HAROLD</t>
  </si>
  <si>
    <t xml:space="preserve">10007 SAGEDOWNE LN                      </t>
  </si>
  <si>
    <t>MC05-00-066-9145-1RI</t>
  </si>
  <si>
    <t>*MC050006691451RI*</t>
  </si>
  <si>
    <t>GORDON HARRY B IV</t>
  </si>
  <si>
    <t xml:space="preserve">300 MEEKER RD                           </t>
  </si>
  <si>
    <t xml:space="preserve">KERRVILLE               </t>
  </si>
  <si>
    <t>MF90-00-009-9553-RI</t>
  </si>
  <si>
    <t>*MF90000099553RI*</t>
  </si>
  <si>
    <t>COWDEN KAY SEPARATE PROP TR</t>
  </si>
  <si>
    <t>KAY COWDEN SEPARATE PROP TR</t>
  </si>
  <si>
    <t xml:space="preserve">KAY BONNER COWDEN TRUSTEE               </t>
  </si>
  <si>
    <t xml:space="preserve">5930 ROYAL LANE STE E #501              </t>
  </si>
  <si>
    <t>MF94-36-047-8020-RI</t>
  </si>
  <si>
    <t>*MF94360478020RI*</t>
  </si>
  <si>
    <t>MAP 2004-OK AN OKLAHOMA GENERAL PAR</t>
  </si>
  <si>
    <t>MAP ROYALTY INC MINERAL</t>
  </si>
  <si>
    <t>MH25-00-507-2500-RI</t>
  </si>
  <si>
    <t>*MH25005072500RI*</t>
  </si>
  <si>
    <t>SMYTH TRACY DAVIDSON</t>
  </si>
  <si>
    <t xml:space="preserve">ONE CITY CENTR                          </t>
  </si>
  <si>
    <t xml:space="preserve">1021 MAIN ST STE 1970                   </t>
  </si>
  <si>
    <t>MH28-02-050-0675-RI</t>
  </si>
  <si>
    <t>*MH28020500675RI*</t>
  </si>
  <si>
    <t>SOUTHWEST PETROLEUM CO</t>
  </si>
  <si>
    <t xml:space="preserve">P O BOX 702377                          </t>
  </si>
  <si>
    <t>MH28-02-278-9000-RI</t>
  </si>
  <si>
    <t>*MH28022789000RI*</t>
  </si>
  <si>
    <t>JETTEX RESOURCES</t>
  </si>
  <si>
    <t>WILLIAM E HEITKAMP</t>
  </si>
  <si>
    <t>9821 KATY FRWY STE 590</t>
  </si>
  <si>
    <t>MH28-04-050-0675-RI</t>
  </si>
  <si>
    <t>*MH28040500675RI*</t>
  </si>
  <si>
    <t>SOUTHWEST PETROLEUM COMPANY LP</t>
  </si>
  <si>
    <t>PO BOX 702377</t>
  </si>
  <si>
    <t>MH28-07-025-8861-RI</t>
  </si>
  <si>
    <t>*MH28070258861RI*</t>
  </si>
  <si>
    <t>LEFKOVE KARRI MATEJ</t>
  </si>
  <si>
    <t>LEFKOVE 2014 REVOCABLE LIVING TRUST</t>
  </si>
  <si>
    <t>ERIC N LEFKOVE TRTEE</t>
  </si>
  <si>
    <t>104 CHAPMAN CT</t>
  </si>
  <si>
    <t>FOLSOM</t>
  </si>
  <si>
    <t>MK04-00-045-3268-RI</t>
  </si>
  <si>
    <t>*MK04000453268RI*</t>
  </si>
  <si>
    <t>LITTLETON A FOWLER GUY FOWLER GAURD</t>
  </si>
  <si>
    <t>PATRICIA FOWLER</t>
  </si>
  <si>
    <t>1617 FOUNDERS HL N</t>
  </si>
  <si>
    <t>WILLIAMSBURG</t>
  </si>
  <si>
    <t>MK05-00-094-6000-OR</t>
  </si>
  <si>
    <t>*MK05000946000OR*</t>
  </si>
  <si>
    <t>LEININGER ZENITHE</t>
  </si>
  <si>
    <t xml:space="preserve">3181 HIGHWAY 281 SE                     </t>
  </si>
  <si>
    <t xml:space="preserve">JAMESTOWN               </t>
  </si>
  <si>
    <t>MK05-00-314-4500-OR</t>
  </si>
  <si>
    <t>*MK05003144500OR*</t>
  </si>
  <si>
    <t>LAUBE RICHARD J</t>
  </si>
  <si>
    <t>RICHARD J LAUBE</t>
  </si>
  <si>
    <t>2330 GUSHOW LN</t>
  </si>
  <si>
    <t>AUBURN</t>
  </si>
  <si>
    <t>MN95-00-058-3455-RI</t>
  </si>
  <si>
    <t>*MN95000583455RI*</t>
  </si>
  <si>
    <t>JOHNSTON STEPHANIE</t>
  </si>
  <si>
    <t>STEPHANIE D JOHNSTON</t>
  </si>
  <si>
    <t>300 REMINGTON ST APT 403</t>
  </si>
  <si>
    <t>FORT COLLINS</t>
  </si>
  <si>
    <t>MN95-00-076-1434-RI</t>
  </si>
  <si>
    <t>*MN95000761434RI*</t>
  </si>
  <si>
    <t>MO05-00-058-3455-RI</t>
  </si>
  <si>
    <t>*MO05000583455RI*</t>
  </si>
  <si>
    <t>MO05-00-076-1434-RI</t>
  </si>
  <si>
    <t>*MO05000761434RI*</t>
  </si>
  <si>
    <t>MO15-00-058-3455-RI</t>
  </si>
  <si>
    <t>*MO15000583455RI*</t>
  </si>
  <si>
    <t>631 WOODLAND WAY</t>
  </si>
  <si>
    <t>MO15-00-076-1434-RI</t>
  </si>
  <si>
    <t>*MO15000761434RI*</t>
  </si>
  <si>
    <t>MO15-00-076-1448-RI</t>
  </si>
  <si>
    <t>*MO15000761448RI*</t>
  </si>
  <si>
    <t>HURLEY KEVIN M</t>
  </si>
  <si>
    <t>KEVIN M HURLEY</t>
  </si>
  <si>
    <t>903 LINCOLN ST</t>
  </si>
  <si>
    <t>JEFFERSON</t>
  </si>
  <si>
    <t>SD</t>
  </si>
  <si>
    <t>MO90-00-147-9600-RI</t>
  </si>
  <si>
    <t>*MO90001479600RI*</t>
  </si>
  <si>
    <t>BERRY MARGOT</t>
  </si>
  <si>
    <t>MARGOT S BERRY</t>
  </si>
  <si>
    <t>JEFFREY L BERRY</t>
  </si>
  <si>
    <t>139 WILLOW SHORES DR</t>
  </si>
  <si>
    <t>TOW</t>
  </si>
  <si>
    <t>MQ48-00-000-0181-RI2000</t>
  </si>
  <si>
    <t>*MQ48000000181RI2000*</t>
  </si>
  <si>
    <t>FEINBERG SALLY HUTCHINGS</t>
  </si>
  <si>
    <t>JP MORGAN CHASE MINERAL</t>
  </si>
  <si>
    <t>MQ48-00-301-1500-RI</t>
  </si>
  <si>
    <t>*MQ48003011500RI*</t>
  </si>
  <si>
    <t>WRAY MARIANNE KING</t>
  </si>
  <si>
    <t>ROBERT B WRAY OR</t>
  </si>
  <si>
    <t>MARIANNE K WRAY</t>
  </si>
  <si>
    <t>243 CARDINAL AVE</t>
  </si>
  <si>
    <t>MU20-00-055-1507-RI</t>
  </si>
  <si>
    <t>*MU20000551507RI*</t>
  </si>
  <si>
    <t>OLIVER DOROTHY D</t>
  </si>
  <si>
    <t xml:space="preserve">615 QUAIL HOLLOW                        </t>
  </si>
  <si>
    <t xml:space="preserve">SALADO                  </t>
  </si>
  <si>
    <t>TCBG-E1-202</t>
  </si>
  <si>
    <t>*TCBGE1202*</t>
  </si>
  <si>
    <t>BGE INC</t>
  </si>
  <si>
    <t>TRACY YOUNGBLOOD</t>
  </si>
  <si>
    <t>10777 WESTHEIMERSUITE 400</t>
  </si>
  <si>
    <t>WC11-05-4</t>
  </si>
  <si>
    <t>*WC11054*</t>
  </si>
  <si>
    <t>BROWN WILLIAM &amp; BONNIE FAMILY LP</t>
  </si>
  <si>
    <t>BBB SANDY FORK 1 LP</t>
  </si>
  <si>
    <t>24803 MILLS LAKE CT</t>
  </si>
  <si>
    <t>WC14-24-6</t>
  </si>
  <si>
    <t>*WC14246*</t>
  </si>
  <si>
    <t>LANGLOIS ALFRED ROBERT</t>
  </si>
  <si>
    <t>WC14-29-7</t>
  </si>
  <si>
    <t>*WC14297*</t>
  </si>
  <si>
    <t>PAULSEN WILLIAM B &amp; LYNN A</t>
  </si>
  <si>
    <t xml:space="preserve">6821 ASH STREET                         </t>
  </si>
  <si>
    <t>WC17-91-10</t>
  </si>
  <si>
    <t>*WC179110*</t>
  </si>
  <si>
    <t>WALKER ALLEN</t>
  </si>
  <si>
    <t>ALLEN WALKER</t>
  </si>
  <si>
    <t>ANGELA WALKER</t>
  </si>
  <si>
    <t>WALKER RENTALS</t>
  </si>
  <si>
    <t>1119 DOGWOOD ST</t>
  </si>
  <si>
    <t>WC21-21-96</t>
  </si>
  <si>
    <t>*WC212196*</t>
  </si>
  <si>
    <t>KIDWELL CHAD A &amp; JENNIFER L</t>
  </si>
  <si>
    <t>WC24-25-57</t>
  </si>
  <si>
    <t>*WC242557*</t>
  </si>
  <si>
    <t>FERREBUS JHONNATAN</t>
  </si>
  <si>
    <t>WC24-25-60</t>
  </si>
  <si>
    <t>*WC242560*</t>
  </si>
  <si>
    <t>ALJEBORY FAISAL &amp; ATTRAH ZAHRAA</t>
  </si>
  <si>
    <t xml:space="preserve">A DELAWARE STATUTORY TRUST              </t>
  </si>
  <si>
    <t xml:space="preserve">4343 N SCOTTSDALE RD STE 390            </t>
  </si>
  <si>
    <t xml:space="preserve">SCOTTSDALE              </t>
  </si>
  <si>
    <t>WC24-41-93</t>
  </si>
  <si>
    <t>*WC244193*</t>
  </si>
  <si>
    <t>DE LAGE LANDEN FINANCIAL SERVICES INC</t>
  </si>
  <si>
    <t xml:space="preserve">ATTN: CORPORATE TAX DEPARTMENT          </t>
  </si>
  <si>
    <t xml:space="preserve">1111 OLD EAGLE SCHOOL RD                </t>
  </si>
  <si>
    <t xml:space="preserve">WAYNE                   </t>
  </si>
  <si>
    <t>WC24-70-65</t>
  </si>
  <si>
    <t>*WC247065*</t>
  </si>
  <si>
    <t>HARRISON PARKER L</t>
  </si>
  <si>
    <t xml:space="preserve">2200 WILLOWICK #2G                      </t>
  </si>
  <si>
    <t>WC24-75-42</t>
  </si>
  <si>
    <t>*WC247542*</t>
  </si>
  <si>
    <t>PERRY CLAUDIA TUCKER</t>
  </si>
  <si>
    <t>CLAUDIA A PERRY</t>
  </si>
  <si>
    <t>ROBERT S PERRY</t>
  </si>
  <si>
    <t>11836 ALDENDALE ST</t>
  </si>
  <si>
    <t>WC24-93-56</t>
  </si>
  <si>
    <t>*WC249356*</t>
  </si>
  <si>
    <t>VODENLCHAROV GEORGI &amp;</t>
  </si>
  <si>
    <t>WELLS FARGO HOME MORTGAGE</t>
  </si>
  <si>
    <t>DES MOINES, IA  50306-0335</t>
  </si>
  <si>
    <t>WC24-95-28</t>
  </si>
  <si>
    <t>*WC249528*</t>
  </si>
  <si>
    <t>ROGERS CRAIG B &amp; DEBRA L</t>
  </si>
  <si>
    <t>SHEA HOMES HOUSTON LLC</t>
  </si>
  <si>
    <t>8800 N GAINEY CENTER DR STE 350</t>
  </si>
  <si>
    <t>WC25-22-77</t>
  </si>
  <si>
    <t>*WC252277*</t>
  </si>
  <si>
    <t>SNIDER JO NELL</t>
  </si>
  <si>
    <t xml:space="preserve">327 RIVERVIEW ST                        </t>
  </si>
  <si>
    <t xml:space="preserve">EAST FREEDOM            </t>
  </si>
  <si>
    <t>WC25-29-81</t>
  </si>
  <si>
    <t>*WC252981*</t>
  </si>
  <si>
    <t>MELVIN CHARLES ANTHONY II &amp;</t>
  </si>
  <si>
    <t>MGYSGT RET CHARLES A MELVIN II</t>
  </si>
  <si>
    <t>5741 DA VINCI WAY</t>
  </si>
  <si>
    <t>SACRAMENTO</t>
  </si>
  <si>
    <t>WC25-62-32</t>
  </si>
  <si>
    <t>*WC256232*</t>
  </si>
  <si>
    <t>ALVAREZ JOSEPH A &amp; DEISE J</t>
  </si>
  <si>
    <t>WC25-71-41</t>
  </si>
  <si>
    <t>*WC257141*</t>
  </si>
  <si>
    <t>BUTLER TREVOR ALLEN &amp;</t>
  </si>
  <si>
    <t>WC25-83-17</t>
  </si>
  <si>
    <t>*WC258317*</t>
  </si>
  <si>
    <t>OH SI YOUNG &amp; KIM HANNA</t>
  </si>
  <si>
    <t>PENDING OVERPAYMENT AS OF 9-07-2022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</si>
</sst>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4" fontId="0" fillId="0" borderId="0" xfId="0" applyNumberFormat="1"/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1609"/>
  <sheetViews>
    <sheetView topLeftCell="A58" workbookViewId="0">
      <selection activeCell="A61" sqref="A61"/>
    </sheetView>
  </sheetViews>
  <sheetFormatPr defaultRowHeight="15" x14ac:dyDescent="0.25"/>
  <cols>
    <col min="1" max="1" width="24.140625" bestFit="1" customWidth="1"/>
    <col min="2" max="2" width="23.28515625" bestFit="1" customWidth="1"/>
    <col min="3" max="3" width="5.28515625" bestFit="1" customWidth="1"/>
    <col min="4" max="4" width="9.28515625" bestFit="1" customWidth="1"/>
    <col min="5" max="5" width="8.42578125" bestFit="1" customWidth="1"/>
    <col min="6" max="6" width="42.7109375" bestFit="1" customWidth="1"/>
    <col min="7" max="7" width="9" bestFit="1" customWidth="1"/>
    <col min="8" max="8" width="12.140625" bestFit="1" customWidth="1"/>
    <col min="9" max="9" width="12.42578125" bestFit="1" customWidth="1"/>
    <col min="11" max="11" width="18.42578125" bestFit="1" customWidth="1"/>
    <col min="12" max="12" width="11" bestFit="1" customWidth="1"/>
    <col min="13" max="14" width="12.85546875" bestFit="1" customWidth="1"/>
    <col min="15" max="15" width="9.42578125" bestFit="1" customWidth="1"/>
    <col min="16" max="16" width="4.85546875" bestFit="1" customWidth="1"/>
    <col min="17" max="17" width="9.5703125" bestFit="1" customWidth="1"/>
    <col min="18" max="18" width="8.5703125" bestFit="1" customWidth="1"/>
    <col min="19" max="19" width="47.140625" bestFit="1" customWidth="1"/>
    <col min="20" max="20" width="45.28515625" bestFit="1" customWidth="1"/>
    <col min="21" max="21" width="38.28515625" bestFit="1" customWidth="1"/>
    <col min="22" max="22" width="34.28515625" bestFit="1" customWidth="1"/>
    <col min="23" max="23" width="22.85546875" bestFit="1" customWidth="1"/>
    <col min="24" max="24" width="17.85546875" bestFit="1" customWidth="1"/>
    <col min="25" max="25" width="16.28515625" bestFit="1" customWidth="1"/>
  </cols>
  <sheetData>
    <row r="1" spans="1:2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 x14ac:dyDescent="0.25">
      <c r="A2" t="s">
        <v>25</v>
      </c>
      <c r="B2" t="s">
        <v>26</v>
      </c>
      <c r="C2">
        <v>2019</v>
      </c>
      <c r="D2">
        <v>8001</v>
      </c>
      <c r="E2">
        <v>1</v>
      </c>
      <c r="F2" t="s">
        <v>27</v>
      </c>
      <c r="G2">
        <v>28585537</v>
      </c>
      <c r="J2">
        <v>56.06</v>
      </c>
      <c r="L2">
        <v>44418809</v>
      </c>
      <c r="M2" s="1">
        <v>44034</v>
      </c>
      <c r="N2" t="str">
        <f>"J200722U4"</f>
        <v>J200722U4</v>
      </c>
      <c r="O2" t="s">
        <v>28</v>
      </c>
      <c r="Q2" t="s">
        <v>29</v>
      </c>
      <c r="R2" t="s">
        <v>28</v>
      </c>
      <c r="S2" t="s">
        <v>30</v>
      </c>
      <c r="T2" t="s">
        <v>31</v>
      </c>
      <c r="U2" t="s">
        <v>32</v>
      </c>
      <c r="W2" t="s">
        <v>33</v>
      </c>
      <c r="X2" t="s">
        <v>34</v>
      </c>
      <c r="Y2" t="str">
        <f>"75093"</f>
        <v>75093</v>
      </c>
    </row>
    <row r="3" spans="1:25" x14ac:dyDescent="0.25">
      <c r="A3" t="s">
        <v>35</v>
      </c>
      <c r="B3" t="s">
        <v>36</v>
      </c>
      <c r="C3">
        <v>2020</v>
      </c>
      <c r="D3">
        <v>8001</v>
      </c>
      <c r="E3">
        <v>2</v>
      </c>
      <c r="F3" t="s">
        <v>37</v>
      </c>
      <c r="G3">
        <v>29719076</v>
      </c>
      <c r="J3">
        <v>6.81</v>
      </c>
      <c r="L3">
        <v>47246365</v>
      </c>
      <c r="M3" s="1">
        <v>44291</v>
      </c>
      <c r="N3" t="str">
        <f>"EK210405"</f>
        <v>EK210405</v>
      </c>
      <c r="O3" t="s">
        <v>28</v>
      </c>
      <c r="Q3" t="s">
        <v>29</v>
      </c>
      <c r="R3" t="s">
        <v>28</v>
      </c>
      <c r="S3" t="s">
        <v>38</v>
      </c>
      <c r="T3" t="s">
        <v>39</v>
      </c>
      <c r="W3" t="s">
        <v>40</v>
      </c>
      <c r="X3" t="s">
        <v>34</v>
      </c>
      <c r="Y3" t="str">
        <f>"77479"</f>
        <v>77479</v>
      </c>
    </row>
    <row r="4" spans="1:25" x14ac:dyDescent="0.25">
      <c r="A4" t="s">
        <v>41</v>
      </c>
      <c r="B4" t="s">
        <v>42</v>
      </c>
      <c r="C4">
        <v>2020</v>
      </c>
      <c r="D4">
        <v>8001</v>
      </c>
      <c r="E4">
        <v>1</v>
      </c>
      <c r="F4" t="s">
        <v>43</v>
      </c>
      <c r="G4">
        <v>29489533</v>
      </c>
      <c r="J4">
        <v>191.76</v>
      </c>
      <c r="L4">
        <v>46782232</v>
      </c>
      <c r="M4" s="1">
        <v>44231</v>
      </c>
      <c r="N4" t="str">
        <f>"CC210204"</f>
        <v>CC210204</v>
      </c>
      <c r="O4" t="s">
        <v>28</v>
      </c>
      <c r="Q4" t="s">
        <v>29</v>
      </c>
      <c r="R4" t="s">
        <v>28</v>
      </c>
      <c r="S4" t="s">
        <v>44</v>
      </c>
      <c r="T4" t="s">
        <v>45</v>
      </c>
      <c r="W4" t="s">
        <v>46</v>
      </c>
      <c r="X4" t="s">
        <v>34</v>
      </c>
      <c r="Y4" t="str">
        <f>"77430"</f>
        <v>77430</v>
      </c>
    </row>
    <row r="5" spans="1:25" x14ac:dyDescent="0.25">
      <c r="A5" t="s">
        <v>47</v>
      </c>
      <c r="B5" t="s">
        <v>48</v>
      </c>
      <c r="C5">
        <v>2020</v>
      </c>
      <c r="D5">
        <v>8001</v>
      </c>
      <c r="E5">
        <v>1</v>
      </c>
      <c r="F5" t="s">
        <v>43</v>
      </c>
      <c r="G5">
        <v>29489534</v>
      </c>
      <c r="J5">
        <v>48.02</v>
      </c>
      <c r="L5">
        <v>46782233</v>
      </c>
      <c r="M5" s="1">
        <v>44231</v>
      </c>
      <c r="N5" t="str">
        <f>"CC210204"</f>
        <v>CC210204</v>
      </c>
      <c r="O5" t="s">
        <v>28</v>
      </c>
      <c r="Q5" t="s">
        <v>29</v>
      </c>
      <c r="R5" t="s">
        <v>28</v>
      </c>
      <c r="S5" t="s">
        <v>44</v>
      </c>
      <c r="T5" t="s">
        <v>45</v>
      </c>
      <c r="W5" t="s">
        <v>46</v>
      </c>
      <c r="X5" t="s">
        <v>34</v>
      </c>
      <c r="Y5" t="str">
        <f>"77430"</f>
        <v>77430</v>
      </c>
    </row>
    <row r="6" spans="1:25" x14ac:dyDescent="0.25">
      <c r="A6" t="s">
        <v>49</v>
      </c>
      <c r="B6" t="s">
        <v>50</v>
      </c>
      <c r="C6">
        <v>2020</v>
      </c>
      <c r="D6">
        <v>8001</v>
      </c>
      <c r="E6">
        <v>1</v>
      </c>
      <c r="F6" t="s">
        <v>43</v>
      </c>
      <c r="G6">
        <v>29489537</v>
      </c>
      <c r="J6">
        <v>6.83</v>
      </c>
      <c r="L6">
        <v>46782236</v>
      </c>
      <c r="M6" s="1">
        <v>44231</v>
      </c>
      <c r="N6" t="str">
        <f>"CC210204"</f>
        <v>CC210204</v>
      </c>
      <c r="O6" t="s">
        <v>28</v>
      </c>
      <c r="Q6" t="s">
        <v>29</v>
      </c>
      <c r="R6" t="s">
        <v>28</v>
      </c>
      <c r="S6" t="s">
        <v>44</v>
      </c>
      <c r="T6" t="s">
        <v>45</v>
      </c>
      <c r="W6" t="s">
        <v>46</v>
      </c>
      <c r="X6" t="s">
        <v>34</v>
      </c>
      <c r="Y6" t="str">
        <f>"77430"</f>
        <v>77430</v>
      </c>
    </row>
    <row r="7" spans="1:25" x14ac:dyDescent="0.25">
      <c r="A7" t="s">
        <v>51</v>
      </c>
      <c r="B7" t="s">
        <v>52</v>
      </c>
      <c r="C7">
        <v>2020</v>
      </c>
      <c r="D7">
        <v>8001</v>
      </c>
      <c r="E7">
        <v>1</v>
      </c>
      <c r="F7" t="s">
        <v>53</v>
      </c>
      <c r="G7">
        <v>29461689</v>
      </c>
      <c r="J7">
        <v>124.84</v>
      </c>
      <c r="L7">
        <v>46728689</v>
      </c>
      <c r="M7" s="1">
        <v>44230</v>
      </c>
      <c r="N7" t="str">
        <f>"EK210203"</f>
        <v>EK210203</v>
      </c>
      <c r="O7" t="s">
        <v>28</v>
      </c>
      <c r="Q7" t="s">
        <v>29</v>
      </c>
      <c r="R7" t="s">
        <v>28</v>
      </c>
      <c r="S7" t="s">
        <v>54</v>
      </c>
      <c r="T7" t="s">
        <v>55</v>
      </c>
      <c r="W7" t="s">
        <v>40</v>
      </c>
      <c r="X7" t="s">
        <v>34</v>
      </c>
      <c r="Y7" t="str">
        <f>"77479"</f>
        <v>77479</v>
      </c>
    </row>
    <row r="8" spans="1:25" x14ac:dyDescent="0.25">
      <c r="A8" t="s">
        <v>56</v>
      </c>
      <c r="B8" t="s">
        <v>57</v>
      </c>
      <c r="C8">
        <v>2021</v>
      </c>
      <c r="D8">
        <v>8001</v>
      </c>
      <c r="E8">
        <v>1</v>
      </c>
      <c r="F8" t="s">
        <v>58</v>
      </c>
      <c r="G8">
        <v>0</v>
      </c>
      <c r="J8">
        <v>16.41</v>
      </c>
      <c r="L8">
        <v>49142906</v>
      </c>
      <c r="M8" s="1">
        <v>44573</v>
      </c>
      <c r="N8" t="str">
        <f>"O220112AO1"</f>
        <v>O220112AO1</v>
      </c>
      <c r="O8" t="s">
        <v>28</v>
      </c>
      <c r="Q8" t="s">
        <v>29</v>
      </c>
      <c r="R8" t="s">
        <v>28</v>
      </c>
      <c r="S8" t="s">
        <v>58</v>
      </c>
      <c r="T8" t="s">
        <v>59</v>
      </c>
      <c r="U8" t="s">
        <v>60</v>
      </c>
      <c r="V8" t="s">
        <v>60</v>
      </c>
      <c r="W8" t="s">
        <v>61</v>
      </c>
      <c r="X8" t="s">
        <v>34</v>
      </c>
      <c r="Y8" t="str">
        <f>"774859689   "</f>
        <v xml:space="preserve">774859689   </v>
      </c>
    </row>
    <row r="9" spans="1:25" x14ac:dyDescent="0.25">
      <c r="A9" t="s">
        <v>62</v>
      </c>
      <c r="B9" t="s">
        <v>63</v>
      </c>
      <c r="C9">
        <v>2019</v>
      </c>
      <c r="D9">
        <v>8001</v>
      </c>
      <c r="E9">
        <v>2</v>
      </c>
      <c r="F9" t="s">
        <v>64</v>
      </c>
      <c r="G9">
        <v>28317461</v>
      </c>
      <c r="J9">
        <v>247.73</v>
      </c>
      <c r="L9">
        <v>43909356</v>
      </c>
      <c r="M9" s="1">
        <v>43899</v>
      </c>
      <c r="N9" t="str">
        <f>"J200309AW5"</f>
        <v>J200309AW5</v>
      </c>
      <c r="O9" t="s">
        <v>28</v>
      </c>
      <c r="Q9" t="s">
        <v>29</v>
      </c>
      <c r="R9" t="s">
        <v>28</v>
      </c>
      <c r="S9" t="s">
        <v>65</v>
      </c>
      <c r="U9" t="s">
        <v>66</v>
      </c>
      <c r="V9" t="s">
        <v>67</v>
      </c>
      <c r="W9" t="s">
        <v>68</v>
      </c>
      <c r="X9" t="s">
        <v>69</v>
      </c>
      <c r="Y9" t="str">
        <f>"29601"</f>
        <v>29601</v>
      </c>
    </row>
    <row r="10" spans="1:25" x14ac:dyDescent="0.25">
      <c r="A10" t="s">
        <v>70</v>
      </c>
      <c r="B10" t="s">
        <v>71</v>
      </c>
      <c r="C10">
        <v>2021</v>
      </c>
      <c r="D10">
        <v>8001</v>
      </c>
      <c r="E10">
        <v>1</v>
      </c>
      <c r="F10" t="s">
        <v>72</v>
      </c>
      <c r="G10">
        <v>31007930</v>
      </c>
      <c r="J10" s="2">
        <v>3221.52</v>
      </c>
      <c r="L10">
        <v>49219508</v>
      </c>
      <c r="M10" s="1">
        <v>44575</v>
      </c>
      <c r="N10" t="str">
        <f>"RC220221"</f>
        <v>RC220221</v>
      </c>
      <c r="O10" t="s">
        <v>28</v>
      </c>
      <c r="Q10" t="s">
        <v>29</v>
      </c>
      <c r="R10" t="s">
        <v>28</v>
      </c>
      <c r="S10" t="s">
        <v>73</v>
      </c>
      <c r="T10" t="s">
        <v>74</v>
      </c>
      <c r="W10" t="s">
        <v>75</v>
      </c>
      <c r="X10" t="s">
        <v>34</v>
      </c>
      <c r="Y10" t="str">
        <f>"77036-1542"</f>
        <v>77036-1542</v>
      </c>
    </row>
    <row r="11" spans="1:25" x14ac:dyDescent="0.25">
      <c r="A11" t="s">
        <v>76</v>
      </c>
      <c r="B11" t="s">
        <v>77</v>
      </c>
      <c r="C11">
        <v>2021</v>
      </c>
      <c r="D11">
        <v>8001</v>
      </c>
      <c r="E11">
        <v>1</v>
      </c>
      <c r="F11" t="s">
        <v>78</v>
      </c>
      <c r="G11">
        <v>25607113</v>
      </c>
      <c r="J11">
        <v>255.7</v>
      </c>
      <c r="L11">
        <v>47543263</v>
      </c>
      <c r="M11" s="1">
        <v>44516</v>
      </c>
      <c r="N11" t="str">
        <f>"TE211116"</f>
        <v>TE211116</v>
      </c>
      <c r="O11" t="s">
        <v>28</v>
      </c>
      <c r="Q11" t="s">
        <v>29</v>
      </c>
      <c r="R11" t="s">
        <v>28</v>
      </c>
      <c r="S11" t="s">
        <v>79</v>
      </c>
      <c r="T11" t="s">
        <v>80</v>
      </c>
      <c r="W11" t="s">
        <v>81</v>
      </c>
      <c r="X11" t="s">
        <v>34</v>
      </c>
      <c r="Y11" t="str">
        <f>"774069802"</f>
        <v>774069802</v>
      </c>
    </row>
    <row r="12" spans="1:25" x14ac:dyDescent="0.25">
      <c r="A12" t="s">
        <v>82</v>
      </c>
      <c r="B12" t="s">
        <v>83</v>
      </c>
      <c r="C12">
        <v>2019</v>
      </c>
      <c r="D12">
        <v>8001</v>
      </c>
      <c r="E12">
        <v>2</v>
      </c>
      <c r="F12" t="s">
        <v>84</v>
      </c>
      <c r="G12">
        <v>28267645</v>
      </c>
      <c r="J12" s="2">
        <v>4143.6499999999996</v>
      </c>
      <c r="L12">
        <v>44283329</v>
      </c>
      <c r="M12" s="1">
        <v>43987</v>
      </c>
      <c r="N12" t="str">
        <f>"J200605K2"</f>
        <v>J200605K2</v>
      </c>
      <c r="O12" t="s">
        <v>28</v>
      </c>
      <c r="Q12" t="s">
        <v>29</v>
      </c>
      <c r="R12" t="s">
        <v>28</v>
      </c>
      <c r="S12" t="s">
        <v>85</v>
      </c>
      <c r="T12" t="s">
        <v>86</v>
      </c>
      <c r="U12" t="s">
        <v>87</v>
      </c>
      <c r="W12" t="s">
        <v>75</v>
      </c>
      <c r="X12" t="s">
        <v>34</v>
      </c>
      <c r="Y12" t="str">
        <f>"770243829"</f>
        <v>770243829</v>
      </c>
    </row>
    <row r="13" spans="1:25" x14ac:dyDescent="0.25">
      <c r="A13" t="s">
        <v>88</v>
      </c>
      <c r="B13" t="s">
        <v>89</v>
      </c>
      <c r="C13">
        <v>2019</v>
      </c>
      <c r="D13">
        <v>8001</v>
      </c>
      <c r="E13">
        <v>1</v>
      </c>
      <c r="F13" t="s">
        <v>90</v>
      </c>
      <c r="G13">
        <v>0</v>
      </c>
      <c r="J13">
        <v>37.96</v>
      </c>
      <c r="L13">
        <v>44048873</v>
      </c>
      <c r="M13" s="1">
        <v>43930</v>
      </c>
      <c r="N13" t="str">
        <f>"J200409F13"</f>
        <v>J200409F13</v>
      </c>
      <c r="O13" t="s">
        <v>28</v>
      </c>
      <c r="Q13" t="s">
        <v>29</v>
      </c>
      <c r="R13" t="s">
        <v>28</v>
      </c>
      <c r="S13" t="s">
        <v>90</v>
      </c>
      <c r="T13" t="s">
        <v>91</v>
      </c>
      <c r="U13" t="s">
        <v>60</v>
      </c>
      <c r="V13" t="s">
        <v>60</v>
      </c>
      <c r="W13" t="s">
        <v>92</v>
      </c>
      <c r="X13" t="s">
        <v>34</v>
      </c>
      <c r="Y13" t="str">
        <f>"786136856   "</f>
        <v xml:space="preserve">786136856   </v>
      </c>
    </row>
    <row r="14" spans="1:25" x14ac:dyDescent="0.25">
      <c r="A14" t="s">
        <v>93</v>
      </c>
      <c r="B14" t="s">
        <v>94</v>
      </c>
      <c r="C14">
        <v>2019</v>
      </c>
      <c r="D14">
        <v>8001</v>
      </c>
      <c r="E14">
        <v>1</v>
      </c>
      <c r="F14" t="s">
        <v>95</v>
      </c>
      <c r="G14">
        <v>0</v>
      </c>
      <c r="J14">
        <v>24.22</v>
      </c>
      <c r="L14">
        <v>43914998</v>
      </c>
      <c r="M14" s="1">
        <v>43900</v>
      </c>
      <c r="N14" t="str">
        <f>"J200310AW2"</f>
        <v>J200310AW2</v>
      </c>
      <c r="O14" t="s">
        <v>28</v>
      </c>
      <c r="Q14" t="s">
        <v>29</v>
      </c>
      <c r="R14" t="s">
        <v>28</v>
      </c>
      <c r="S14" t="s">
        <v>96</v>
      </c>
      <c r="T14" t="s">
        <v>97</v>
      </c>
      <c r="U14" t="s">
        <v>60</v>
      </c>
      <c r="V14" t="s">
        <v>60</v>
      </c>
      <c r="W14" t="s">
        <v>98</v>
      </c>
      <c r="X14" t="s">
        <v>34</v>
      </c>
      <c r="Y14" t="str">
        <f>"774610609   "</f>
        <v xml:space="preserve">774610609   </v>
      </c>
    </row>
    <row r="15" spans="1:25" x14ac:dyDescent="0.25">
      <c r="A15" t="s">
        <v>99</v>
      </c>
      <c r="B15" t="s">
        <v>100</v>
      </c>
      <c r="C15">
        <v>2019</v>
      </c>
      <c r="D15">
        <v>8001</v>
      </c>
      <c r="E15">
        <v>1</v>
      </c>
      <c r="F15" t="s">
        <v>101</v>
      </c>
      <c r="G15">
        <v>0</v>
      </c>
      <c r="J15">
        <v>11.98</v>
      </c>
      <c r="L15">
        <v>43914999</v>
      </c>
      <c r="M15" s="1">
        <v>43900</v>
      </c>
      <c r="N15" t="str">
        <f>"J200310AW2"</f>
        <v>J200310AW2</v>
      </c>
      <c r="O15" t="s">
        <v>28</v>
      </c>
      <c r="Q15" t="s">
        <v>29</v>
      </c>
      <c r="R15" t="s">
        <v>28</v>
      </c>
      <c r="S15" t="s">
        <v>96</v>
      </c>
      <c r="T15" t="s">
        <v>97</v>
      </c>
      <c r="U15" t="s">
        <v>60</v>
      </c>
      <c r="V15" t="s">
        <v>60</v>
      </c>
      <c r="W15" t="s">
        <v>98</v>
      </c>
      <c r="X15" t="s">
        <v>34</v>
      </c>
      <c r="Y15" t="str">
        <f>"774610609   "</f>
        <v xml:space="preserve">774610609   </v>
      </c>
    </row>
    <row r="16" spans="1:25" x14ac:dyDescent="0.25">
      <c r="A16" t="s">
        <v>102</v>
      </c>
      <c r="B16" t="s">
        <v>103</v>
      </c>
      <c r="C16">
        <v>2021</v>
      </c>
      <c r="D16">
        <v>8001</v>
      </c>
      <c r="E16">
        <v>1</v>
      </c>
      <c r="F16" t="s">
        <v>104</v>
      </c>
      <c r="G16">
        <v>31007931</v>
      </c>
      <c r="J16">
        <v>6.16</v>
      </c>
      <c r="L16">
        <v>49135346</v>
      </c>
      <c r="M16" s="1">
        <v>44573</v>
      </c>
      <c r="N16" t="str">
        <f>"RC220221"</f>
        <v>RC220221</v>
      </c>
      <c r="O16" t="s">
        <v>28</v>
      </c>
      <c r="Q16" t="s">
        <v>29</v>
      </c>
      <c r="R16" t="s">
        <v>28</v>
      </c>
      <c r="S16" t="s">
        <v>105</v>
      </c>
      <c r="T16" t="s">
        <v>106</v>
      </c>
      <c r="W16" t="s">
        <v>107</v>
      </c>
      <c r="X16" t="s">
        <v>34</v>
      </c>
      <c r="Y16" t="str">
        <f>"77449-0000"</f>
        <v>77449-0000</v>
      </c>
    </row>
    <row r="17" spans="1:25" x14ac:dyDescent="0.25">
      <c r="A17" t="s">
        <v>108</v>
      </c>
      <c r="B17" t="s">
        <v>109</v>
      </c>
      <c r="C17">
        <v>2021</v>
      </c>
      <c r="D17">
        <v>8001</v>
      </c>
      <c r="E17">
        <v>1</v>
      </c>
      <c r="F17" t="s">
        <v>110</v>
      </c>
      <c r="G17">
        <v>30496501</v>
      </c>
      <c r="J17" s="2">
        <v>3056.3</v>
      </c>
      <c r="L17">
        <v>49047072</v>
      </c>
      <c r="M17" s="1">
        <v>44571</v>
      </c>
      <c r="N17" t="str">
        <f>"EK220110"</f>
        <v>EK220110</v>
      </c>
      <c r="O17" t="s">
        <v>28</v>
      </c>
      <c r="Q17" t="s">
        <v>29</v>
      </c>
      <c r="R17" t="s">
        <v>28</v>
      </c>
      <c r="S17" t="s">
        <v>110</v>
      </c>
      <c r="T17" t="s">
        <v>111</v>
      </c>
      <c r="W17" t="s">
        <v>112</v>
      </c>
      <c r="X17" t="s">
        <v>34</v>
      </c>
      <c r="Y17" t="str">
        <f>"774781409"</f>
        <v>774781409</v>
      </c>
    </row>
    <row r="18" spans="1:25" x14ac:dyDescent="0.25">
      <c r="A18" t="s">
        <v>113</v>
      </c>
      <c r="B18" t="s">
        <v>114</v>
      </c>
      <c r="C18">
        <v>2020</v>
      </c>
      <c r="D18">
        <v>8001</v>
      </c>
      <c r="E18">
        <v>4</v>
      </c>
      <c r="F18" t="s">
        <v>115</v>
      </c>
      <c r="G18">
        <v>27605521</v>
      </c>
      <c r="J18">
        <v>22.61</v>
      </c>
      <c r="L18">
        <v>47559340</v>
      </c>
      <c r="M18" s="1">
        <v>44375</v>
      </c>
      <c r="N18" t="str">
        <f>"O210628BV9"</f>
        <v>O210628BV9</v>
      </c>
      <c r="O18" t="s">
        <v>28</v>
      </c>
      <c r="Q18" t="s">
        <v>29</v>
      </c>
      <c r="R18" t="s">
        <v>28</v>
      </c>
      <c r="S18" t="s">
        <v>116</v>
      </c>
      <c r="T18" t="s">
        <v>117</v>
      </c>
      <c r="W18" t="s">
        <v>107</v>
      </c>
      <c r="X18" t="s">
        <v>34</v>
      </c>
      <c r="Y18" t="str">
        <f>"774491478"</f>
        <v>774491478</v>
      </c>
    </row>
    <row r="19" spans="1:25" x14ac:dyDescent="0.25">
      <c r="A19" t="s">
        <v>118</v>
      </c>
      <c r="B19" t="s">
        <v>119</v>
      </c>
      <c r="C19">
        <v>2020</v>
      </c>
      <c r="D19">
        <v>8001</v>
      </c>
      <c r="E19">
        <v>1</v>
      </c>
      <c r="F19" t="s">
        <v>120</v>
      </c>
      <c r="G19">
        <v>0</v>
      </c>
      <c r="J19">
        <v>50.17</v>
      </c>
      <c r="L19">
        <v>47251243</v>
      </c>
      <c r="M19" s="1">
        <v>44292</v>
      </c>
      <c r="N19" t="str">
        <f>"J210406K1"</f>
        <v>J210406K1</v>
      </c>
      <c r="O19" t="s">
        <v>28</v>
      </c>
      <c r="Q19" t="s">
        <v>29</v>
      </c>
      <c r="R19" t="s">
        <v>28</v>
      </c>
      <c r="S19" t="s">
        <v>120</v>
      </c>
      <c r="T19" t="s">
        <v>121</v>
      </c>
      <c r="U19" t="s">
        <v>60</v>
      </c>
      <c r="V19" t="s">
        <v>60</v>
      </c>
      <c r="W19" t="s">
        <v>122</v>
      </c>
      <c r="X19" t="s">
        <v>123</v>
      </c>
      <c r="Y19" t="str">
        <f>"463424104   "</f>
        <v xml:space="preserve">463424104   </v>
      </c>
    </row>
    <row r="20" spans="1:25" x14ac:dyDescent="0.25">
      <c r="A20" t="s">
        <v>124</v>
      </c>
      <c r="B20" t="s">
        <v>125</v>
      </c>
      <c r="C20">
        <v>2020</v>
      </c>
      <c r="D20">
        <v>8001</v>
      </c>
      <c r="E20">
        <v>1</v>
      </c>
      <c r="F20" t="s">
        <v>126</v>
      </c>
      <c r="G20">
        <v>28797268</v>
      </c>
      <c r="J20">
        <v>128.13999999999999</v>
      </c>
      <c r="L20">
        <v>44937522</v>
      </c>
      <c r="M20" s="1">
        <v>44154</v>
      </c>
      <c r="N20" t="str">
        <f>"O201119BD1"</f>
        <v>O201119BD1</v>
      </c>
      <c r="O20" t="s">
        <v>28</v>
      </c>
      <c r="Q20" t="s">
        <v>29</v>
      </c>
      <c r="R20" t="s">
        <v>28</v>
      </c>
      <c r="S20" t="s">
        <v>127</v>
      </c>
      <c r="T20" t="s">
        <v>128</v>
      </c>
      <c r="U20" t="s">
        <v>129</v>
      </c>
      <c r="W20" t="s">
        <v>130</v>
      </c>
      <c r="X20" t="s">
        <v>34</v>
      </c>
      <c r="Y20" t="str">
        <f>"761827736"</f>
        <v>761827736</v>
      </c>
    </row>
    <row r="21" spans="1:25" x14ac:dyDescent="0.25">
      <c r="A21" t="s">
        <v>131</v>
      </c>
      <c r="B21" t="s">
        <v>132</v>
      </c>
      <c r="C21">
        <v>2020</v>
      </c>
      <c r="D21">
        <v>8001</v>
      </c>
      <c r="E21">
        <v>3</v>
      </c>
      <c r="F21" t="s">
        <v>133</v>
      </c>
      <c r="G21">
        <v>0</v>
      </c>
      <c r="J21">
        <v>126.18</v>
      </c>
      <c r="L21">
        <v>47388933</v>
      </c>
      <c r="M21" s="1">
        <v>44327</v>
      </c>
      <c r="N21" t="str">
        <f>"EL210511"</f>
        <v>EL210511</v>
      </c>
      <c r="O21" t="s">
        <v>28</v>
      </c>
      <c r="Q21" t="s">
        <v>29</v>
      </c>
      <c r="R21" t="s">
        <v>28</v>
      </c>
      <c r="S21" t="s">
        <v>133</v>
      </c>
      <c r="T21" t="s">
        <v>134</v>
      </c>
      <c r="U21" t="s">
        <v>60</v>
      </c>
      <c r="V21" t="s">
        <v>60</v>
      </c>
      <c r="W21" t="s">
        <v>135</v>
      </c>
      <c r="X21" t="s">
        <v>34</v>
      </c>
      <c r="Y21" t="str">
        <f>"770635609   "</f>
        <v xml:space="preserve">770635609   </v>
      </c>
    </row>
    <row r="22" spans="1:25" x14ac:dyDescent="0.25">
      <c r="A22" t="s">
        <v>136</v>
      </c>
      <c r="B22" t="s">
        <v>137</v>
      </c>
      <c r="C22">
        <v>2021</v>
      </c>
      <c r="D22">
        <v>8001</v>
      </c>
      <c r="E22">
        <v>2</v>
      </c>
      <c r="F22" t="s">
        <v>138</v>
      </c>
      <c r="G22">
        <v>30623234</v>
      </c>
      <c r="J22">
        <v>16.63</v>
      </c>
      <c r="L22">
        <v>49356297</v>
      </c>
      <c r="M22" s="1">
        <v>44581</v>
      </c>
      <c r="N22" t="str">
        <f>"O220120X5"</f>
        <v>O220120X5</v>
      </c>
      <c r="O22" t="s">
        <v>28</v>
      </c>
      <c r="Q22" t="s">
        <v>29</v>
      </c>
      <c r="R22" t="s">
        <v>28</v>
      </c>
      <c r="S22" t="s">
        <v>139</v>
      </c>
      <c r="T22" t="s">
        <v>140</v>
      </c>
      <c r="U22" t="s">
        <v>141</v>
      </c>
      <c r="W22" t="s">
        <v>142</v>
      </c>
      <c r="X22" t="s">
        <v>143</v>
      </c>
      <c r="Y22" t="str">
        <f>"190343204"</f>
        <v>190343204</v>
      </c>
    </row>
    <row r="23" spans="1:25" x14ac:dyDescent="0.25">
      <c r="A23" t="s">
        <v>144</v>
      </c>
      <c r="B23" t="s">
        <v>145</v>
      </c>
      <c r="C23">
        <v>2019</v>
      </c>
      <c r="D23">
        <v>8001</v>
      </c>
      <c r="E23">
        <v>1</v>
      </c>
      <c r="F23" t="s">
        <v>146</v>
      </c>
      <c r="G23">
        <v>28305739</v>
      </c>
      <c r="J23">
        <v>20</v>
      </c>
      <c r="L23">
        <v>43875794</v>
      </c>
      <c r="M23" s="1">
        <v>43894</v>
      </c>
      <c r="N23" t="str">
        <f>"EK200304"</f>
        <v>EK200304</v>
      </c>
      <c r="O23" t="s">
        <v>28</v>
      </c>
      <c r="Q23" t="s">
        <v>29</v>
      </c>
      <c r="R23" t="s">
        <v>28</v>
      </c>
      <c r="S23" t="s">
        <v>147</v>
      </c>
      <c r="T23" t="s">
        <v>148</v>
      </c>
      <c r="W23" t="s">
        <v>75</v>
      </c>
      <c r="X23" t="s">
        <v>34</v>
      </c>
      <c r="Y23" t="str">
        <f>"77085"</f>
        <v>77085</v>
      </c>
    </row>
    <row r="24" spans="1:25" x14ac:dyDescent="0.25">
      <c r="A24" t="s">
        <v>149</v>
      </c>
      <c r="B24" t="s">
        <v>150</v>
      </c>
      <c r="C24">
        <v>2020</v>
      </c>
      <c r="D24">
        <v>8001</v>
      </c>
      <c r="E24">
        <v>1</v>
      </c>
      <c r="F24" t="s">
        <v>151</v>
      </c>
      <c r="G24">
        <v>29596074</v>
      </c>
      <c r="J24">
        <v>22.17</v>
      </c>
      <c r="L24">
        <v>47018843</v>
      </c>
      <c r="M24" s="1">
        <v>44258</v>
      </c>
      <c r="N24" t="str">
        <f>"EK210303"</f>
        <v>EK210303</v>
      </c>
      <c r="O24" t="s">
        <v>28</v>
      </c>
      <c r="Q24" t="s">
        <v>29</v>
      </c>
      <c r="R24" t="s">
        <v>28</v>
      </c>
      <c r="S24" t="s">
        <v>152</v>
      </c>
      <c r="T24" t="s">
        <v>153</v>
      </c>
      <c r="W24" t="s">
        <v>154</v>
      </c>
      <c r="X24" t="s">
        <v>34</v>
      </c>
      <c r="Y24" t="str">
        <f>"77471"</f>
        <v>77471</v>
      </c>
    </row>
    <row r="25" spans="1:25" x14ac:dyDescent="0.25">
      <c r="A25" t="s">
        <v>155</v>
      </c>
      <c r="B25" t="s">
        <v>156</v>
      </c>
      <c r="C25">
        <v>2020</v>
      </c>
      <c r="D25">
        <v>8001</v>
      </c>
      <c r="E25">
        <v>1</v>
      </c>
      <c r="F25" t="s">
        <v>151</v>
      </c>
      <c r="G25">
        <v>29596075</v>
      </c>
      <c r="J25">
        <v>170.51</v>
      </c>
      <c r="L25">
        <v>47018844</v>
      </c>
      <c r="M25" s="1">
        <v>44258</v>
      </c>
      <c r="N25" t="str">
        <f>"EK210303"</f>
        <v>EK210303</v>
      </c>
      <c r="O25" t="s">
        <v>28</v>
      </c>
      <c r="Q25" t="s">
        <v>29</v>
      </c>
      <c r="R25" t="s">
        <v>28</v>
      </c>
      <c r="S25" t="s">
        <v>152</v>
      </c>
      <c r="T25" t="s">
        <v>153</v>
      </c>
      <c r="W25" t="s">
        <v>154</v>
      </c>
      <c r="X25" t="s">
        <v>34</v>
      </c>
      <c r="Y25" t="str">
        <f>"77471"</f>
        <v>77471</v>
      </c>
    </row>
    <row r="26" spans="1:25" x14ac:dyDescent="0.25">
      <c r="A26" t="s">
        <v>157</v>
      </c>
      <c r="B26" t="s">
        <v>158</v>
      </c>
      <c r="C26">
        <v>2019</v>
      </c>
      <c r="D26">
        <v>8001</v>
      </c>
      <c r="E26">
        <v>1</v>
      </c>
      <c r="F26" t="s">
        <v>159</v>
      </c>
      <c r="G26">
        <v>0</v>
      </c>
      <c r="J26">
        <v>19.36</v>
      </c>
      <c r="L26">
        <v>43130264</v>
      </c>
      <c r="M26" s="1">
        <v>43854</v>
      </c>
      <c r="N26" t="str">
        <f>"J200124K1"</f>
        <v>J200124K1</v>
      </c>
      <c r="O26" t="s">
        <v>28</v>
      </c>
      <c r="Q26" t="s">
        <v>29</v>
      </c>
      <c r="R26" t="s">
        <v>28</v>
      </c>
      <c r="S26" t="s">
        <v>159</v>
      </c>
      <c r="T26" t="s">
        <v>160</v>
      </c>
      <c r="U26" t="s">
        <v>60</v>
      </c>
      <c r="V26" t="s">
        <v>60</v>
      </c>
      <c r="W26" t="s">
        <v>161</v>
      </c>
      <c r="X26" t="s">
        <v>162</v>
      </c>
      <c r="Y26" t="str">
        <f>"076662827   "</f>
        <v xml:space="preserve">076662827   </v>
      </c>
    </row>
    <row r="27" spans="1:25" x14ac:dyDescent="0.25">
      <c r="A27" t="s">
        <v>163</v>
      </c>
      <c r="B27" t="s">
        <v>164</v>
      </c>
      <c r="C27">
        <v>2019</v>
      </c>
      <c r="D27">
        <v>8001</v>
      </c>
      <c r="E27">
        <v>7</v>
      </c>
      <c r="F27" t="s">
        <v>165</v>
      </c>
      <c r="G27">
        <v>27510933</v>
      </c>
      <c r="J27" s="2">
        <v>2958.49</v>
      </c>
      <c r="L27">
        <v>43669157</v>
      </c>
      <c r="M27" s="1">
        <v>43868</v>
      </c>
      <c r="N27" t="str">
        <f>"P200207F1"</f>
        <v>P200207F1</v>
      </c>
      <c r="O27" t="s">
        <v>28</v>
      </c>
      <c r="Q27" t="s">
        <v>29</v>
      </c>
      <c r="R27" t="s">
        <v>28</v>
      </c>
      <c r="S27" t="s">
        <v>166</v>
      </c>
      <c r="T27" t="s">
        <v>167</v>
      </c>
      <c r="W27" t="s">
        <v>168</v>
      </c>
      <c r="X27" t="s">
        <v>169</v>
      </c>
      <c r="Y27" t="str">
        <f>"801112940"</f>
        <v>801112940</v>
      </c>
    </row>
    <row r="28" spans="1:25" x14ac:dyDescent="0.25">
      <c r="A28" t="s">
        <v>170</v>
      </c>
      <c r="B28" t="s">
        <v>171</v>
      </c>
      <c r="C28">
        <v>2019</v>
      </c>
      <c r="D28">
        <v>8001</v>
      </c>
      <c r="E28">
        <v>2</v>
      </c>
      <c r="F28" t="s">
        <v>172</v>
      </c>
      <c r="G28">
        <v>27366742</v>
      </c>
      <c r="J28">
        <v>11.13</v>
      </c>
      <c r="L28">
        <v>42656492</v>
      </c>
      <c r="M28" s="1">
        <v>43836</v>
      </c>
      <c r="N28" t="str">
        <f>"J200106AW4"</f>
        <v>J200106AW4</v>
      </c>
      <c r="O28" t="s">
        <v>28</v>
      </c>
      <c r="Q28" t="s">
        <v>29</v>
      </c>
      <c r="R28" t="s">
        <v>28</v>
      </c>
      <c r="S28" t="s">
        <v>173</v>
      </c>
      <c r="T28" t="s">
        <v>174</v>
      </c>
      <c r="W28" t="s">
        <v>75</v>
      </c>
      <c r="X28" t="s">
        <v>34</v>
      </c>
      <c r="Y28" t="str">
        <f>"770273051"</f>
        <v>770273051</v>
      </c>
    </row>
    <row r="29" spans="1:25" x14ac:dyDescent="0.25">
      <c r="A29" t="s">
        <v>175</v>
      </c>
      <c r="B29" t="s">
        <v>176</v>
      </c>
      <c r="C29">
        <v>2019</v>
      </c>
      <c r="D29">
        <v>8001</v>
      </c>
      <c r="E29">
        <v>1</v>
      </c>
      <c r="F29" t="s">
        <v>177</v>
      </c>
      <c r="G29">
        <v>27426072</v>
      </c>
      <c r="J29">
        <v>140.22</v>
      </c>
      <c r="L29">
        <v>43864365</v>
      </c>
      <c r="M29" s="1">
        <v>43893</v>
      </c>
      <c r="N29" t="str">
        <f>"J200303K2"</f>
        <v>J200303K2</v>
      </c>
      <c r="O29" t="s">
        <v>28</v>
      </c>
      <c r="Q29" t="s">
        <v>29</v>
      </c>
      <c r="R29" t="s">
        <v>28</v>
      </c>
      <c r="S29" t="s">
        <v>178</v>
      </c>
      <c r="T29" t="s">
        <v>179</v>
      </c>
      <c r="U29" t="s">
        <v>180</v>
      </c>
      <c r="W29" t="s">
        <v>107</v>
      </c>
      <c r="X29" t="s">
        <v>34</v>
      </c>
      <c r="Y29" t="str">
        <f>"774943095"</f>
        <v>774943095</v>
      </c>
    </row>
    <row r="30" spans="1:25" x14ac:dyDescent="0.25">
      <c r="A30" t="s">
        <v>181</v>
      </c>
      <c r="B30" t="s">
        <v>182</v>
      </c>
      <c r="C30">
        <v>2019</v>
      </c>
      <c r="D30">
        <v>8001</v>
      </c>
      <c r="E30">
        <v>1</v>
      </c>
      <c r="F30" t="s">
        <v>177</v>
      </c>
      <c r="G30">
        <v>27426072</v>
      </c>
      <c r="J30">
        <v>26.31</v>
      </c>
      <c r="L30">
        <v>43864366</v>
      </c>
      <c r="M30" s="1">
        <v>43893</v>
      </c>
      <c r="N30" t="str">
        <f>"J200303K2"</f>
        <v>J200303K2</v>
      </c>
      <c r="O30" t="s">
        <v>28</v>
      </c>
      <c r="Q30" t="s">
        <v>29</v>
      </c>
      <c r="R30" t="s">
        <v>28</v>
      </c>
      <c r="S30" t="s">
        <v>178</v>
      </c>
      <c r="T30" t="s">
        <v>179</v>
      </c>
      <c r="U30" t="s">
        <v>180</v>
      </c>
      <c r="W30" t="s">
        <v>107</v>
      </c>
      <c r="X30" t="s">
        <v>34</v>
      </c>
      <c r="Y30" t="str">
        <f>"774943095"</f>
        <v>774943095</v>
      </c>
    </row>
    <row r="31" spans="1:25" x14ac:dyDescent="0.25">
      <c r="A31" t="s">
        <v>183</v>
      </c>
      <c r="B31" t="s">
        <v>184</v>
      </c>
      <c r="C31">
        <v>2019</v>
      </c>
      <c r="D31">
        <v>8001</v>
      </c>
      <c r="E31">
        <v>1</v>
      </c>
      <c r="F31" t="s">
        <v>185</v>
      </c>
      <c r="G31">
        <v>28305684</v>
      </c>
      <c r="J31">
        <v>128.69999999999999</v>
      </c>
      <c r="L31">
        <v>43875739</v>
      </c>
      <c r="M31" s="1">
        <v>43894</v>
      </c>
      <c r="N31" t="str">
        <f>"EK200304"</f>
        <v>EK200304</v>
      </c>
      <c r="O31" t="s">
        <v>28</v>
      </c>
      <c r="Q31" t="s">
        <v>29</v>
      </c>
      <c r="R31" t="s">
        <v>28</v>
      </c>
      <c r="S31" t="s">
        <v>186</v>
      </c>
      <c r="T31" t="s">
        <v>187</v>
      </c>
      <c r="W31" t="s">
        <v>40</v>
      </c>
      <c r="X31" t="s">
        <v>34</v>
      </c>
      <c r="Y31" t="str">
        <f>"77479"</f>
        <v>77479</v>
      </c>
    </row>
    <row r="32" spans="1:25" x14ac:dyDescent="0.25">
      <c r="A32" t="s">
        <v>188</v>
      </c>
      <c r="B32" t="s">
        <v>189</v>
      </c>
      <c r="C32">
        <v>2020</v>
      </c>
      <c r="D32">
        <v>8001</v>
      </c>
      <c r="E32">
        <v>2</v>
      </c>
      <c r="F32" t="s">
        <v>190</v>
      </c>
      <c r="G32">
        <v>28969613</v>
      </c>
      <c r="J32">
        <v>10.210000000000001</v>
      </c>
      <c r="L32">
        <v>45490038</v>
      </c>
      <c r="M32" s="1">
        <v>44194</v>
      </c>
      <c r="N32" t="str">
        <f>"CC201229"</f>
        <v>CC201229</v>
      </c>
      <c r="O32" t="s">
        <v>28</v>
      </c>
      <c r="Q32" t="s">
        <v>29</v>
      </c>
      <c r="R32" t="s">
        <v>28</v>
      </c>
      <c r="S32" t="s">
        <v>191</v>
      </c>
      <c r="T32" t="s">
        <v>192</v>
      </c>
      <c r="W32" t="s">
        <v>193</v>
      </c>
      <c r="X32" t="s">
        <v>34</v>
      </c>
      <c r="Y32" t="str">
        <f>"77441"</f>
        <v>77441</v>
      </c>
    </row>
    <row r="33" spans="1:25" x14ac:dyDescent="0.25">
      <c r="A33" t="s">
        <v>194</v>
      </c>
      <c r="B33" t="s">
        <v>195</v>
      </c>
      <c r="C33">
        <v>2020</v>
      </c>
      <c r="D33">
        <v>8001</v>
      </c>
      <c r="E33">
        <v>2</v>
      </c>
      <c r="F33" t="s">
        <v>196</v>
      </c>
      <c r="G33">
        <v>0</v>
      </c>
      <c r="J33">
        <v>311.72000000000003</v>
      </c>
      <c r="L33">
        <v>45096263</v>
      </c>
      <c r="M33" s="1">
        <v>44168</v>
      </c>
      <c r="N33" t="str">
        <f>"L201203A"</f>
        <v>L201203A</v>
      </c>
      <c r="O33" t="s">
        <v>28</v>
      </c>
      <c r="Q33" t="s">
        <v>29</v>
      </c>
      <c r="R33" t="s">
        <v>28</v>
      </c>
      <c r="S33" t="s">
        <v>196</v>
      </c>
      <c r="T33" t="s">
        <v>197</v>
      </c>
      <c r="U33" t="s">
        <v>60</v>
      </c>
      <c r="V33" t="s">
        <v>60</v>
      </c>
      <c r="W33" t="s">
        <v>198</v>
      </c>
      <c r="X33" t="s">
        <v>34</v>
      </c>
      <c r="Y33" t="str">
        <f>"752524931   "</f>
        <v xml:space="preserve">752524931   </v>
      </c>
    </row>
    <row r="34" spans="1:25" x14ac:dyDescent="0.25">
      <c r="A34" t="s">
        <v>199</v>
      </c>
      <c r="B34" t="s">
        <v>200</v>
      </c>
      <c r="C34">
        <v>2020</v>
      </c>
      <c r="D34">
        <v>8001</v>
      </c>
      <c r="E34">
        <v>1</v>
      </c>
      <c r="F34" t="s">
        <v>201</v>
      </c>
      <c r="G34">
        <v>28746954</v>
      </c>
      <c r="J34">
        <v>22.76</v>
      </c>
      <c r="L34">
        <v>46754684</v>
      </c>
      <c r="M34" s="1">
        <v>44231</v>
      </c>
      <c r="N34" t="str">
        <f>"RC210301"</f>
        <v>RC210301</v>
      </c>
      <c r="O34" t="s">
        <v>28</v>
      </c>
      <c r="Q34" t="s">
        <v>29</v>
      </c>
      <c r="R34" t="s">
        <v>28</v>
      </c>
      <c r="S34" t="s">
        <v>202</v>
      </c>
      <c r="T34" t="s">
        <v>203</v>
      </c>
      <c r="U34" t="s">
        <v>204</v>
      </c>
      <c r="V34">
        <v>100</v>
      </c>
      <c r="W34" t="s">
        <v>193</v>
      </c>
      <c r="X34" t="s">
        <v>34</v>
      </c>
      <c r="Y34" t="str">
        <f>"774412234"</f>
        <v>774412234</v>
      </c>
    </row>
    <row r="35" spans="1:25" x14ac:dyDescent="0.25">
      <c r="A35" t="s">
        <v>205</v>
      </c>
      <c r="B35" t="s">
        <v>206</v>
      </c>
      <c r="C35">
        <v>2020</v>
      </c>
      <c r="D35">
        <v>8001</v>
      </c>
      <c r="E35">
        <v>1</v>
      </c>
      <c r="F35" t="s">
        <v>207</v>
      </c>
      <c r="G35">
        <v>29914574</v>
      </c>
      <c r="J35">
        <v>247.39</v>
      </c>
      <c r="L35">
        <v>47594758</v>
      </c>
      <c r="M35" s="1">
        <v>44386</v>
      </c>
      <c r="N35" t="str">
        <f>"RC210712"</f>
        <v>RC210712</v>
      </c>
      <c r="O35" t="s">
        <v>28</v>
      </c>
      <c r="Q35" t="s">
        <v>29</v>
      </c>
      <c r="R35" t="s">
        <v>28</v>
      </c>
      <c r="S35" t="s">
        <v>208</v>
      </c>
      <c r="T35" t="s">
        <v>209</v>
      </c>
      <c r="W35" t="s">
        <v>75</v>
      </c>
      <c r="X35" t="s">
        <v>34</v>
      </c>
      <c r="Y35" t="str">
        <f>"77023"</f>
        <v>77023</v>
      </c>
    </row>
    <row r="36" spans="1:25" x14ac:dyDescent="0.25">
      <c r="A36" t="s">
        <v>210</v>
      </c>
      <c r="B36" t="s">
        <v>211</v>
      </c>
      <c r="C36">
        <v>2019</v>
      </c>
      <c r="D36">
        <v>8001</v>
      </c>
      <c r="E36">
        <v>1</v>
      </c>
      <c r="F36" t="s">
        <v>212</v>
      </c>
      <c r="G36">
        <v>0</v>
      </c>
      <c r="J36">
        <v>360.61</v>
      </c>
      <c r="L36">
        <v>42618533</v>
      </c>
      <c r="M36" s="1">
        <v>43833</v>
      </c>
      <c r="N36" t="str">
        <f>"L200103"</f>
        <v>L200103</v>
      </c>
      <c r="O36" t="s">
        <v>28</v>
      </c>
      <c r="Q36" t="s">
        <v>29</v>
      </c>
      <c r="R36" t="s">
        <v>28</v>
      </c>
      <c r="S36" t="s">
        <v>212</v>
      </c>
      <c r="T36" t="s">
        <v>213</v>
      </c>
      <c r="U36" t="s">
        <v>60</v>
      </c>
      <c r="V36" t="s">
        <v>60</v>
      </c>
      <c r="W36" t="s">
        <v>214</v>
      </c>
      <c r="X36" t="s">
        <v>34</v>
      </c>
      <c r="Y36" t="str">
        <f>"774064605   "</f>
        <v xml:space="preserve">774064605   </v>
      </c>
    </row>
    <row r="37" spans="1:25" x14ac:dyDescent="0.25">
      <c r="A37" t="s">
        <v>215</v>
      </c>
      <c r="B37" t="s">
        <v>216</v>
      </c>
      <c r="C37">
        <v>2020</v>
      </c>
      <c r="D37">
        <v>8001</v>
      </c>
      <c r="E37">
        <v>1</v>
      </c>
      <c r="F37" t="s">
        <v>217</v>
      </c>
      <c r="G37">
        <v>0</v>
      </c>
      <c r="J37">
        <v>429.7</v>
      </c>
      <c r="L37">
        <v>46396821</v>
      </c>
      <c r="M37" s="1">
        <v>44223</v>
      </c>
      <c r="N37" t="str">
        <f>"L210127"</f>
        <v>L210127</v>
      </c>
      <c r="O37" t="s">
        <v>28</v>
      </c>
      <c r="Q37" t="s">
        <v>29</v>
      </c>
      <c r="R37" t="s">
        <v>28</v>
      </c>
      <c r="S37" t="s">
        <v>217</v>
      </c>
      <c r="T37" t="s">
        <v>218</v>
      </c>
      <c r="U37" t="s">
        <v>60</v>
      </c>
      <c r="V37" t="s">
        <v>60</v>
      </c>
      <c r="W37" t="s">
        <v>219</v>
      </c>
      <c r="X37" t="s">
        <v>34</v>
      </c>
      <c r="Y37" t="str">
        <f>"774783232   "</f>
        <v xml:space="preserve">774783232   </v>
      </c>
    </row>
    <row r="38" spans="1:25" x14ac:dyDescent="0.25">
      <c r="A38" t="s">
        <v>220</v>
      </c>
      <c r="B38" t="s">
        <v>221</v>
      </c>
      <c r="C38">
        <v>2019</v>
      </c>
      <c r="D38">
        <v>8001</v>
      </c>
      <c r="E38">
        <v>1</v>
      </c>
      <c r="F38" t="s">
        <v>222</v>
      </c>
      <c r="G38">
        <v>28394492</v>
      </c>
      <c r="J38">
        <v>5.55</v>
      </c>
      <c r="L38">
        <v>44049075</v>
      </c>
      <c r="M38" s="1">
        <v>43930</v>
      </c>
      <c r="N38" t="str">
        <f>"RC200414"</f>
        <v>RC200414</v>
      </c>
      <c r="O38" t="s">
        <v>28</v>
      </c>
      <c r="Q38" t="s">
        <v>29</v>
      </c>
      <c r="R38" t="s">
        <v>28</v>
      </c>
      <c r="S38" t="s">
        <v>223</v>
      </c>
      <c r="T38" t="s">
        <v>224</v>
      </c>
      <c r="U38" t="s">
        <v>225</v>
      </c>
      <c r="W38" t="s">
        <v>226</v>
      </c>
      <c r="X38" t="s">
        <v>227</v>
      </c>
      <c r="Y38" t="str">
        <f>"852541720"</f>
        <v>852541720</v>
      </c>
    </row>
    <row r="39" spans="1:25" x14ac:dyDescent="0.25">
      <c r="A39" t="s">
        <v>228</v>
      </c>
      <c r="B39" t="s">
        <v>229</v>
      </c>
      <c r="C39">
        <v>2020</v>
      </c>
      <c r="D39">
        <v>8001</v>
      </c>
      <c r="E39">
        <v>1</v>
      </c>
      <c r="F39" t="s">
        <v>230</v>
      </c>
      <c r="G39">
        <v>27842564</v>
      </c>
      <c r="J39" s="2">
        <v>3746.85</v>
      </c>
      <c r="L39">
        <v>45029772</v>
      </c>
      <c r="M39" s="1">
        <v>44166</v>
      </c>
      <c r="N39" t="str">
        <f>"O201201AB1"</f>
        <v>O201201AB1</v>
      </c>
      <c r="O39" t="s">
        <v>28</v>
      </c>
      <c r="Q39" t="s">
        <v>29</v>
      </c>
      <c r="R39" t="s">
        <v>28</v>
      </c>
      <c r="S39" t="s">
        <v>231</v>
      </c>
      <c r="T39" t="s">
        <v>203</v>
      </c>
      <c r="U39" t="s">
        <v>232</v>
      </c>
      <c r="W39" t="s">
        <v>233</v>
      </c>
      <c r="X39" t="s">
        <v>34</v>
      </c>
      <c r="Y39" t="str">
        <f>"76092"</f>
        <v>76092</v>
      </c>
    </row>
    <row r="40" spans="1:25" x14ac:dyDescent="0.25">
      <c r="A40" t="s">
        <v>234</v>
      </c>
      <c r="B40" t="s">
        <v>235</v>
      </c>
      <c r="C40">
        <v>2020</v>
      </c>
      <c r="D40">
        <v>8001</v>
      </c>
      <c r="E40">
        <v>3</v>
      </c>
      <c r="F40" t="s">
        <v>236</v>
      </c>
      <c r="G40">
        <v>29766015</v>
      </c>
      <c r="J40">
        <v>43.1</v>
      </c>
      <c r="L40">
        <v>47297400</v>
      </c>
      <c r="M40" s="1">
        <v>44301</v>
      </c>
      <c r="N40" t="str">
        <f>"RC210425"</f>
        <v>RC210425</v>
      </c>
      <c r="O40" t="s">
        <v>28</v>
      </c>
      <c r="Q40" t="s">
        <v>29</v>
      </c>
      <c r="R40" t="s">
        <v>28</v>
      </c>
      <c r="S40" t="s">
        <v>237</v>
      </c>
      <c r="T40" t="s">
        <v>238</v>
      </c>
      <c r="W40" t="s">
        <v>75</v>
      </c>
      <c r="X40" t="s">
        <v>34</v>
      </c>
      <c r="Y40" t="str">
        <f>"770166412"</f>
        <v>770166412</v>
      </c>
    </row>
    <row r="41" spans="1:25" x14ac:dyDescent="0.25">
      <c r="A41" t="s">
        <v>239</v>
      </c>
      <c r="B41" t="s">
        <v>240</v>
      </c>
      <c r="C41">
        <v>2021</v>
      </c>
      <c r="D41">
        <v>8001</v>
      </c>
      <c r="E41">
        <v>1</v>
      </c>
      <c r="F41" t="s">
        <v>241</v>
      </c>
      <c r="G41">
        <v>29978122</v>
      </c>
      <c r="J41">
        <v>109.14</v>
      </c>
      <c r="L41">
        <v>49953256</v>
      </c>
      <c r="M41" s="1">
        <v>44595</v>
      </c>
      <c r="N41" t="str">
        <f>"RC220314"</f>
        <v>RC220314</v>
      </c>
      <c r="O41" t="s">
        <v>28</v>
      </c>
      <c r="Q41" t="s">
        <v>29</v>
      </c>
      <c r="R41" t="s">
        <v>28</v>
      </c>
      <c r="S41" t="s">
        <v>242</v>
      </c>
      <c r="T41" t="s">
        <v>243</v>
      </c>
      <c r="W41" t="s">
        <v>244</v>
      </c>
      <c r="X41" t="s">
        <v>245</v>
      </c>
      <c r="Y41" t="str">
        <f>"482263573"</f>
        <v>482263573</v>
      </c>
    </row>
    <row r="42" spans="1:25" x14ac:dyDescent="0.25">
      <c r="A42" t="s">
        <v>246</v>
      </c>
      <c r="B42" t="s">
        <v>247</v>
      </c>
      <c r="C42">
        <v>2020</v>
      </c>
      <c r="D42">
        <v>8001</v>
      </c>
      <c r="E42">
        <v>2</v>
      </c>
      <c r="F42" t="s">
        <v>248</v>
      </c>
      <c r="G42">
        <v>26573077</v>
      </c>
      <c r="J42">
        <v>110.5</v>
      </c>
      <c r="L42">
        <v>47026254</v>
      </c>
      <c r="M42" s="1">
        <v>44258</v>
      </c>
      <c r="N42" t="str">
        <f>"RC210310"</f>
        <v>RC210310</v>
      </c>
      <c r="O42" t="s">
        <v>28</v>
      </c>
      <c r="Q42" t="s">
        <v>29</v>
      </c>
      <c r="R42" t="s">
        <v>28</v>
      </c>
      <c r="S42" t="s">
        <v>249</v>
      </c>
      <c r="T42" t="s">
        <v>250</v>
      </c>
      <c r="W42" t="s">
        <v>75</v>
      </c>
      <c r="X42" t="s">
        <v>34</v>
      </c>
      <c r="Y42" t="str">
        <f>"770211544"</f>
        <v>770211544</v>
      </c>
    </row>
    <row r="43" spans="1:25" x14ac:dyDescent="0.25">
      <c r="A43" t="s">
        <v>251</v>
      </c>
      <c r="B43" t="s">
        <v>252</v>
      </c>
      <c r="C43">
        <v>2020</v>
      </c>
      <c r="D43">
        <v>8001</v>
      </c>
      <c r="E43">
        <v>1</v>
      </c>
      <c r="F43" t="s">
        <v>253</v>
      </c>
      <c r="G43">
        <v>27999688</v>
      </c>
      <c r="J43">
        <v>8.51</v>
      </c>
      <c r="L43">
        <v>43708504</v>
      </c>
      <c r="M43" s="1">
        <v>44147</v>
      </c>
      <c r="N43" t="str">
        <f>"TE201112"</f>
        <v>TE201112</v>
      </c>
      <c r="O43" t="s">
        <v>28</v>
      </c>
      <c r="Q43" t="s">
        <v>29</v>
      </c>
      <c r="R43" t="s">
        <v>28</v>
      </c>
      <c r="S43" t="s">
        <v>254</v>
      </c>
      <c r="T43" t="s">
        <v>255</v>
      </c>
      <c r="U43" t="s">
        <v>256</v>
      </c>
      <c r="W43" t="s">
        <v>81</v>
      </c>
      <c r="X43" t="s">
        <v>34</v>
      </c>
      <c r="Y43" t="str">
        <f>"774064652"</f>
        <v>774064652</v>
      </c>
    </row>
    <row r="44" spans="1:25" x14ac:dyDescent="0.25">
      <c r="A44" t="s">
        <v>257</v>
      </c>
      <c r="B44" t="s">
        <v>258</v>
      </c>
      <c r="C44">
        <v>2020</v>
      </c>
      <c r="D44">
        <v>8001</v>
      </c>
      <c r="E44">
        <v>3</v>
      </c>
      <c r="F44" t="s">
        <v>259</v>
      </c>
      <c r="G44">
        <v>0</v>
      </c>
      <c r="J44">
        <v>1.73</v>
      </c>
      <c r="L44">
        <v>47080586</v>
      </c>
      <c r="M44" s="1">
        <v>44292</v>
      </c>
      <c r="N44" t="str">
        <f>"T210406BI1"</f>
        <v>T210406BI1</v>
      </c>
      <c r="O44" t="s">
        <v>260</v>
      </c>
      <c r="Q44" t="s">
        <v>29</v>
      </c>
      <c r="R44" t="s">
        <v>28</v>
      </c>
      <c r="S44" t="s">
        <v>259</v>
      </c>
      <c r="T44" t="s">
        <v>261</v>
      </c>
      <c r="U44" t="s">
        <v>262</v>
      </c>
      <c r="V44" t="s">
        <v>60</v>
      </c>
      <c r="W44" t="s">
        <v>263</v>
      </c>
      <c r="X44" t="s">
        <v>264</v>
      </c>
      <c r="Y44" t="str">
        <f>"631012065   "</f>
        <v xml:space="preserve">631012065   </v>
      </c>
    </row>
    <row r="45" spans="1:25" x14ac:dyDescent="0.25">
      <c r="A45" t="s">
        <v>265</v>
      </c>
      <c r="B45" t="s">
        <v>266</v>
      </c>
      <c r="C45">
        <v>2020</v>
      </c>
      <c r="D45">
        <v>8001</v>
      </c>
      <c r="E45">
        <v>3</v>
      </c>
      <c r="F45" t="s">
        <v>259</v>
      </c>
      <c r="G45">
        <v>0</v>
      </c>
      <c r="J45">
        <v>6.27</v>
      </c>
      <c r="L45">
        <v>47080583</v>
      </c>
      <c r="M45" s="1">
        <v>44292</v>
      </c>
      <c r="N45" t="str">
        <f>"T210406BI1"</f>
        <v>T210406BI1</v>
      </c>
      <c r="O45" t="s">
        <v>260</v>
      </c>
      <c r="Q45" t="s">
        <v>29</v>
      </c>
      <c r="R45" t="s">
        <v>28</v>
      </c>
      <c r="S45" t="s">
        <v>259</v>
      </c>
      <c r="T45" t="s">
        <v>261</v>
      </c>
      <c r="U45" t="s">
        <v>262</v>
      </c>
      <c r="V45" t="s">
        <v>60</v>
      </c>
      <c r="W45" t="s">
        <v>263</v>
      </c>
      <c r="X45" t="s">
        <v>264</v>
      </c>
      <c r="Y45" t="str">
        <f>"631012065   "</f>
        <v xml:space="preserve">631012065   </v>
      </c>
    </row>
    <row r="46" spans="1:25" x14ac:dyDescent="0.25">
      <c r="A46" t="s">
        <v>267</v>
      </c>
      <c r="B46" t="s">
        <v>268</v>
      </c>
      <c r="C46">
        <v>2020</v>
      </c>
      <c r="D46">
        <v>8001</v>
      </c>
      <c r="E46">
        <v>3</v>
      </c>
      <c r="F46" t="s">
        <v>259</v>
      </c>
      <c r="G46">
        <v>0</v>
      </c>
      <c r="J46">
        <v>6.27</v>
      </c>
      <c r="L46">
        <v>47080584</v>
      </c>
      <c r="M46" s="1">
        <v>44292</v>
      </c>
      <c r="N46" t="str">
        <f>"T210406BI1"</f>
        <v>T210406BI1</v>
      </c>
      <c r="O46" t="s">
        <v>260</v>
      </c>
      <c r="Q46" t="s">
        <v>29</v>
      </c>
      <c r="R46" t="s">
        <v>28</v>
      </c>
      <c r="S46" t="s">
        <v>259</v>
      </c>
      <c r="T46" t="s">
        <v>261</v>
      </c>
      <c r="U46" t="s">
        <v>262</v>
      </c>
      <c r="V46" t="s">
        <v>60</v>
      </c>
      <c r="W46" t="s">
        <v>263</v>
      </c>
      <c r="X46" t="s">
        <v>264</v>
      </c>
      <c r="Y46" t="str">
        <f>"631012065   "</f>
        <v xml:space="preserve">631012065   </v>
      </c>
    </row>
    <row r="47" spans="1:25" x14ac:dyDescent="0.25">
      <c r="A47" t="s">
        <v>269</v>
      </c>
      <c r="B47" t="s">
        <v>270</v>
      </c>
      <c r="C47">
        <v>2019</v>
      </c>
      <c r="D47">
        <v>8001</v>
      </c>
      <c r="E47">
        <v>6</v>
      </c>
      <c r="F47" t="s">
        <v>271</v>
      </c>
      <c r="G47">
        <v>0</v>
      </c>
      <c r="J47">
        <v>18.34</v>
      </c>
      <c r="L47">
        <v>44050476</v>
      </c>
      <c r="M47" s="1">
        <v>43930</v>
      </c>
      <c r="N47" t="str">
        <f>"J200409F20"</f>
        <v>J200409F20</v>
      </c>
      <c r="O47" t="s">
        <v>28</v>
      </c>
      <c r="Q47" t="s">
        <v>29</v>
      </c>
      <c r="R47" t="s">
        <v>28</v>
      </c>
      <c r="S47" t="s">
        <v>271</v>
      </c>
      <c r="T47" t="s">
        <v>272</v>
      </c>
      <c r="U47" t="s">
        <v>60</v>
      </c>
      <c r="V47" t="s">
        <v>60</v>
      </c>
      <c r="W47" t="s">
        <v>273</v>
      </c>
      <c r="X47" t="s">
        <v>34</v>
      </c>
      <c r="Y47" t="str">
        <f>"774410216   "</f>
        <v xml:space="preserve">774410216   </v>
      </c>
    </row>
    <row r="48" spans="1:25" x14ac:dyDescent="0.25">
      <c r="A48" t="s">
        <v>274</v>
      </c>
      <c r="B48" t="s">
        <v>275</v>
      </c>
      <c r="C48">
        <v>2019</v>
      </c>
      <c r="D48">
        <v>8001</v>
      </c>
      <c r="E48">
        <v>1</v>
      </c>
      <c r="F48" t="s">
        <v>276</v>
      </c>
      <c r="G48">
        <v>22473380</v>
      </c>
      <c r="J48">
        <v>73.430000000000007</v>
      </c>
      <c r="L48">
        <v>43860607</v>
      </c>
      <c r="M48" s="1">
        <v>43893</v>
      </c>
      <c r="N48" t="str">
        <f>"O200303AB1"</f>
        <v>O200303AB1</v>
      </c>
      <c r="O48" t="s">
        <v>28</v>
      </c>
      <c r="Q48" t="s">
        <v>29</v>
      </c>
      <c r="R48" t="s">
        <v>28</v>
      </c>
      <c r="S48" t="s">
        <v>277</v>
      </c>
      <c r="T48" t="s">
        <v>278</v>
      </c>
      <c r="W48" t="s">
        <v>81</v>
      </c>
      <c r="X48" t="s">
        <v>34</v>
      </c>
      <c r="Y48" t="str">
        <f>"774060129"</f>
        <v>774060129</v>
      </c>
    </row>
    <row r="49" spans="1:25" x14ac:dyDescent="0.25">
      <c r="A49" t="s">
        <v>279</v>
      </c>
      <c r="B49" t="s">
        <v>280</v>
      </c>
      <c r="C49">
        <v>2019</v>
      </c>
      <c r="D49">
        <v>8001</v>
      </c>
      <c r="E49">
        <v>1</v>
      </c>
      <c r="F49" t="s">
        <v>281</v>
      </c>
      <c r="G49">
        <v>22473380</v>
      </c>
      <c r="J49">
        <v>88.34</v>
      </c>
      <c r="L49">
        <v>43860599</v>
      </c>
      <c r="M49" s="1">
        <v>43893</v>
      </c>
      <c r="N49" t="str">
        <f>"O200303AB1"</f>
        <v>O200303AB1</v>
      </c>
      <c r="O49" t="s">
        <v>28</v>
      </c>
      <c r="Q49" t="s">
        <v>29</v>
      </c>
      <c r="R49" t="s">
        <v>28</v>
      </c>
      <c r="S49" t="s">
        <v>277</v>
      </c>
      <c r="T49" t="s">
        <v>278</v>
      </c>
      <c r="W49" t="s">
        <v>81</v>
      </c>
      <c r="X49" t="s">
        <v>34</v>
      </c>
      <c r="Y49" t="str">
        <f>"774060129"</f>
        <v>774060129</v>
      </c>
    </row>
    <row r="50" spans="1:25" x14ac:dyDescent="0.25">
      <c r="A50" t="s">
        <v>282</v>
      </c>
      <c r="B50" t="s">
        <v>283</v>
      </c>
      <c r="C50">
        <v>2020</v>
      </c>
      <c r="D50">
        <v>8001</v>
      </c>
      <c r="E50">
        <v>8</v>
      </c>
      <c r="F50" t="s">
        <v>284</v>
      </c>
      <c r="G50">
        <v>27704078</v>
      </c>
      <c r="J50">
        <v>273.61</v>
      </c>
      <c r="L50">
        <v>45919732</v>
      </c>
      <c r="M50" s="1">
        <v>44208</v>
      </c>
      <c r="N50" t="str">
        <f>"RC210128"</f>
        <v>RC210128</v>
      </c>
      <c r="O50" t="s">
        <v>28</v>
      </c>
      <c r="Q50" t="s">
        <v>29</v>
      </c>
      <c r="R50" t="s">
        <v>28</v>
      </c>
      <c r="S50" t="s">
        <v>285</v>
      </c>
      <c r="T50" t="s">
        <v>286</v>
      </c>
      <c r="W50" t="s">
        <v>75</v>
      </c>
      <c r="X50" t="s">
        <v>34</v>
      </c>
      <c r="Y50" t="str">
        <f>"77042-4240"</f>
        <v>77042-4240</v>
      </c>
    </row>
    <row r="51" spans="1:25" x14ac:dyDescent="0.25">
      <c r="A51" t="s">
        <v>287</v>
      </c>
      <c r="B51" t="s">
        <v>288</v>
      </c>
      <c r="C51">
        <v>2021</v>
      </c>
      <c r="D51">
        <v>8001</v>
      </c>
      <c r="E51">
        <v>1</v>
      </c>
      <c r="F51" t="s">
        <v>289</v>
      </c>
      <c r="G51">
        <v>30575048</v>
      </c>
      <c r="J51">
        <v>6.29</v>
      </c>
      <c r="L51">
        <v>48789110</v>
      </c>
      <c r="M51" s="1">
        <v>44560</v>
      </c>
      <c r="N51" t="str">
        <f>"RC220125"</f>
        <v>RC220125</v>
      </c>
      <c r="O51" t="s">
        <v>28</v>
      </c>
      <c r="Q51" t="s">
        <v>29</v>
      </c>
      <c r="R51" t="s">
        <v>28</v>
      </c>
      <c r="S51" t="s">
        <v>290</v>
      </c>
      <c r="T51" t="s">
        <v>291</v>
      </c>
      <c r="W51" t="s">
        <v>75</v>
      </c>
      <c r="X51" t="s">
        <v>34</v>
      </c>
      <c r="Y51" t="str">
        <f>"77048-2646"</f>
        <v>77048-2646</v>
      </c>
    </row>
    <row r="52" spans="1:25" x14ac:dyDescent="0.25">
      <c r="A52" t="s">
        <v>292</v>
      </c>
      <c r="B52" t="s">
        <v>293</v>
      </c>
      <c r="C52">
        <v>2019</v>
      </c>
      <c r="D52">
        <v>8001</v>
      </c>
      <c r="E52">
        <v>1</v>
      </c>
      <c r="F52" t="s">
        <v>294</v>
      </c>
      <c r="G52">
        <v>0</v>
      </c>
      <c r="J52">
        <v>135.55000000000001</v>
      </c>
      <c r="L52">
        <v>44329945</v>
      </c>
      <c r="M52" s="1">
        <v>44006</v>
      </c>
      <c r="N52" t="str">
        <f>"J200624K1"</f>
        <v>J200624K1</v>
      </c>
      <c r="O52" t="s">
        <v>28</v>
      </c>
      <c r="Q52" t="s">
        <v>29</v>
      </c>
      <c r="R52" t="s">
        <v>28</v>
      </c>
      <c r="S52" t="s">
        <v>294</v>
      </c>
      <c r="T52" t="s">
        <v>295</v>
      </c>
      <c r="U52" t="s">
        <v>60</v>
      </c>
      <c r="V52" t="s">
        <v>60</v>
      </c>
      <c r="W52" t="s">
        <v>296</v>
      </c>
      <c r="X52" t="s">
        <v>34</v>
      </c>
      <c r="Y52" t="str">
        <f>"774179621   "</f>
        <v xml:space="preserve">774179621   </v>
      </c>
    </row>
    <row r="53" spans="1:25" x14ac:dyDescent="0.25">
      <c r="A53" t="s">
        <v>297</v>
      </c>
      <c r="B53" t="s">
        <v>298</v>
      </c>
      <c r="C53">
        <v>2019</v>
      </c>
      <c r="D53">
        <v>8001</v>
      </c>
      <c r="E53">
        <v>1</v>
      </c>
      <c r="F53" t="s">
        <v>294</v>
      </c>
      <c r="G53">
        <v>0</v>
      </c>
      <c r="J53">
        <v>8</v>
      </c>
      <c r="L53">
        <v>44329944</v>
      </c>
      <c r="M53" s="1">
        <v>44006</v>
      </c>
      <c r="N53" t="str">
        <f>"J200624K1"</f>
        <v>J200624K1</v>
      </c>
      <c r="O53" t="s">
        <v>28</v>
      </c>
      <c r="Q53" t="s">
        <v>29</v>
      </c>
      <c r="R53" t="s">
        <v>28</v>
      </c>
      <c r="S53" t="s">
        <v>294</v>
      </c>
      <c r="T53" t="s">
        <v>295</v>
      </c>
      <c r="U53" t="s">
        <v>60</v>
      </c>
      <c r="V53" t="s">
        <v>60</v>
      </c>
      <c r="W53" t="s">
        <v>296</v>
      </c>
      <c r="X53" t="s">
        <v>34</v>
      </c>
      <c r="Y53" t="str">
        <f>"774179621   "</f>
        <v xml:space="preserve">774179621   </v>
      </c>
    </row>
    <row r="54" spans="1:25" x14ac:dyDescent="0.25">
      <c r="A54" t="s">
        <v>299</v>
      </c>
      <c r="B54" t="s">
        <v>300</v>
      </c>
      <c r="C54">
        <v>2021</v>
      </c>
      <c r="D54">
        <v>8001</v>
      </c>
      <c r="E54">
        <v>1</v>
      </c>
      <c r="F54" t="s">
        <v>301</v>
      </c>
      <c r="G54">
        <v>30918408</v>
      </c>
      <c r="J54">
        <v>69.52</v>
      </c>
      <c r="L54">
        <v>49849734</v>
      </c>
      <c r="M54" s="1">
        <v>44594</v>
      </c>
      <c r="N54" t="str">
        <f>"RC220202"</f>
        <v>RC220202</v>
      </c>
      <c r="O54" t="s">
        <v>28</v>
      </c>
      <c r="Q54" t="s">
        <v>29</v>
      </c>
      <c r="R54" t="s">
        <v>28</v>
      </c>
      <c r="S54" t="s">
        <v>302</v>
      </c>
      <c r="T54" t="s">
        <v>303</v>
      </c>
      <c r="W54" t="s">
        <v>304</v>
      </c>
      <c r="X54" t="s">
        <v>34</v>
      </c>
      <c r="Y54" t="str">
        <f>"774170841"</f>
        <v>774170841</v>
      </c>
    </row>
    <row r="55" spans="1:25" x14ac:dyDescent="0.25">
      <c r="A55" t="s">
        <v>305</v>
      </c>
      <c r="B55" t="s">
        <v>306</v>
      </c>
      <c r="C55">
        <v>2021</v>
      </c>
      <c r="D55">
        <v>8001</v>
      </c>
      <c r="E55">
        <v>1</v>
      </c>
      <c r="F55" t="s">
        <v>307</v>
      </c>
      <c r="G55">
        <v>22878712</v>
      </c>
      <c r="J55">
        <v>5.3</v>
      </c>
      <c r="L55">
        <v>47675075</v>
      </c>
      <c r="M55" s="1">
        <v>44516</v>
      </c>
      <c r="N55" t="str">
        <f>"TE211116"</f>
        <v>TE211116</v>
      </c>
      <c r="O55" t="s">
        <v>28</v>
      </c>
      <c r="Q55" t="s">
        <v>29</v>
      </c>
      <c r="R55" t="s">
        <v>28</v>
      </c>
      <c r="S55" t="s">
        <v>308</v>
      </c>
      <c r="T55" t="s">
        <v>309</v>
      </c>
      <c r="U55" t="s">
        <v>310</v>
      </c>
      <c r="W55" t="s">
        <v>81</v>
      </c>
      <c r="X55" t="s">
        <v>34</v>
      </c>
      <c r="Y55" t="str">
        <f>"774692640"</f>
        <v>774692640</v>
      </c>
    </row>
    <row r="56" spans="1:25" x14ac:dyDescent="0.25">
      <c r="A56" t="s">
        <v>311</v>
      </c>
      <c r="B56" t="s">
        <v>312</v>
      </c>
      <c r="C56">
        <v>2021</v>
      </c>
      <c r="D56">
        <v>8001</v>
      </c>
      <c r="E56">
        <v>2</v>
      </c>
      <c r="F56" t="s">
        <v>313</v>
      </c>
      <c r="G56">
        <v>20340738</v>
      </c>
      <c r="J56">
        <v>5.52</v>
      </c>
      <c r="L56">
        <v>49136247</v>
      </c>
      <c r="M56" s="1">
        <v>44573</v>
      </c>
      <c r="N56" t="str">
        <f>"RC220221"</f>
        <v>RC220221</v>
      </c>
      <c r="O56" t="s">
        <v>28</v>
      </c>
      <c r="Q56" t="s">
        <v>29</v>
      </c>
      <c r="R56" t="s">
        <v>28</v>
      </c>
      <c r="S56" t="s">
        <v>314</v>
      </c>
      <c r="T56" t="s">
        <v>315</v>
      </c>
      <c r="W56" t="s">
        <v>316</v>
      </c>
      <c r="X56" t="s">
        <v>317</v>
      </c>
      <c r="Y56" t="str">
        <f>"94605-5538"</f>
        <v>94605-5538</v>
      </c>
    </row>
    <row r="57" spans="1:25" x14ac:dyDescent="0.25">
      <c r="A57" t="s">
        <v>318</v>
      </c>
      <c r="B57" t="s">
        <v>319</v>
      </c>
      <c r="C57">
        <v>2021</v>
      </c>
      <c r="D57">
        <v>8001</v>
      </c>
      <c r="E57">
        <v>6</v>
      </c>
      <c r="F57" t="s">
        <v>320</v>
      </c>
      <c r="G57">
        <v>0</v>
      </c>
      <c r="J57">
        <v>24.58</v>
      </c>
      <c r="L57">
        <v>50124083</v>
      </c>
      <c r="M57" s="1">
        <v>44602</v>
      </c>
      <c r="N57" t="str">
        <f>"O220210AO1"</f>
        <v>O220210AO1</v>
      </c>
      <c r="O57" t="s">
        <v>28</v>
      </c>
      <c r="Q57" t="s">
        <v>29</v>
      </c>
      <c r="R57" t="s">
        <v>28</v>
      </c>
      <c r="S57" t="s">
        <v>320</v>
      </c>
      <c r="T57" t="s">
        <v>321</v>
      </c>
      <c r="U57" t="s">
        <v>60</v>
      </c>
      <c r="V57" t="s">
        <v>60</v>
      </c>
      <c r="W57" t="s">
        <v>296</v>
      </c>
      <c r="X57" t="s">
        <v>34</v>
      </c>
      <c r="Y57" t="str">
        <f>"774175922   "</f>
        <v xml:space="preserve">774175922   </v>
      </c>
    </row>
    <row r="58" spans="1:25" x14ac:dyDescent="0.25">
      <c r="A58" t="s">
        <v>322</v>
      </c>
      <c r="B58" t="s">
        <v>323</v>
      </c>
      <c r="C58">
        <v>2019</v>
      </c>
      <c r="D58">
        <v>8001</v>
      </c>
      <c r="E58">
        <v>1</v>
      </c>
      <c r="F58" t="s">
        <v>324</v>
      </c>
      <c r="G58">
        <v>0</v>
      </c>
      <c r="J58">
        <v>5</v>
      </c>
      <c r="L58">
        <v>43686743</v>
      </c>
      <c r="M58" s="1">
        <v>43868</v>
      </c>
      <c r="N58" t="str">
        <f>"J200207AW17"</f>
        <v>J200207AW17</v>
      </c>
      <c r="O58" t="s">
        <v>28</v>
      </c>
      <c r="Q58" t="s">
        <v>29</v>
      </c>
      <c r="R58" t="s">
        <v>28</v>
      </c>
      <c r="S58" t="s">
        <v>324</v>
      </c>
      <c r="T58" t="s">
        <v>325</v>
      </c>
      <c r="U58" t="s">
        <v>60</v>
      </c>
      <c r="V58" t="s">
        <v>60</v>
      </c>
      <c r="W58" t="s">
        <v>326</v>
      </c>
      <c r="X58" t="s">
        <v>34</v>
      </c>
      <c r="Y58" t="str">
        <f>"775472007   "</f>
        <v xml:space="preserve">775472007   </v>
      </c>
    </row>
    <row r="59" spans="1:25" x14ac:dyDescent="0.25">
      <c r="A59" t="s">
        <v>327</v>
      </c>
      <c r="B59" t="s">
        <v>328</v>
      </c>
      <c r="C59">
        <v>2019</v>
      </c>
      <c r="D59">
        <v>8001</v>
      </c>
      <c r="E59">
        <v>5</v>
      </c>
      <c r="F59" t="s">
        <v>329</v>
      </c>
      <c r="G59">
        <v>28176080</v>
      </c>
      <c r="J59">
        <v>20.68</v>
      </c>
      <c r="L59">
        <v>43576800</v>
      </c>
      <c r="M59" s="1">
        <v>43865</v>
      </c>
      <c r="N59" t="str">
        <f>"CC200204"</f>
        <v>CC200204</v>
      </c>
      <c r="O59" t="s">
        <v>28</v>
      </c>
      <c r="Q59" t="s">
        <v>29</v>
      </c>
      <c r="R59" t="s">
        <v>28</v>
      </c>
      <c r="S59" t="s">
        <v>330</v>
      </c>
      <c r="T59" t="s">
        <v>331</v>
      </c>
      <c r="W59" t="s">
        <v>332</v>
      </c>
      <c r="X59" t="s">
        <v>34</v>
      </c>
      <c r="Y59" t="str">
        <f>"75244"</f>
        <v>75244</v>
      </c>
    </row>
    <row r="60" spans="1:25" x14ac:dyDescent="0.25">
      <c r="A60" t="s">
        <v>333</v>
      </c>
      <c r="B60" t="s">
        <v>334</v>
      </c>
      <c r="C60">
        <v>2021</v>
      </c>
      <c r="D60">
        <v>8001</v>
      </c>
      <c r="E60">
        <v>1</v>
      </c>
      <c r="F60" t="s">
        <v>335</v>
      </c>
      <c r="G60">
        <v>24135174</v>
      </c>
      <c r="J60">
        <v>105.31</v>
      </c>
      <c r="L60">
        <v>48386963</v>
      </c>
      <c r="M60" s="1">
        <v>44539</v>
      </c>
      <c r="N60" t="str">
        <f>"RC220113"</f>
        <v>RC220113</v>
      </c>
      <c r="O60" t="s">
        <v>28</v>
      </c>
      <c r="Q60" t="s">
        <v>29</v>
      </c>
      <c r="R60" t="s">
        <v>28</v>
      </c>
      <c r="S60" t="s">
        <v>336</v>
      </c>
      <c r="T60" t="s">
        <v>337</v>
      </c>
      <c r="W60" t="s">
        <v>304</v>
      </c>
      <c r="X60" t="s">
        <v>34</v>
      </c>
      <c r="Y60" t="str">
        <f>"77451-0014"</f>
        <v>77451-0014</v>
      </c>
    </row>
    <row r="61" spans="1:25" x14ac:dyDescent="0.25">
      <c r="A61" t="s">
        <v>338</v>
      </c>
      <c r="B61" t="s">
        <v>339</v>
      </c>
      <c r="C61">
        <v>2019</v>
      </c>
      <c r="D61">
        <v>8001</v>
      </c>
      <c r="E61">
        <v>1</v>
      </c>
      <c r="F61" t="s">
        <v>340</v>
      </c>
      <c r="G61">
        <v>23430234</v>
      </c>
      <c r="J61">
        <v>48.52</v>
      </c>
      <c r="L61">
        <v>43883726</v>
      </c>
      <c r="M61" s="1">
        <v>43895</v>
      </c>
      <c r="N61" t="str">
        <f>"J200305K1"</f>
        <v>J200305K1</v>
      </c>
      <c r="O61" t="s">
        <v>28</v>
      </c>
      <c r="Q61" t="s">
        <v>29</v>
      </c>
      <c r="R61" t="s">
        <v>28</v>
      </c>
      <c r="S61" t="s">
        <v>341</v>
      </c>
      <c r="T61" t="s">
        <v>342</v>
      </c>
      <c r="W61" t="s">
        <v>40</v>
      </c>
      <c r="X61" t="s">
        <v>34</v>
      </c>
      <c r="Y61" t="str">
        <f>"77478"</f>
        <v>77478</v>
      </c>
    </row>
    <row r="62" spans="1:25" x14ac:dyDescent="0.25">
      <c r="A62" t="s">
        <v>343</v>
      </c>
      <c r="B62" t="s">
        <v>344</v>
      </c>
      <c r="C62">
        <v>2020</v>
      </c>
      <c r="D62">
        <v>8001</v>
      </c>
      <c r="E62">
        <v>1</v>
      </c>
      <c r="F62" t="s">
        <v>196</v>
      </c>
      <c r="G62">
        <v>0</v>
      </c>
      <c r="J62">
        <v>490.79</v>
      </c>
      <c r="L62">
        <v>45096262</v>
      </c>
      <c r="M62" s="1">
        <v>44168</v>
      </c>
      <c r="N62" t="str">
        <f>"L201203A"</f>
        <v>L201203A</v>
      </c>
      <c r="O62" t="s">
        <v>28</v>
      </c>
      <c r="Q62" t="s">
        <v>29</v>
      </c>
      <c r="R62" t="s">
        <v>28</v>
      </c>
      <c r="S62" t="s">
        <v>196</v>
      </c>
      <c r="T62" t="s">
        <v>197</v>
      </c>
      <c r="U62" t="s">
        <v>60</v>
      </c>
      <c r="V62" t="s">
        <v>60</v>
      </c>
      <c r="W62" t="s">
        <v>198</v>
      </c>
      <c r="X62" t="s">
        <v>34</v>
      </c>
      <c r="Y62" t="str">
        <f>"752524931   "</f>
        <v xml:space="preserve">752524931   </v>
      </c>
    </row>
    <row r="63" spans="1:25" x14ac:dyDescent="0.25">
      <c r="A63" t="s">
        <v>345</v>
      </c>
      <c r="B63" t="s">
        <v>346</v>
      </c>
      <c r="C63">
        <v>2020</v>
      </c>
      <c r="D63">
        <v>8001</v>
      </c>
      <c r="E63">
        <v>3</v>
      </c>
      <c r="F63" t="s">
        <v>347</v>
      </c>
      <c r="G63">
        <v>29855861</v>
      </c>
      <c r="J63">
        <v>92.25</v>
      </c>
      <c r="L63">
        <v>47493658</v>
      </c>
      <c r="M63" s="1">
        <v>44350</v>
      </c>
      <c r="N63" t="str">
        <f>"EK210603"</f>
        <v>EK210603</v>
      </c>
      <c r="O63" t="s">
        <v>28</v>
      </c>
      <c r="Q63" t="s">
        <v>29</v>
      </c>
      <c r="R63" t="s">
        <v>28</v>
      </c>
      <c r="S63" t="s">
        <v>348</v>
      </c>
      <c r="T63" t="s">
        <v>349</v>
      </c>
      <c r="W63" t="s">
        <v>107</v>
      </c>
      <c r="X63" t="s">
        <v>34</v>
      </c>
      <c r="Y63" t="str">
        <f>"77494"</f>
        <v>77494</v>
      </c>
    </row>
    <row r="64" spans="1:25" x14ac:dyDescent="0.25">
      <c r="A64" t="s">
        <v>350</v>
      </c>
      <c r="B64" t="s">
        <v>351</v>
      </c>
      <c r="C64">
        <v>2019</v>
      </c>
      <c r="D64">
        <v>8001</v>
      </c>
      <c r="E64">
        <v>1</v>
      </c>
      <c r="F64" t="s">
        <v>352</v>
      </c>
      <c r="G64">
        <v>0</v>
      </c>
      <c r="J64">
        <v>69.86</v>
      </c>
      <c r="L64">
        <v>44292542</v>
      </c>
      <c r="M64" s="1">
        <v>43991</v>
      </c>
      <c r="N64" t="str">
        <f>"J200609K3"</f>
        <v>J200609K3</v>
      </c>
      <c r="O64" t="s">
        <v>28</v>
      </c>
      <c r="Q64" t="s">
        <v>29</v>
      </c>
      <c r="R64" t="s">
        <v>28</v>
      </c>
      <c r="S64" t="s">
        <v>352</v>
      </c>
      <c r="T64" t="s">
        <v>353</v>
      </c>
      <c r="U64" t="s">
        <v>60</v>
      </c>
      <c r="V64" t="s">
        <v>60</v>
      </c>
      <c r="W64" t="s">
        <v>214</v>
      </c>
      <c r="X64" t="s">
        <v>34</v>
      </c>
      <c r="Y64" t="str">
        <f>"774062203   "</f>
        <v xml:space="preserve">774062203   </v>
      </c>
    </row>
    <row r="65" spans="1:25" x14ac:dyDescent="0.25">
      <c r="A65" t="s">
        <v>354</v>
      </c>
      <c r="B65" t="s">
        <v>355</v>
      </c>
      <c r="C65">
        <v>2020</v>
      </c>
      <c r="D65">
        <v>8001</v>
      </c>
      <c r="E65">
        <v>2</v>
      </c>
      <c r="F65" t="s">
        <v>356</v>
      </c>
      <c r="G65">
        <v>25536250</v>
      </c>
      <c r="J65">
        <v>394.32</v>
      </c>
      <c r="L65">
        <v>47197172</v>
      </c>
      <c r="M65" s="1">
        <v>44285</v>
      </c>
      <c r="N65" t="str">
        <f>"R210330AJ1"</f>
        <v>R210330AJ1</v>
      </c>
      <c r="O65" t="s">
        <v>28</v>
      </c>
      <c r="Q65" t="s">
        <v>29</v>
      </c>
      <c r="R65" t="s">
        <v>28</v>
      </c>
      <c r="S65" t="s">
        <v>357</v>
      </c>
      <c r="T65" t="s">
        <v>358</v>
      </c>
      <c r="U65" t="s">
        <v>359</v>
      </c>
      <c r="W65" t="s">
        <v>81</v>
      </c>
      <c r="X65" t="s">
        <v>34</v>
      </c>
      <c r="Y65" t="str">
        <f>"77406"</f>
        <v>77406</v>
      </c>
    </row>
    <row r="66" spans="1:25" x14ac:dyDescent="0.25">
      <c r="A66" t="s">
        <v>360</v>
      </c>
      <c r="B66" t="s">
        <v>361</v>
      </c>
      <c r="C66">
        <v>2019</v>
      </c>
      <c r="D66">
        <v>8001</v>
      </c>
      <c r="E66">
        <v>1</v>
      </c>
      <c r="F66" t="s">
        <v>362</v>
      </c>
      <c r="G66">
        <v>27360409</v>
      </c>
      <c r="J66">
        <v>333.61</v>
      </c>
      <c r="L66">
        <v>41128085</v>
      </c>
      <c r="M66" s="1">
        <v>43770</v>
      </c>
      <c r="N66" t="str">
        <f>"T191101F1"</f>
        <v>T191101F1</v>
      </c>
      <c r="O66" t="s">
        <v>28</v>
      </c>
      <c r="Q66" t="s">
        <v>29</v>
      </c>
      <c r="R66" t="s">
        <v>28</v>
      </c>
      <c r="S66" t="s">
        <v>363</v>
      </c>
      <c r="T66" t="s">
        <v>364</v>
      </c>
      <c r="W66" t="s">
        <v>365</v>
      </c>
      <c r="X66" t="s">
        <v>34</v>
      </c>
      <c r="Y66" t="str">
        <f>"77304"</f>
        <v>77304</v>
      </c>
    </row>
    <row r="67" spans="1:25" x14ac:dyDescent="0.25">
      <c r="A67" t="s">
        <v>366</v>
      </c>
      <c r="B67" t="s">
        <v>367</v>
      </c>
      <c r="C67">
        <v>2019</v>
      </c>
      <c r="D67">
        <v>8001</v>
      </c>
      <c r="E67">
        <v>2</v>
      </c>
      <c r="F67" t="s">
        <v>368</v>
      </c>
      <c r="G67">
        <v>28375203</v>
      </c>
      <c r="J67">
        <v>603.62</v>
      </c>
      <c r="L67">
        <v>44023728</v>
      </c>
      <c r="M67" s="1">
        <v>43945</v>
      </c>
      <c r="N67" t="str">
        <f>"V200424BI2"</f>
        <v>V200424BI2</v>
      </c>
      <c r="O67" t="s">
        <v>28</v>
      </c>
      <c r="Q67" t="s">
        <v>29</v>
      </c>
      <c r="R67" t="s">
        <v>28</v>
      </c>
      <c r="S67" t="s">
        <v>369</v>
      </c>
      <c r="T67" t="s">
        <v>370</v>
      </c>
      <c r="W67" t="s">
        <v>371</v>
      </c>
      <c r="X67" t="s">
        <v>34</v>
      </c>
      <c r="Y67" t="str">
        <f>"77477"</f>
        <v>77477</v>
      </c>
    </row>
    <row r="68" spans="1:25" x14ac:dyDescent="0.25">
      <c r="A68" t="s">
        <v>372</v>
      </c>
      <c r="B68" t="s">
        <v>373</v>
      </c>
      <c r="C68">
        <v>2019</v>
      </c>
      <c r="D68">
        <v>8001</v>
      </c>
      <c r="E68">
        <v>1</v>
      </c>
      <c r="F68" t="s">
        <v>374</v>
      </c>
      <c r="G68">
        <v>0</v>
      </c>
      <c r="J68">
        <v>5.29</v>
      </c>
      <c r="L68">
        <v>43714017</v>
      </c>
      <c r="M68" s="1">
        <v>43872</v>
      </c>
      <c r="N68" t="str">
        <f>"J200211AW19"</f>
        <v>J200211AW19</v>
      </c>
      <c r="O68" t="s">
        <v>28</v>
      </c>
      <c r="Q68" t="s">
        <v>29</v>
      </c>
      <c r="R68" t="s">
        <v>28</v>
      </c>
      <c r="S68" t="s">
        <v>374</v>
      </c>
      <c r="T68" t="s">
        <v>375</v>
      </c>
      <c r="U68" t="s">
        <v>60</v>
      </c>
      <c r="V68" t="s">
        <v>60</v>
      </c>
      <c r="W68" t="s">
        <v>376</v>
      </c>
      <c r="X68" t="s">
        <v>34</v>
      </c>
      <c r="Y68" t="str">
        <f>"774776611   "</f>
        <v xml:space="preserve">774776611   </v>
      </c>
    </row>
    <row r="69" spans="1:25" x14ac:dyDescent="0.25">
      <c r="A69" t="s">
        <v>377</v>
      </c>
      <c r="B69" t="s">
        <v>378</v>
      </c>
      <c r="C69">
        <v>2019</v>
      </c>
      <c r="D69">
        <v>8001</v>
      </c>
      <c r="E69">
        <v>1</v>
      </c>
      <c r="F69" t="s">
        <v>379</v>
      </c>
      <c r="G69">
        <v>27998586</v>
      </c>
      <c r="J69">
        <v>22.69</v>
      </c>
      <c r="L69">
        <v>43300881</v>
      </c>
      <c r="M69" s="1">
        <v>43859</v>
      </c>
      <c r="N69" t="str">
        <f>"J200129F9"</f>
        <v>J200129F9</v>
      </c>
      <c r="O69" t="s">
        <v>28</v>
      </c>
      <c r="Q69" t="s">
        <v>29</v>
      </c>
      <c r="R69" t="s">
        <v>28</v>
      </c>
      <c r="S69" t="s">
        <v>380</v>
      </c>
      <c r="T69" t="s">
        <v>381</v>
      </c>
      <c r="W69" t="s">
        <v>75</v>
      </c>
      <c r="X69" t="s">
        <v>34</v>
      </c>
      <c r="Y69" t="str">
        <f>"77027"</f>
        <v>77027</v>
      </c>
    </row>
    <row r="70" spans="1:25" x14ac:dyDescent="0.25">
      <c r="A70" t="s">
        <v>382</v>
      </c>
      <c r="B70" t="s">
        <v>383</v>
      </c>
      <c r="C70">
        <v>2021</v>
      </c>
      <c r="D70">
        <v>8001</v>
      </c>
      <c r="E70">
        <v>1</v>
      </c>
      <c r="F70" t="s">
        <v>384</v>
      </c>
      <c r="G70">
        <v>24671965</v>
      </c>
      <c r="J70">
        <v>162.5</v>
      </c>
      <c r="L70">
        <v>49862709</v>
      </c>
      <c r="M70" s="1">
        <v>44593</v>
      </c>
      <c r="N70" t="str">
        <f>"O220201C7"</f>
        <v>O220201C7</v>
      </c>
      <c r="O70" t="s">
        <v>28</v>
      </c>
      <c r="Q70" t="s">
        <v>29</v>
      </c>
      <c r="R70" t="s">
        <v>28</v>
      </c>
      <c r="S70" t="s">
        <v>385</v>
      </c>
      <c r="T70" t="s">
        <v>386</v>
      </c>
      <c r="W70" t="s">
        <v>371</v>
      </c>
      <c r="X70" t="s">
        <v>34</v>
      </c>
      <c r="Y70" t="str">
        <f>"774776602"</f>
        <v>774776602</v>
      </c>
    </row>
    <row r="71" spans="1:25" x14ac:dyDescent="0.25">
      <c r="A71" t="s">
        <v>387</v>
      </c>
      <c r="B71" t="s">
        <v>388</v>
      </c>
      <c r="C71">
        <v>2019</v>
      </c>
      <c r="D71">
        <v>8001</v>
      </c>
      <c r="E71">
        <v>1</v>
      </c>
      <c r="F71" t="s">
        <v>389</v>
      </c>
      <c r="G71">
        <v>28305682</v>
      </c>
      <c r="J71">
        <v>90.48</v>
      </c>
      <c r="L71">
        <v>43875737</v>
      </c>
      <c r="M71" s="1">
        <v>43894</v>
      </c>
      <c r="N71" t="str">
        <f>"EK200304"</f>
        <v>EK200304</v>
      </c>
      <c r="O71" t="s">
        <v>28</v>
      </c>
      <c r="Q71" t="s">
        <v>29</v>
      </c>
      <c r="R71" t="s">
        <v>28</v>
      </c>
      <c r="S71" t="s">
        <v>390</v>
      </c>
      <c r="T71" t="s">
        <v>391</v>
      </c>
      <c r="W71" t="s">
        <v>392</v>
      </c>
      <c r="X71" t="s">
        <v>34</v>
      </c>
      <c r="Y71" t="str">
        <f>"77459"</f>
        <v>77459</v>
      </c>
    </row>
    <row r="72" spans="1:25" x14ac:dyDescent="0.25">
      <c r="A72" t="s">
        <v>393</v>
      </c>
      <c r="B72" t="s">
        <v>394</v>
      </c>
      <c r="C72">
        <v>2021</v>
      </c>
      <c r="D72">
        <v>8001</v>
      </c>
      <c r="E72">
        <v>1</v>
      </c>
      <c r="F72" t="s">
        <v>395</v>
      </c>
      <c r="G72">
        <v>0</v>
      </c>
      <c r="J72">
        <v>159.84</v>
      </c>
      <c r="L72">
        <v>49862725</v>
      </c>
      <c r="M72" s="1">
        <v>44593</v>
      </c>
      <c r="N72" t="str">
        <f>"O220201C7"</f>
        <v>O220201C7</v>
      </c>
      <c r="O72" t="s">
        <v>28</v>
      </c>
      <c r="Q72" t="s">
        <v>29</v>
      </c>
      <c r="R72" t="s">
        <v>28</v>
      </c>
      <c r="S72" t="s">
        <v>395</v>
      </c>
      <c r="T72" t="s">
        <v>396</v>
      </c>
      <c r="U72" t="s">
        <v>60</v>
      </c>
      <c r="V72" t="s">
        <v>60</v>
      </c>
      <c r="W72" t="s">
        <v>376</v>
      </c>
      <c r="X72" t="s">
        <v>34</v>
      </c>
      <c r="Y72" t="str">
        <f>"774776602   "</f>
        <v xml:space="preserve">774776602   </v>
      </c>
    </row>
    <row r="73" spans="1:25" x14ac:dyDescent="0.25">
      <c r="A73" t="s">
        <v>397</v>
      </c>
      <c r="B73" t="s">
        <v>398</v>
      </c>
      <c r="C73">
        <v>2021</v>
      </c>
      <c r="D73">
        <v>8001</v>
      </c>
      <c r="E73">
        <v>1</v>
      </c>
      <c r="F73" t="s">
        <v>399</v>
      </c>
      <c r="G73">
        <v>30510501</v>
      </c>
      <c r="J73">
        <v>6.34</v>
      </c>
      <c r="L73">
        <v>48367733</v>
      </c>
      <c r="M73" s="1">
        <v>44538</v>
      </c>
      <c r="N73" t="str">
        <f>"RC220113"</f>
        <v>RC220113</v>
      </c>
      <c r="O73" t="s">
        <v>28</v>
      </c>
      <c r="Q73" t="s">
        <v>29</v>
      </c>
      <c r="R73" t="s">
        <v>28</v>
      </c>
      <c r="S73" t="s">
        <v>400</v>
      </c>
      <c r="T73" t="s">
        <v>401</v>
      </c>
      <c r="W73" t="s">
        <v>75</v>
      </c>
      <c r="X73" t="s">
        <v>34</v>
      </c>
      <c r="Y73" t="str">
        <f>"77098"</f>
        <v>77098</v>
      </c>
    </row>
    <row r="74" spans="1:25" x14ac:dyDescent="0.25">
      <c r="A74" t="s">
        <v>402</v>
      </c>
      <c r="B74" t="s">
        <v>403</v>
      </c>
      <c r="C74">
        <v>2020</v>
      </c>
      <c r="D74">
        <v>8001</v>
      </c>
      <c r="E74">
        <v>1</v>
      </c>
      <c r="F74" t="s">
        <v>404</v>
      </c>
      <c r="G74">
        <v>29257305</v>
      </c>
      <c r="J74">
        <v>22.66</v>
      </c>
      <c r="L74">
        <v>46284909</v>
      </c>
      <c r="M74" s="1">
        <v>44221</v>
      </c>
      <c r="N74" t="str">
        <f>"CC210125"</f>
        <v>CC210125</v>
      </c>
      <c r="O74" t="s">
        <v>28</v>
      </c>
      <c r="Q74" t="s">
        <v>29</v>
      </c>
      <c r="R74" t="s">
        <v>28</v>
      </c>
      <c r="S74" t="s">
        <v>405</v>
      </c>
      <c r="T74" t="s">
        <v>406</v>
      </c>
      <c r="W74" t="s">
        <v>407</v>
      </c>
      <c r="X74" t="s">
        <v>34</v>
      </c>
      <c r="Y74" t="str">
        <f>"77435"</f>
        <v>77435</v>
      </c>
    </row>
    <row r="75" spans="1:25" x14ac:dyDescent="0.25">
      <c r="A75" t="s">
        <v>408</v>
      </c>
      <c r="B75" t="s">
        <v>409</v>
      </c>
      <c r="C75">
        <v>2019</v>
      </c>
      <c r="D75">
        <v>8001</v>
      </c>
      <c r="E75">
        <v>1</v>
      </c>
      <c r="F75" t="s">
        <v>410</v>
      </c>
      <c r="G75">
        <v>22593431</v>
      </c>
      <c r="J75">
        <v>23.35</v>
      </c>
      <c r="L75">
        <v>43713281</v>
      </c>
      <c r="M75" s="1">
        <v>43872</v>
      </c>
      <c r="N75" t="str">
        <f>"J200211AW16"</f>
        <v>J200211AW16</v>
      </c>
      <c r="O75" t="s">
        <v>28</v>
      </c>
      <c r="Q75" t="s">
        <v>29</v>
      </c>
      <c r="R75" t="s">
        <v>28</v>
      </c>
      <c r="S75" t="s">
        <v>411</v>
      </c>
      <c r="T75" t="s">
        <v>412</v>
      </c>
      <c r="U75" t="s">
        <v>413</v>
      </c>
      <c r="W75" t="s">
        <v>407</v>
      </c>
      <c r="X75" t="s">
        <v>34</v>
      </c>
      <c r="Y75" t="str">
        <f>"77435"</f>
        <v>77435</v>
      </c>
    </row>
    <row r="76" spans="1:25" x14ac:dyDescent="0.25">
      <c r="A76" t="s">
        <v>414</v>
      </c>
      <c r="B76" t="s">
        <v>415</v>
      </c>
      <c r="C76">
        <v>2020</v>
      </c>
      <c r="D76">
        <v>8001</v>
      </c>
      <c r="E76">
        <v>1</v>
      </c>
      <c r="F76" t="s">
        <v>416</v>
      </c>
      <c r="G76">
        <v>0</v>
      </c>
      <c r="J76">
        <v>59.74</v>
      </c>
      <c r="L76">
        <v>47946213</v>
      </c>
      <c r="M76" s="1">
        <v>44502</v>
      </c>
      <c r="N76" t="str">
        <f>"J211102K2"</f>
        <v>J211102K2</v>
      </c>
      <c r="O76" t="s">
        <v>28</v>
      </c>
      <c r="Q76" t="s">
        <v>29</v>
      </c>
      <c r="R76" t="s">
        <v>28</v>
      </c>
      <c r="S76" t="s">
        <v>416</v>
      </c>
      <c r="T76" t="s">
        <v>417</v>
      </c>
      <c r="U76" t="s">
        <v>60</v>
      </c>
      <c r="V76" t="s">
        <v>60</v>
      </c>
      <c r="W76" t="s">
        <v>296</v>
      </c>
      <c r="X76" t="s">
        <v>34</v>
      </c>
      <c r="Y76" t="str">
        <f>"774170027   "</f>
        <v xml:space="preserve">774170027   </v>
      </c>
    </row>
    <row r="77" spans="1:25" x14ac:dyDescent="0.25">
      <c r="A77" t="s">
        <v>418</v>
      </c>
      <c r="B77" t="s">
        <v>419</v>
      </c>
      <c r="C77">
        <v>2020</v>
      </c>
      <c r="D77">
        <v>8001</v>
      </c>
      <c r="E77">
        <v>3</v>
      </c>
      <c r="F77" t="s">
        <v>420</v>
      </c>
      <c r="G77">
        <v>28816537</v>
      </c>
      <c r="J77">
        <v>65.319999999999993</v>
      </c>
      <c r="L77">
        <v>44998672</v>
      </c>
      <c r="M77" s="1">
        <v>44160</v>
      </c>
      <c r="N77" t="str">
        <f>"O201125U1"</f>
        <v>O201125U1</v>
      </c>
      <c r="O77" t="s">
        <v>28</v>
      </c>
      <c r="Q77" t="s">
        <v>29</v>
      </c>
      <c r="R77" t="s">
        <v>28</v>
      </c>
      <c r="S77" t="s">
        <v>421</v>
      </c>
      <c r="T77" t="s">
        <v>422</v>
      </c>
      <c r="U77" t="s">
        <v>423</v>
      </c>
      <c r="W77" t="s">
        <v>407</v>
      </c>
      <c r="X77" t="s">
        <v>34</v>
      </c>
      <c r="Y77" t="str">
        <f>"774358705"</f>
        <v>774358705</v>
      </c>
    </row>
    <row r="78" spans="1:25" x14ac:dyDescent="0.25">
      <c r="A78" t="s">
        <v>424</v>
      </c>
      <c r="B78" t="s">
        <v>425</v>
      </c>
      <c r="C78">
        <v>2021</v>
      </c>
      <c r="D78">
        <v>8001</v>
      </c>
      <c r="E78">
        <v>2</v>
      </c>
      <c r="F78" t="s">
        <v>426</v>
      </c>
      <c r="G78">
        <v>30914489</v>
      </c>
      <c r="J78">
        <v>39.49</v>
      </c>
      <c r="L78">
        <v>49035763</v>
      </c>
      <c r="M78" s="1">
        <v>44568</v>
      </c>
      <c r="N78" t="str">
        <f>"RC220202"</f>
        <v>RC220202</v>
      </c>
      <c r="O78" t="s">
        <v>28</v>
      </c>
      <c r="Q78" t="s">
        <v>29</v>
      </c>
      <c r="R78" t="s">
        <v>28</v>
      </c>
      <c r="S78" t="s">
        <v>427</v>
      </c>
      <c r="T78" t="s">
        <v>428</v>
      </c>
      <c r="U78" t="s">
        <v>429</v>
      </c>
      <c r="W78" t="s">
        <v>430</v>
      </c>
      <c r="X78" t="s">
        <v>34</v>
      </c>
      <c r="Y78" t="str">
        <f>"774859899"</f>
        <v>774859899</v>
      </c>
    </row>
    <row r="79" spans="1:25" x14ac:dyDescent="0.25">
      <c r="A79" t="s">
        <v>431</v>
      </c>
      <c r="B79" t="s">
        <v>432</v>
      </c>
      <c r="C79">
        <v>2021</v>
      </c>
      <c r="D79">
        <v>8001</v>
      </c>
      <c r="E79">
        <v>2</v>
      </c>
      <c r="F79" t="s">
        <v>433</v>
      </c>
      <c r="G79">
        <v>31115185</v>
      </c>
      <c r="J79">
        <v>105.87</v>
      </c>
      <c r="L79">
        <v>50134680</v>
      </c>
      <c r="M79" s="1">
        <v>44602</v>
      </c>
      <c r="N79" t="str">
        <f>"RC220309"</f>
        <v>RC220309</v>
      </c>
      <c r="O79" t="s">
        <v>28</v>
      </c>
      <c r="Q79" t="s">
        <v>29</v>
      </c>
      <c r="R79" t="s">
        <v>28</v>
      </c>
      <c r="S79" t="s">
        <v>434</v>
      </c>
      <c r="T79" t="s">
        <v>435</v>
      </c>
      <c r="W79" t="s">
        <v>436</v>
      </c>
      <c r="X79" t="s">
        <v>34</v>
      </c>
      <c r="Y79" t="str">
        <f>"774440394"</f>
        <v>774440394</v>
      </c>
    </row>
    <row r="80" spans="1:25" x14ac:dyDescent="0.25">
      <c r="A80" t="s">
        <v>437</v>
      </c>
      <c r="B80" t="s">
        <v>438</v>
      </c>
      <c r="C80">
        <v>2019</v>
      </c>
      <c r="D80">
        <v>8001</v>
      </c>
      <c r="E80">
        <v>2</v>
      </c>
      <c r="F80" t="s">
        <v>439</v>
      </c>
      <c r="G80">
        <v>27748054</v>
      </c>
      <c r="J80">
        <v>17.61</v>
      </c>
      <c r="L80">
        <v>42293941</v>
      </c>
      <c r="M80" s="1">
        <v>43816</v>
      </c>
      <c r="N80" t="str">
        <f>"J191217AW11"</f>
        <v>J191217AW11</v>
      </c>
      <c r="O80" t="s">
        <v>28</v>
      </c>
      <c r="Q80" t="s">
        <v>29</v>
      </c>
      <c r="R80" t="s">
        <v>28</v>
      </c>
      <c r="S80" t="s">
        <v>440</v>
      </c>
      <c r="T80" t="s">
        <v>441</v>
      </c>
      <c r="W80" t="s">
        <v>442</v>
      </c>
      <c r="X80" t="s">
        <v>443</v>
      </c>
      <c r="Y80" t="str">
        <f>"44145"</f>
        <v>44145</v>
      </c>
    </row>
    <row r="81" spans="1:25" x14ac:dyDescent="0.25">
      <c r="A81" t="s">
        <v>444</v>
      </c>
      <c r="B81" t="s">
        <v>445</v>
      </c>
      <c r="C81">
        <v>2019</v>
      </c>
      <c r="D81">
        <v>8001</v>
      </c>
      <c r="E81">
        <v>1</v>
      </c>
      <c r="F81" t="s">
        <v>446</v>
      </c>
      <c r="G81">
        <v>27426072</v>
      </c>
      <c r="J81">
        <v>539.71</v>
      </c>
      <c r="L81">
        <v>43666195</v>
      </c>
      <c r="M81" s="1">
        <v>43868</v>
      </c>
      <c r="N81" t="str">
        <f>"J200207F4"</f>
        <v>J200207F4</v>
      </c>
      <c r="O81" t="s">
        <v>28</v>
      </c>
      <c r="Q81" t="s">
        <v>29</v>
      </c>
      <c r="R81" t="s">
        <v>28</v>
      </c>
      <c r="S81" t="s">
        <v>178</v>
      </c>
      <c r="T81" t="s">
        <v>179</v>
      </c>
      <c r="U81" t="s">
        <v>180</v>
      </c>
      <c r="W81" t="s">
        <v>107</v>
      </c>
      <c r="X81" t="s">
        <v>34</v>
      </c>
      <c r="Y81" t="str">
        <f>"774943095"</f>
        <v>774943095</v>
      </c>
    </row>
    <row r="82" spans="1:25" x14ac:dyDescent="0.25">
      <c r="A82" t="s">
        <v>447</v>
      </c>
      <c r="B82" t="s">
        <v>448</v>
      </c>
      <c r="C82">
        <v>2021</v>
      </c>
      <c r="D82">
        <v>8001</v>
      </c>
      <c r="E82">
        <v>1</v>
      </c>
      <c r="F82" t="s">
        <v>449</v>
      </c>
      <c r="G82">
        <v>0</v>
      </c>
      <c r="J82">
        <v>51.23</v>
      </c>
      <c r="L82">
        <v>48286105</v>
      </c>
      <c r="M82" s="1">
        <v>44532</v>
      </c>
      <c r="N82" t="str">
        <f>"J211202K3"</f>
        <v>J211202K3</v>
      </c>
      <c r="O82" t="s">
        <v>28</v>
      </c>
      <c r="Q82" t="s">
        <v>29</v>
      </c>
      <c r="R82" t="s">
        <v>28</v>
      </c>
      <c r="S82" t="s">
        <v>449</v>
      </c>
      <c r="T82" t="s">
        <v>450</v>
      </c>
      <c r="U82" t="s">
        <v>60</v>
      </c>
      <c r="V82" t="s">
        <v>60</v>
      </c>
      <c r="W82" t="s">
        <v>214</v>
      </c>
      <c r="X82" t="s">
        <v>34</v>
      </c>
      <c r="Y82" t="str">
        <f>"774063897   "</f>
        <v xml:space="preserve">774063897   </v>
      </c>
    </row>
    <row r="83" spans="1:25" x14ac:dyDescent="0.25">
      <c r="A83" t="s">
        <v>451</v>
      </c>
      <c r="B83" t="s">
        <v>452</v>
      </c>
      <c r="C83">
        <v>2020</v>
      </c>
      <c r="D83">
        <v>8001</v>
      </c>
      <c r="E83">
        <v>4</v>
      </c>
      <c r="F83" t="s">
        <v>453</v>
      </c>
      <c r="G83">
        <v>29955714</v>
      </c>
      <c r="J83">
        <v>19.22</v>
      </c>
      <c r="L83">
        <v>47679398</v>
      </c>
      <c r="M83" s="1">
        <v>44413</v>
      </c>
      <c r="N83" t="str">
        <f>"CC210805"</f>
        <v>CC210805</v>
      </c>
      <c r="O83" t="s">
        <v>28</v>
      </c>
      <c r="Q83" t="s">
        <v>29</v>
      </c>
      <c r="R83" t="s">
        <v>28</v>
      </c>
      <c r="S83" t="s">
        <v>454</v>
      </c>
      <c r="T83" t="s">
        <v>455</v>
      </c>
      <c r="W83" t="s">
        <v>193</v>
      </c>
      <c r="X83" t="s">
        <v>34</v>
      </c>
      <c r="Y83" t="str">
        <f>"77441"</f>
        <v>77441</v>
      </c>
    </row>
    <row r="84" spans="1:25" x14ac:dyDescent="0.25">
      <c r="A84" t="s">
        <v>456</v>
      </c>
      <c r="B84" t="s">
        <v>457</v>
      </c>
      <c r="C84">
        <v>2019</v>
      </c>
      <c r="D84">
        <v>8001</v>
      </c>
      <c r="E84">
        <v>1</v>
      </c>
      <c r="F84" t="s">
        <v>458</v>
      </c>
      <c r="G84">
        <v>21750102</v>
      </c>
      <c r="J84" s="2">
        <v>1719.66</v>
      </c>
      <c r="L84">
        <v>43678504</v>
      </c>
      <c r="M84" s="1">
        <v>43868</v>
      </c>
      <c r="N84" t="str">
        <f>"O200207BS1"</f>
        <v>O200207BS1</v>
      </c>
      <c r="O84" t="s">
        <v>28</v>
      </c>
      <c r="Q84" t="s">
        <v>29</v>
      </c>
      <c r="R84" t="s">
        <v>28</v>
      </c>
      <c r="S84" t="s">
        <v>459</v>
      </c>
      <c r="T84" t="s">
        <v>460</v>
      </c>
      <c r="U84" t="s">
        <v>461</v>
      </c>
      <c r="W84" t="s">
        <v>462</v>
      </c>
      <c r="X84" t="s">
        <v>463</v>
      </c>
      <c r="Y84" t="str">
        <f>"352360567"</f>
        <v>352360567</v>
      </c>
    </row>
    <row r="85" spans="1:25" x14ac:dyDescent="0.25">
      <c r="A85" t="s">
        <v>464</v>
      </c>
      <c r="B85" t="s">
        <v>465</v>
      </c>
      <c r="C85">
        <v>2020</v>
      </c>
      <c r="D85">
        <v>8001</v>
      </c>
      <c r="E85">
        <v>1</v>
      </c>
      <c r="F85" t="s">
        <v>466</v>
      </c>
      <c r="G85">
        <v>28838484</v>
      </c>
      <c r="J85" s="2">
        <v>8049.17</v>
      </c>
      <c r="L85">
        <v>45056257</v>
      </c>
      <c r="M85" s="1">
        <v>44167</v>
      </c>
      <c r="N85" t="str">
        <f>"O201202W1"</f>
        <v>O201202W1</v>
      </c>
      <c r="O85" t="s">
        <v>28</v>
      </c>
      <c r="Q85" t="s">
        <v>29</v>
      </c>
      <c r="R85" t="s">
        <v>28</v>
      </c>
      <c r="S85" t="s">
        <v>467</v>
      </c>
      <c r="T85" t="s">
        <v>468</v>
      </c>
      <c r="W85" t="s">
        <v>332</v>
      </c>
      <c r="X85" t="s">
        <v>34</v>
      </c>
      <c r="Y85" t="str">
        <f>"752405229"</f>
        <v>752405229</v>
      </c>
    </row>
    <row r="86" spans="1:25" x14ac:dyDescent="0.25">
      <c r="A86" t="s">
        <v>469</v>
      </c>
      <c r="B86" t="s">
        <v>470</v>
      </c>
      <c r="C86">
        <v>2020</v>
      </c>
      <c r="D86">
        <v>8001</v>
      </c>
      <c r="E86">
        <v>2</v>
      </c>
      <c r="F86" t="s">
        <v>471</v>
      </c>
      <c r="G86">
        <v>23164768</v>
      </c>
      <c r="J86">
        <v>28.98</v>
      </c>
      <c r="L86">
        <v>46699031</v>
      </c>
      <c r="M86" s="1">
        <v>44230</v>
      </c>
      <c r="N86" t="str">
        <f>"O210203F1"</f>
        <v>O210203F1</v>
      </c>
      <c r="O86" t="s">
        <v>28</v>
      </c>
      <c r="Q86" t="s">
        <v>29</v>
      </c>
      <c r="R86" t="s">
        <v>28</v>
      </c>
      <c r="S86" t="s">
        <v>472</v>
      </c>
      <c r="T86" t="s">
        <v>441</v>
      </c>
      <c r="W86" t="s">
        <v>442</v>
      </c>
      <c r="X86" t="s">
        <v>443</v>
      </c>
      <c r="Y86" t="str">
        <f>"441451050"</f>
        <v>441451050</v>
      </c>
    </row>
    <row r="87" spans="1:25" x14ac:dyDescent="0.25">
      <c r="A87" t="s">
        <v>473</v>
      </c>
      <c r="B87" t="s">
        <v>474</v>
      </c>
      <c r="C87">
        <v>2019</v>
      </c>
      <c r="D87">
        <v>8001</v>
      </c>
      <c r="E87">
        <v>5</v>
      </c>
      <c r="F87" t="s">
        <v>475</v>
      </c>
      <c r="G87">
        <v>0</v>
      </c>
      <c r="J87">
        <v>7.68</v>
      </c>
      <c r="L87">
        <v>44070560</v>
      </c>
      <c r="M87" s="1">
        <v>43937</v>
      </c>
      <c r="N87" t="str">
        <f>"J200416F9"</f>
        <v>J200416F9</v>
      </c>
      <c r="O87" t="s">
        <v>28</v>
      </c>
      <c r="Q87" t="s">
        <v>29</v>
      </c>
      <c r="R87" t="s">
        <v>28</v>
      </c>
      <c r="S87" t="s">
        <v>475</v>
      </c>
      <c r="T87" t="s">
        <v>476</v>
      </c>
      <c r="U87" t="s">
        <v>60</v>
      </c>
      <c r="V87" t="s">
        <v>60</v>
      </c>
      <c r="W87" t="s">
        <v>477</v>
      </c>
      <c r="X87" t="s">
        <v>34</v>
      </c>
      <c r="Y87" t="str">
        <f>"774760586   "</f>
        <v xml:space="preserve">774760586   </v>
      </c>
    </row>
    <row r="88" spans="1:25" x14ac:dyDescent="0.25">
      <c r="A88" t="s">
        <v>478</v>
      </c>
      <c r="B88" t="s">
        <v>479</v>
      </c>
      <c r="C88">
        <v>2020</v>
      </c>
      <c r="D88">
        <v>8001</v>
      </c>
      <c r="E88">
        <v>1</v>
      </c>
      <c r="F88" t="s">
        <v>480</v>
      </c>
      <c r="G88">
        <v>29596072</v>
      </c>
      <c r="J88">
        <v>8.91</v>
      </c>
      <c r="L88">
        <v>47018841</v>
      </c>
      <c r="M88" s="1">
        <v>44258</v>
      </c>
      <c r="N88" t="str">
        <f>"EK210303"</f>
        <v>EK210303</v>
      </c>
      <c r="O88" t="s">
        <v>28</v>
      </c>
      <c r="Q88" t="s">
        <v>29</v>
      </c>
      <c r="R88" t="s">
        <v>28</v>
      </c>
      <c r="S88" t="s">
        <v>481</v>
      </c>
      <c r="T88" t="s">
        <v>482</v>
      </c>
      <c r="W88" t="s">
        <v>430</v>
      </c>
      <c r="X88" t="s">
        <v>34</v>
      </c>
      <c r="Y88" t="str">
        <f>"77485"</f>
        <v>77485</v>
      </c>
    </row>
    <row r="89" spans="1:25" x14ac:dyDescent="0.25">
      <c r="A89" t="s">
        <v>483</v>
      </c>
      <c r="B89" t="s">
        <v>484</v>
      </c>
      <c r="C89">
        <v>2021</v>
      </c>
      <c r="D89">
        <v>8001</v>
      </c>
      <c r="E89">
        <v>1</v>
      </c>
      <c r="F89" t="s">
        <v>485</v>
      </c>
      <c r="G89">
        <v>0</v>
      </c>
      <c r="J89">
        <v>17.48</v>
      </c>
      <c r="L89">
        <v>49657180</v>
      </c>
      <c r="M89" s="1">
        <v>44589</v>
      </c>
      <c r="N89" t="str">
        <f>"L220128"</f>
        <v>L220128</v>
      </c>
      <c r="O89" t="s">
        <v>28</v>
      </c>
      <c r="Q89" t="s">
        <v>29</v>
      </c>
      <c r="R89" t="s">
        <v>28</v>
      </c>
      <c r="S89" t="s">
        <v>485</v>
      </c>
      <c r="T89" t="s">
        <v>486</v>
      </c>
      <c r="U89" t="s">
        <v>60</v>
      </c>
      <c r="V89" t="s">
        <v>60</v>
      </c>
      <c r="W89" t="s">
        <v>273</v>
      </c>
      <c r="X89" t="s">
        <v>34</v>
      </c>
      <c r="Y89" t="str">
        <f>"774410961   "</f>
        <v xml:space="preserve">774410961   </v>
      </c>
    </row>
    <row r="90" spans="1:25" x14ac:dyDescent="0.25">
      <c r="A90" t="s">
        <v>487</v>
      </c>
      <c r="B90" t="s">
        <v>488</v>
      </c>
      <c r="C90">
        <v>2020</v>
      </c>
      <c r="D90">
        <v>8001</v>
      </c>
      <c r="E90">
        <v>1</v>
      </c>
      <c r="F90" t="s">
        <v>489</v>
      </c>
      <c r="G90">
        <v>29556790</v>
      </c>
      <c r="J90">
        <v>20.04</v>
      </c>
      <c r="L90">
        <v>46527692</v>
      </c>
      <c r="M90" s="1">
        <v>44225</v>
      </c>
      <c r="N90" t="str">
        <f>"RC210224"</f>
        <v>RC210224</v>
      </c>
      <c r="O90" t="s">
        <v>28</v>
      </c>
      <c r="Q90" t="s">
        <v>29</v>
      </c>
      <c r="R90" t="s">
        <v>28</v>
      </c>
      <c r="S90" t="s">
        <v>490</v>
      </c>
      <c r="T90" t="s">
        <v>491</v>
      </c>
      <c r="W90" t="s">
        <v>492</v>
      </c>
      <c r="X90" t="s">
        <v>34</v>
      </c>
      <c r="Y90" t="str">
        <f>"78610"</f>
        <v>78610</v>
      </c>
    </row>
    <row r="91" spans="1:25" x14ac:dyDescent="0.25">
      <c r="A91" t="s">
        <v>493</v>
      </c>
      <c r="B91" t="s">
        <v>494</v>
      </c>
      <c r="C91">
        <v>2020</v>
      </c>
      <c r="D91">
        <v>8001</v>
      </c>
      <c r="E91">
        <v>1</v>
      </c>
      <c r="F91" t="s">
        <v>495</v>
      </c>
      <c r="G91">
        <v>0</v>
      </c>
      <c r="J91">
        <v>0.6</v>
      </c>
      <c r="L91">
        <v>46442644</v>
      </c>
      <c r="M91" s="1">
        <v>44224</v>
      </c>
      <c r="N91" t="str">
        <f>"P210128E1"</f>
        <v>P210128E1</v>
      </c>
      <c r="O91" t="s">
        <v>260</v>
      </c>
      <c r="Q91" t="s">
        <v>29</v>
      </c>
      <c r="R91" t="s">
        <v>28</v>
      </c>
      <c r="S91" t="s">
        <v>495</v>
      </c>
      <c r="T91" t="s">
        <v>496</v>
      </c>
      <c r="U91" t="s">
        <v>60</v>
      </c>
      <c r="V91" t="s">
        <v>60</v>
      </c>
      <c r="W91" t="s">
        <v>477</v>
      </c>
      <c r="X91" t="s">
        <v>34</v>
      </c>
      <c r="Y91" t="str">
        <f>"774760649   "</f>
        <v xml:space="preserve">774760649   </v>
      </c>
    </row>
    <row r="92" spans="1:25" x14ac:dyDescent="0.25">
      <c r="A92" t="s">
        <v>497</v>
      </c>
      <c r="B92" t="s">
        <v>498</v>
      </c>
      <c r="C92">
        <v>2021</v>
      </c>
      <c r="D92">
        <v>8001</v>
      </c>
      <c r="E92">
        <v>1</v>
      </c>
      <c r="F92" t="s">
        <v>499</v>
      </c>
      <c r="G92">
        <v>23453764</v>
      </c>
      <c r="J92">
        <v>514.19000000000005</v>
      </c>
      <c r="L92">
        <v>49175380</v>
      </c>
      <c r="M92" s="1">
        <v>44574</v>
      </c>
      <c r="N92" t="str">
        <f>"RC220221"</f>
        <v>RC220221</v>
      </c>
      <c r="O92" t="s">
        <v>28</v>
      </c>
      <c r="Q92" t="s">
        <v>29</v>
      </c>
      <c r="R92" t="s">
        <v>28</v>
      </c>
      <c r="S92" t="s">
        <v>500</v>
      </c>
      <c r="T92" t="s">
        <v>501</v>
      </c>
      <c r="W92" t="s">
        <v>40</v>
      </c>
      <c r="X92" t="s">
        <v>34</v>
      </c>
      <c r="Y92" t="str">
        <f>"774795781"</f>
        <v>774795781</v>
      </c>
    </row>
    <row r="93" spans="1:25" x14ac:dyDescent="0.25">
      <c r="A93" t="s">
        <v>502</v>
      </c>
      <c r="B93" t="s">
        <v>503</v>
      </c>
      <c r="C93">
        <v>2021</v>
      </c>
      <c r="D93">
        <v>8001</v>
      </c>
      <c r="E93">
        <v>11</v>
      </c>
      <c r="F93" t="s">
        <v>504</v>
      </c>
      <c r="G93">
        <v>0</v>
      </c>
      <c r="J93">
        <v>342.24</v>
      </c>
      <c r="L93">
        <v>47712104</v>
      </c>
      <c r="M93" s="1">
        <v>44516</v>
      </c>
      <c r="N93" t="str">
        <f>"TE211116"</f>
        <v>TE211116</v>
      </c>
      <c r="O93" t="s">
        <v>28</v>
      </c>
      <c r="Q93" t="s">
        <v>29</v>
      </c>
      <c r="R93" t="s">
        <v>28</v>
      </c>
      <c r="S93" t="s">
        <v>504</v>
      </c>
      <c r="T93" t="s">
        <v>505</v>
      </c>
      <c r="U93" t="s">
        <v>60</v>
      </c>
      <c r="V93" t="s">
        <v>60</v>
      </c>
      <c r="W93" t="s">
        <v>506</v>
      </c>
      <c r="X93" t="s">
        <v>34</v>
      </c>
      <c r="Y93" t="str">
        <f>"774309600   "</f>
        <v xml:space="preserve">774309600   </v>
      </c>
    </row>
    <row r="94" spans="1:25" x14ac:dyDescent="0.25">
      <c r="A94" t="s">
        <v>502</v>
      </c>
      <c r="B94" t="s">
        <v>503</v>
      </c>
      <c r="C94">
        <v>2021</v>
      </c>
      <c r="D94">
        <v>8001</v>
      </c>
      <c r="E94">
        <v>11</v>
      </c>
      <c r="F94" t="s">
        <v>504</v>
      </c>
      <c r="G94">
        <v>25483033</v>
      </c>
      <c r="J94">
        <v>500</v>
      </c>
      <c r="L94">
        <v>47746312</v>
      </c>
      <c r="M94" s="1">
        <v>44516</v>
      </c>
      <c r="N94" t="str">
        <f>"TE211116"</f>
        <v>TE211116</v>
      </c>
      <c r="O94" t="s">
        <v>28</v>
      </c>
      <c r="Q94" t="s">
        <v>29</v>
      </c>
      <c r="R94" t="s">
        <v>28</v>
      </c>
      <c r="S94" t="s">
        <v>507</v>
      </c>
      <c r="T94" t="s">
        <v>508</v>
      </c>
      <c r="U94" t="s">
        <v>509</v>
      </c>
      <c r="W94" t="s">
        <v>46</v>
      </c>
      <c r="X94" t="s">
        <v>34</v>
      </c>
      <c r="Y94" t="str">
        <f>"774309600"</f>
        <v>774309600</v>
      </c>
    </row>
    <row r="95" spans="1:25" x14ac:dyDescent="0.25">
      <c r="A95" t="s">
        <v>502</v>
      </c>
      <c r="B95" t="s">
        <v>503</v>
      </c>
      <c r="C95">
        <v>2021</v>
      </c>
      <c r="D95">
        <v>8001</v>
      </c>
      <c r="E95">
        <v>11</v>
      </c>
      <c r="F95" t="s">
        <v>504</v>
      </c>
      <c r="G95">
        <v>0</v>
      </c>
      <c r="J95">
        <v>500</v>
      </c>
      <c r="L95">
        <v>47826701</v>
      </c>
      <c r="M95" s="1">
        <v>44516</v>
      </c>
      <c r="N95" t="str">
        <f>"TE211116"</f>
        <v>TE211116</v>
      </c>
      <c r="O95" t="s">
        <v>28</v>
      </c>
      <c r="Q95" t="s">
        <v>29</v>
      </c>
      <c r="R95" t="s">
        <v>28</v>
      </c>
      <c r="S95" t="s">
        <v>504</v>
      </c>
      <c r="T95" t="s">
        <v>505</v>
      </c>
      <c r="U95" t="s">
        <v>60</v>
      </c>
      <c r="V95" t="s">
        <v>60</v>
      </c>
      <c r="W95" t="s">
        <v>506</v>
      </c>
      <c r="X95" t="s">
        <v>34</v>
      </c>
      <c r="Y95" t="str">
        <f>"774309600   "</f>
        <v xml:space="preserve">774309600   </v>
      </c>
    </row>
    <row r="96" spans="1:25" x14ac:dyDescent="0.25">
      <c r="A96" t="s">
        <v>502</v>
      </c>
      <c r="B96" t="s">
        <v>503</v>
      </c>
      <c r="C96">
        <v>2021</v>
      </c>
      <c r="D96">
        <v>8001</v>
      </c>
      <c r="E96">
        <v>11</v>
      </c>
      <c r="F96" t="s">
        <v>504</v>
      </c>
      <c r="G96">
        <v>25775232</v>
      </c>
      <c r="J96">
        <v>500</v>
      </c>
      <c r="L96">
        <v>47911591</v>
      </c>
      <c r="M96" s="1">
        <v>44516</v>
      </c>
      <c r="N96" t="str">
        <f>"TE211116"</f>
        <v>TE211116</v>
      </c>
      <c r="O96" t="s">
        <v>28</v>
      </c>
      <c r="Q96" t="s">
        <v>29</v>
      </c>
      <c r="R96" t="s">
        <v>28</v>
      </c>
      <c r="S96" t="s">
        <v>510</v>
      </c>
      <c r="T96" t="s">
        <v>509</v>
      </c>
      <c r="W96" t="s">
        <v>46</v>
      </c>
      <c r="X96" t="s">
        <v>34</v>
      </c>
      <c r="Y96" t="str">
        <f>"774309600"</f>
        <v>774309600</v>
      </c>
    </row>
    <row r="97" spans="1:25" x14ac:dyDescent="0.25">
      <c r="A97" t="s">
        <v>511</v>
      </c>
      <c r="B97" t="s">
        <v>512</v>
      </c>
      <c r="C97">
        <v>2018</v>
      </c>
      <c r="D97">
        <v>8001</v>
      </c>
      <c r="E97">
        <v>4</v>
      </c>
      <c r="F97" t="s">
        <v>513</v>
      </c>
      <c r="G97">
        <v>0</v>
      </c>
      <c r="J97">
        <v>6.27</v>
      </c>
      <c r="L97">
        <v>41227034</v>
      </c>
      <c r="M97" s="1">
        <v>43608</v>
      </c>
      <c r="N97" t="str">
        <f>"J190523B2"</f>
        <v>J190523B2</v>
      </c>
      <c r="O97" t="s">
        <v>28</v>
      </c>
      <c r="Q97" t="s">
        <v>29</v>
      </c>
      <c r="R97" t="s">
        <v>28</v>
      </c>
      <c r="S97" t="s">
        <v>513</v>
      </c>
      <c r="T97" t="s">
        <v>514</v>
      </c>
      <c r="U97" t="s">
        <v>60</v>
      </c>
      <c r="V97" t="s">
        <v>60</v>
      </c>
      <c r="W97" t="s">
        <v>61</v>
      </c>
      <c r="X97" t="s">
        <v>34</v>
      </c>
      <c r="Y97" t="str">
        <f>"774850736   "</f>
        <v xml:space="preserve">774850736   </v>
      </c>
    </row>
    <row r="98" spans="1:25" x14ac:dyDescent="0.25">
      <c r="A98" t="s">
        <v>511</v>
      </c>
      <c r="B98" t="s">
        <v>512</v>
      </c>
      <c r="C98">
        <v>2019</v>
      </c>
      <c r="D98">
        <v>8001</v>
      </c>
      <c r="E98">
        <v>3</v>
      </c>
      <c r="F98" t="s">
        <v>513</v>
      </c>
      <c r="G98">
        <v>28657270</v>
      </c>
      <c r="J98">
        <v>5.88</v>
      </c>
      <c r="L98">
        <v>44534805</v>
      </c>
      <c r="M98" s="1">
        <v>44083</v>
      </c>
      <c r="N98" t="str">
        <f>"RC200914"</f>
        <v>RC200914</v>
      </c>
      <c r="O98" t="s">
        <v>28</v>
      </c>
      <c r="Q98" t="s">
        <v>29</v>
      </c>
      <c r="R98" t="s">
        <v>28</v>
      </c>
      <c r="S98" t="s">
        <v>515</v>
      </c>
      <c r="T98" t="s">
        <v>516</v>
      </c>
      <c r="W98" t="s">
        <v>430</v>
      </c>
      <c r="X98" t="s">
        <v>34</v>
      </c>
      <c r="Y98" t="str">
        <f>"77485736"</f>
        <v>77485736</v>
      </c>
    </row>
    <row r="99" spans="1:25" x14ac:dyDescent="0.25">
      <c r="A99" t="s">
        <v>517</v>
      </c>
      <c r="B99" t="s">
        <v>518</v>
      </c>
      <c r="C99">
        <v>2019</v>
      </c>
      <c r="D99">
        <v>8001</v>
      </c>
      <c r="E99">
        <v>1</v>
      </c>
      <c r="F99" t="s">
        <v>519</v>
      </c>
      <c r="G99">
        <v>22424318</v>
      </c>
      <c r="J99">
        <v>31.82</v>
      </c>
      <c r="L99">
        <v>44305411</v>
      </c>
      <c r="M99" s="1">
        <v>43997</v>
      </c>
      <c r="N99" t="str">
        <f>"O200615AO5"</f>
        <v>O200615AO5</v>
      </c>
      <c r="O99" t="s">
        <v>28</v>
      </c>
      <c r="Q99" t="s">
        <v>29</v>
      </c>
      <c r="R99" t="s">
        <v>28</v>
      </c>
      <c r="S99" t="s">
        <v>520</v>
      </c>
      <c r="T99" t="s">
        <v>521</v>
      </c>
      <c r="W99" t="s">
        <v>75</v>
      </c>
      <c r="X99" t="s">
        <v>34</v>
      </c>
      <c r="Y99" t="str">
        <f>"770213427"</f>
        <v>770213427</v>
      </c>
    </row>
    <row r="100" spans="1:25" x14ac:dyDescent="0.25">
      <c r="A100" t="s">
        <v>522</v>
      </c>
      <c r="B100" t="s">
        <v>523</v>
      </c>
      <c r="C100">
        <v>2021</v>
      </c>
      <c r="D100">
        <v>8001</v>
      </c>
      <c r="E100">
        <v>2</v>
      </c>
      <c r="F100" t="s">
        <v>524</v>
      </c>
      <c r="G100">
        <v>0</v>
      </c>
      <c r="J100">
        <v>7.05</v>
      </c>
      <c r="L100">
        <v>48286485</v>
      </c>
      <c r="M100" s="1">
        <v>44532</v>
      </c>
      <c r="N100" t="str">
        <f>"L211202"</f>
        <v>L211202</v>
      </c>
      <c r="O100" t="s">
        <v>28</v>
      </c>
      <c r="Q100" t="s">
        <v>29</v>
      </c>
      <c r="R100" t="s">
        <v>28</v>
      </c>
      <c r="S100" t="s">
        <v>524</v>
      </c>
      <c r="T100" t="s">
        <v>525</v>
      </c>
      <c r="U100" t="s">
        <v>60</v>
      </c>
      <c r="V100" t="s">
        <v>60</v>
      </c>
      <c r="W100" t="s">
        <v>526</v>
      </c>
      <c r="X100" t="s">
        <v>34</v>
      </c>
      <c r="Y100" t="str">
        <f>"774640464   "</f>
        <v xml:space="preserve">774640464   </v>
      </c>
    </row>
    <row r="101" spans="1:25" x14ac:dyDescent="0.25">
      <c r="A101" t="s">
        <v>527</v>
      </c>
      <c r="B101" t="s">
        <v>528</v>
      </c>
      <c r="C101">
        <v>2020</v>
      </c>
      <c r="D101">
        <v>8001</v>
      </c>
      <c r="E101">
        <v>1</v>
      </c>
      <c r="F101" t="s">
        <v>529</v>
      </c>
      <c r="G101">
        <v>29859264</v>
      </c>
      <c r="J101">
        <v>8.89</v>
      </c>
      <c r="L101">
        <v>47500763</v>
      </c>
      <c r="M101" s="1">
        <v>44351</v>
      </c>
      <c r="N101" t="str">
        <f>"CC210604"</f>
        <v>CC210604</v>
      </c>
      <c r="O101" t="s">
        <v>28</v>
      </c>
      <c r="Q101" t="s">
        <v>29</v>
      </c>
      <c r="R101" t="s">
        <v>28</v>
      </c>
      <c r="S101" t="s">
        <v>530</v>
      </c>
      <c r="T101" t="s">
        <v>531</v>
      </c>
      <c r="W101" t="s">
        <v>430</v>
      </c>
      <c r="X101" t="s">
        <v>34</v>
      </c>
      <c r="Y101" t="str">
        <f>"77485"</f>
        <v>77485</v>
      </c>
    </row>
    <row r="102" spans="1:25" x14ac:dyDescent="0.25">
      <c r="A102" t="s">
        <v>532</v>
      </c>
      <c r="B102" t="s">
        <v>533</v>
      </c>
      <c r="C102">
        <v>2018</v>
      </c>
      <c r="D102">
        <v>8001</v>
      </c>
      <c r="E102">
        <v>2</v>
      </c>
      <c r="F102" t="s">
        <v>534</v>
      </c>
      <c r="G102">
        <v>22343054</v>
      </c>
      <c r="J102">
        <v>48.62</v>
      </c>
      <c r="L102">
        <v>41033259</v>
      </c>
      <c r="M102" s="1">
        <v>43553</v>
      </c>
      <c r="N102" t="str">
        <f>"O190329X5"</f>
        <v>O190329X5</v>
      </c>
      <c r="O102" t="s">
        <v>28</v>
      </c>
      <c r="Q102" t="s">
        <v>29</v>
      </c>
      <c r="R102" t="s">
        <v>28</v>
      </c>
      <c r="S102" t="s">
        <v>535</v>
      </c>
      <c r="T102" t="s">
        <v>536</v>
      </c>
      <c r="W102" t="s">
        <v>537</v>
      </c>
      <c r="X102" t="s">
        <v>34</v>
      </c>
      <c r="Y102" t="str">
        <f>"780234186"</f>
        <v>780234186</v>
      </c>
    </row>
    <row r="103" spans="1:25" x14ac:dyDescent="0.25">
      <c r="A103" t="s">
        <v>538</v>
      </c>
      <c r="B103" t="s">
        <v>539</v>
      </c>
      <c r="C103">
        <v>2020</v>
      </c>
      <c r="D103">
        <v>8001</v>
      </c>
      <c r="E103">
        <v>1</v>
      </c>
      <c r="F103" t="s">
        <v>540</v>
      </c>
      <c r="G103">
        <v>29576662</v>
      </c>
      <c r="J103">
        <v>31.55</v>
      </c>
      <c r="L103">
        <v>46885373</v>
      </c>
      <c r="M103" s="1">
        <v>44236</v>
      </c>
      <c r="N103" t="str">
        <f>"RC210304"</f>
        <v>RC210304</v>
      </c>
      <c r="O103" t="s">
        <v>28</v>
      </c>
      <c r="Q103" t="s">
        <v>29</v>
      </c>
      <c r="R103" t="s">
        <v>28</v>
      </c>
      <c r="S103" t="s">
        <v>541</v>
      </c>
      <c r="T103" t="s">
        <v>542</v>
      </c>
      <c r="W103" t="s">
        <v>543</v>
      </c>
      <c r="X103" t="s">
        <v>34</v>
      </c>
      <c r="Y103" t="str">
        <f>"77356-8505"</f>
        <v>77356-8505</v>
      </c>
    </row>
    <row r="104" spans="1:25" x14ac:dyDescent="0.25">
      <c r="A104" t="s">
        <v>544</v>
      </c>
      <c r="B104" t="s">
        <v>545</v>
      </c>
      <c r="C104">
        <v>2020</v>
      </c>
      <c r="D104">
        <v>8001</v>
      </c>
      <c r="E104">
        <v>1</v>
      </c>
      <c r="F104" t="s">
        <v>540</v>
      </c>
      <c r="G104">
        <v>29576662</v>
      </c>
      <c r="J104">
        <v>10.5</v>
      </c>
      <c r="L104">
        <v>46885374</v>
      </c>
      <c r="M104" s="1">
        <v>44236</v>
      </c>
      <c r="N104" t="str">
        <f>"RC210304"</f>
        <v>RC210304</v>
      </c>
      <c r="O104" t="s">
        <v>28</v>
      </c>
      <c r="Q104" t="s">
        <v>29</v>
      </c>
      <c r="R104" t="s">
        <v>28</v>
      </c>
      <c r="S104" t="s">
        <v>541</v>
      </c>
      <c r="T104" t="s">
        <v>542</v>
      </c>
      <c r="W104" t="s">
        <v>543</v>
      </c>
      <c r="X104" t="s">
        <v>34</v>
      </c>
      <c r="Y104" t="str">
        <f>"77356-8505"</f>
        <v>77356-8505</v>
      </c>
    </row>
    <row r="105" spans="1:25" x14ac:dyDescent="0.25">
      <c r="A105" t="s">
        <v>546</v>
      </c>
      <c r="B105" t="s">
        <v>547</v>
      </c>
      <c r="C105">
        <v>2021</v>
      </c>
      <c r="D105">
        <v>8001</v>
      </c>
      <c r="E105">
        <v>9</v>
      </c>
      <c r="F105" t="s">
        <v>548</v>
      </c>
      <c r="G105">
        <v>22971682</v>
      </c>
      <c r="J105">
        <v>75.959999999999994</v>
      </c>
      <c r="L105">
        <v>50092365</v>
      </c>
      <c r="M105" s="1">
        <v>44600</v>
      </c>
      <c r="N105" t="str">
        <f>"RC220309"</f>
        <v>RC220309</v>
      </c>
      <c r="O105" t="s">
        <v>28</v>
      </c>
      <c r="Q105" t="s">
        <v>29</v>
      </c>
      <c r="R105" t="s">
        <v>28</v>
      </c>
      <c r="S105" t="s">
        <v>549</v>
      </c>
      <c r="T105" t="s">
        <v>550</v>
      </c>
      <c r="W105" t="s">
        <v>392</v>
      </c>
      <c r="X105" t="s">
        <v>34</v>
      </c>
      <c r="Y105" t="str">
        <f>"774592990"</f>
        <v>774592990</v>
      </c>
    </row>
    <row r="106" spans="1:25" x14ac:dyDescent="0.25">
      <c r="A106" t="s">
        <v>551</v>
      </c>
      <c r="B106" t="s">
        <v>552</v>
      </c>
      <c r="C106">
        <v>2020</v>
      </c>
      <c r="D106">
        <v>8001</v>
      </c>
      <c r="E106">
        <v>1</v>
      </c>
      <c r="F106" t="s">
        <v>553</v>
      </c>
      <c r="G106">
        <v>0</v>
      </c>
      <c r="J106">
        <v>694.02</v>
      </c>
      <c r="L106">
        <v>46334601</v>
      </c>
      <c r="M106" s="1">
        <v>44222</v>
      </c>
      <c r="N106" t="str">
        <f>"L210126"</f>
        <v>L210126</v>
      </c>
      <c r="O106" t="s">
        <v>28</v>
      </c>
      <c r="Q106" t="s">
        <v>29</v>
      </c>
      <c r="R106" t="s">
        <v>28</v>
      </c>
      <c r="S106" t="s">
        <v>553</v>
      </c>
      <c r="T106" t="s">
        <v>554</v>
      </c>
      <c r="U106" t="s">
        <v>555</v>
      </c>
      <c r="V106" t="s">
        <v>60</v>
      </c>
      <c r="W106" t="s">
        <v>556</v>
      </c>
      <c r="X106" t="s">
        <v>557</v>
      </c>
      <c r="Y106" t="str">
        <f>"066111350   "</f>
        <v xml:space="preserve">066111350   </v>
      </c>
    </row>
    <row r="107" spans="1:25" x14ac:dyDescent="0.25">
      <c r="A107" t="s">
        <v>558</v>
      </c>
      <c r="B107" t="s">
        <v>559</v>
      </c>
      <c r="C107">
        <v>2019</v>
      </c>
      <c r="D107">
        <v>8001</v>
      </c>
      <c r="E107">
        <v>3</v>
      </c>
      <c r="F107" t="s">
        <v>560</v>
      </c>
      <c r="G107">
        <v>27687617</v>
      </c>
      <c r="J107">
        <v>43.41</v>
      </c>
      <c r="L107">
        <v>44437034</v>
      </c>
      <c r="M107" s="1">
        <v>44040</v>
      </c>
      <c r="N107" t="str">
        <f>"J200728AW7"</f>
        <v>J200728AW7</v>
      </c>
      <c r="O107" t="s">
        <v>28</v>
      </c>
      <c r="Q107" t="s">
        <v>29</v>
      </c>
      <c r="R107" t="s">
        <v>28</v>
      </c>
      <c r="S107" t="s">
        <v>561</v>
      </c>
      <c r="T107" t="s">
        <v>562</v>
      </c>
      <c r="W107" t="s">
        <v>563</v>
      </c>
      <c r="X107" t="s">
        <v>34</v>
      </c>
      <c r="Y107" t="str">
        <f>"750630156"</f>
        <v>750630156</v>
      </c>
    </row>
    <row r="108" spans="1:25" x14ac:dyDescent="0.25">
      <c r="A108" t="s">
        <v>564</v>
      </c>
      <c r="B108" t="s">
        <v>565</v>
      </c>
      <c r="C108">
        <v>2020</v>
      </c>
      <c r="D108">
        <v>8001</v>
      </c>
      <c r="E108">
        <v>2</v>
      </c>
      <c r="F108" t="s">
        <v>566</v>
      </c>
      <c r="G108">
        <v>0</v>
      </c>
      <c r="J108">
        <v>6.71</v>
      </c>
      <c r="L108">
        <v>47519910</v>
      </c>
      <c r="M108" s="1">
        <v>44357</v>
      </c>
      <c r="N108" t="str">
        <f>"J210610BW2"</f>
        <v>J210610BW2</v>
      </c>
      <c r="O108" t="s">
        <v>28</v>
      </c>
      <c r="Q108" t="s">
        <v>29</v>
      </c>
      <c r="R108" t="s">
        <v>28</v>
      </c>
      <c r="S108" t="s">
        <v>566</v>
      </c>
      <c r="T108" t="s">
        <v>567</v>
      </c>
      <c r="U108" t="s">
        <v>60</v>
      </c>
      <c r="V108" t="s">
        <v>60</v>
      </c>
      <c r="W108" t="s">
        <v>568</v>
      </c>
      <c r="X108" t="s">
        <v>34</v>
      </c>
      <c r="Y108" t="str">
        <f>"787343408   "</f>
        <v xml:space="preserve">787343408   </v>
      </c>
    </row>
    <row r="109" spans="1:25" x14ac:dyDescent="0.25">
      <c r="A109" t="s">
        <v>569</v>
      </c>
      <c r="B109" t="s">
        <v>570</v>
      </c>
      <c r="C109">
        <v>2020</v>
      </c>
      <c r="D109">
        <v>8001</v>
      </c>
      <c r="E109">
        <v>1</v>
      </c>
      <c r="F109" t="s">
        <v>571</v>
      </c>
      <c r="G109">
        <v>20729334</v>
      </c>
      <c r="J109">
        <v>52.13</v>
      </c>
      <c r="L109">
        <v>45728261</v>
      </c>
      <c r="M109" s="1">
        <v>44202</v>
      </c>
      <c r="N109" t="str">
        <f>"RC210119"</f>
        <v>RC210119</v>
      </c>
      <c r="O109" t="s">
        <v>28</v>
      </c>
      <c r="Q109" t="s">
        <v>29</v>
      </c>
      <c r="R109" t="s">
        <v>28</v>
      </c>
      <c r="S109" t="s">
        <v>572</v>
      </c>
      <c r="T109" t="s">
        <v>573</v>
      </c>
      <c r="W109" t="s">
        <v>574</v>
      </c>
      <c r="X109" t="s">
        <v>34</v>
      </c>
      <c r="Y109" t="str">
        <f>"77476"</f>
        <v>77476</v>
      </c>
    </row>
    <row r="110" spans="1:25" x14ac:dyDescent="0.25">
      <c r="A110" t="s">
        <v>575</v>
      </c>
      <c r="B110" t="s">
        <v>576</v>
      </c>
      <c r="C110">
        <v>2020</v>
      </c>
      <c r="D110">
        <v>8001</v>
      </c>
      <c r="E110">
        <v>1</v>
      </c>
      <c r="F110" t="s">
        <v>577</v>
      </c>
      <c r="G110">
        <v>0</v>
      </c>
      <c r="J110">
        <v>38.07</v>
      </c>
      <c r="L110">
        <v>45728260</v>
      </c>
      <c r="M110" s="1">
        <v>44202</v>
      </c>
      <c r="N110" t="str">
        <f>"J210106K2"</f>
        <v>J210106K2</v>
      </c>
      <c r="O110" t="s">
        <v>28</v>
      </c>
      <c r="Q110" t="s">
        <v>29</v>
      </c>
      <c r="R110" t="s">
        <v>28</v>
      </c>
      <c r="S110" t="s">
        <v>577</v>
      </c>
      <c r="T110" t="s">
        <v>578</v>
      </c>
      <c r="U110" t="s">
        <v>60</v>
      </c>
      <c r="V110" t="s">
        <v>60</v>
      </c>
      <c r="W110" t="s">
        <v>477</v>
      </c>
      <c r="X110" t="s">
        <v>34</v>
      </c>
      <c r="Y110" t="str">
        <f>"774760806   "</f>
        <v xml:space="preserve">774760806   </v>
      </c>
    </row>
    <row r="111" spans="1:25" x14ac:dyDescent="0.25">
      <c r="A111" t="s">
        <v>579</v>
      </c>
      <c r="B111" t="s">
        <v>580</v>
      </c>
      <c r="C111">
        <v>2021</v>
      </c>
      <c r="D111">
        <v>8001</v>
      </c>
      <c r="E111">
        <v>1</v>
      </c>
      <c r="F111" t="s">
        <v>581</v>
      </c>
      <c r="G111">
        <v>0</v>
      </c>
      <c r="J111" s="2">
        <v>1093.3800000000001</v>
      </c>
      <c r="L111">
        <v>49549395</v>
      </c>
      <c r="M111" s="1">
        <v>44587</v>
      </c>
      <c r="N111" t="str">
        <f>"J220126BW6"</f>
        <v>J220126BW6</v>
      </c>
      <c r="O111" t="s">
        <v>28</v>
      </c>
      <c r="Q111" t="s">
        <v>29</v>
      </c>
      <c r="R111" t="s">
        <v>28</v>
      </c>
      <c r="S111" t="s">
        <v>581</v>
      </c>
      <c r="T111" t="s">
        <v>496</v>
      </c>
      <c r="U111" t="s">
        <v>60</v>
      </c>
      <c r="V111" t="s">
        <v>60</v>
      </c>
      <c r="W111" t="s">
        <v>477</v>
      </c>
      <c r="X111" t="s">
        <v>34</v>
      </c>
      <c r="Y111" t="str">
        <f>"774760649   "</f>
        <v xml:space="preserve">774760649   </v>
      </c>
    </row>
    <row r="112" spans="1:25" x14ac:dyDescent="0.25">
      <c r="A112" t="s">
        <v>582</v>
      </c>
      <c r="B112" t="s">
        <v>583</v>
      </c>
      <c r="C112">
        <v>2020</v>
      </c>
      <c r="D112">
        <v>8001</v>
      </c>
      <c r="E112">
        <v>1</v>
      </c>
      <c r="F112" t="s">
        <v>584</v>
      </c>
      <c r="G112">
        <v>28682301</v>
      </c>
      <c r="J112">
        <v>15.24</v>
      </c>
      <c r="L112">
        <v>47779174</v>
      </c>
      <c r="M112" s="1">
        <v>44474</v>
      </c>
      <c r="N112" t="str">
        <f>"RC211018"</f>
        <v>RC211018</v>
      </c>
      <c r="O112" t="s">
        <v>28</v>
      </c>
      <c r="Q112" t="s">
        <v>29</v>
      </c>
      <c r="R112" t="s">
        <v>28</v>
      </c>
      <c r="S112" t="s">
        <v>363</v>
      </c>
      <c r="T112" t="s">
        <v>585</v>
      </c>
      <c r="W112" t="s">
        <v>586</v>
      </c>
      <c r="X112" t="s">
        <v>34</v>
      </c>
      <c r="Y112" t="str">
        <f>"775846201"</f>
        <v>775846201</v>
      </c>
    </row>
    <row r="113" spans="1:25" x14ac:dyDescent="0.25">
      <c r="A113" t="s">
        <v>587</v>
      </c>
      <c r="B113" t="s">
        <v>588</v>
      </c>
      <c r="C113">
        <v>2020</v>
      </c>
      <c r="D113">
        <v>8001</v>
      </c>
      <c r="E113">
        <v>1</v>
      </c>
      <c r="F113" t="s">
        <v>589</v>
      </c>
      <c r="G113">
        <v>30087214</v>
      </c>
      <c r="J113">
        <v>15.8</v>
      </c>
      <c r="L113">
        <v>47955630</v>
      </c>
      <c r="M113" s="1">
        <v>44503</v>
      </c>
      <c r="N113" t="str">
        <f>"EK211103"</f>
        <v>EK211103</v>
      </c>
      <c r="O113" t="s">
        <v>28</v>
      </c>
      <c r="Q113" t="s">
        <v>29</v>
      </c>
      <c r="R113" t="s">
        <v>28</v>
      </c>
      <c r="S113" t="s">
        <v>590</v>
      </c>
      <c r="T113" t="s">
        <v>591</v>
      </c>
      <c r="W113" t="s">
        <v>81</v>
      </c>
      <c r="X113" t="s">
        <v>34</v>
      </c>
      <c r="Y113" t="str">
        <f>"77469"</f>
        <v>77469</v>
      </c>
    </row>
    <row r="114" spans="1:25" x14ac:dyDescent="0.25">
      <c r="A114" t="s">
        <v>592</v>
      </c>
      <c r="B114" t="s">
        <v>593</v>
      </c>
      <c r="C114">
        <v>2020</v>
      </c>
      <c r="D114">
        <v>8001</v>
      </c>
      <c r="E114">
        <v>4</v>
      </c>
      <c r="F114" t="s">
        <v>594</v>
      </c>
      <c r="G114">
        <v>29604543</v>
      </c>
      <c r="J114">
        <v>6.47</v>
      </c>
      <c r="L114">
        <v>47034725</v>
      </c>
      <c r="M114" s="1">
        <v>44259</v>
      </c>
      <c r="N114" t="str">
        <f>"CC210304"</f>
        <v>CC210304</v>
      </c>
      <c r="O114" t="s">
        <v>28</v>
      </c>
      <c r="Q114" t="s">
        <v>29</v>
      </c>
      <c r="R114" t="s">
        <v>28</v>
      </c>
      <c r="S114" t="s">
        <v>595</v>
      </c>
      <c r="T114" t="s">
        <v>596</v>
      </c>
      <c r="W114" t="s">
        <v>81</v>
      </c>
      <c r="X114" t="s">
        <v>34</v>
      </c>
      <c r="Y114" t="str">
        <f>"77469"</f>
        <v>77469</v>
      </c>
    </row>
    <row r="115" spans="1:25" x14ac:dyDescent="0.25">
      <c r="A115" t="s">
        <v>597</v>
      </c>
      <c r="B115" t="s">
        <v>598</v>
      </c>
      <c r="C115">
        <v>2020</v>
      </c>
      <c r="D115">
        <v>8001</v>
      </c>
      <c r="E115">
        <v>1</v>
      </c>
      <c r="F115" t="s">
        <v>599</v>
      </c>
      <c r="G115">
        <v>29871405</v>
      </c>
      <c r="J115">
        <v>36.07</v>
      </c>
      <c r="L115">
        <v>47509956</v>
      </c>
      <c r="M115" s="1">
        <v>44355</v>
      </c>
      <c r="N115" t="str">
        <f>"RC210614"</f>
        <v>RC210614</v>
      </c>
      <c r="O115" t="s">
        <v>28</v>
      </c>
      <c r="Q115" t="s">
        <v>29</v>
      </c>
      <c r="R115" t="s">
        <v>28</v>
      </c>
      <c r="S115" t="s">
        <v>600</v>
      </c>
      <c r="T115" t="s">
        <v>601</v>
      </c>
      <c r="U115" t="s">
        <v>602</v>
      </c>
      <c r="W115" t="s">
        <v>75</v>
      </c>
      <c r="X115" t="s">
        <v>34</v>
      </c>
      <c r="Y115" t="str">
        <f>"77043-3109"</f>
        <v>77043-3109</v>
      </c>
    </row>
    <row r="116" spans="1:25" x14ac:dyDescent="0.25">
      <c r="A116" t="s">
        <v>603</v>
      </c>
      <c r="B116" t="s">
        <v>604</v>
      </c>
      <c r="C116">
        <v>2018</v>
      </c>
      <c r="D116">
        <v>8001</v>
      </c>
      <c r="E116">
        <v>1</v>
      </c>
      <c r="F116" t="s">
        <v>605</v>
      </c>
      <c r="G116">
        <v>27382712</v>
      </c>
      <c r="J116">
        <v>116.03</v>
      </c>
      <c r="L116">
        <v>41176952</v>
      </c>
      <c r="M116" s="1">
        <v>43592</v>
      </c>
      <c r="N116" t="str">
        <f>"J190507AW8"</f>
        <v>J190507AW8</v>
      </c>
      <c r="O116" t="s">
        <v>28</v>
      </c>
      <c r="Q116" t="s">
        <v>29</v>
      </c>
      <c r="R116" t="s">
        <v>28</v>
      </c>
      <c r="S116" t="s">
        <v>606</v>
      </c>
      <c r="T116" t="s">
        <v>607</v>
      </c>
      <c r="W116" t="s">
        <v>608</v>
      </c>
      <c r="X116" t="s">
        <v>34</v>
      </c>
      <c r="Y116" t="str">
        <f>"77488"</f>
        <v>77488</v>
      </c>
    </row>
    <row r="117" spans="1:25" x14ac:dyDescent="0.25">
      <c r="A117" t="s">
        <v>609</v>
      </c>
      <c r="B117" t="s">
        <v>610</v>
      </c>
      <c r="C117">
        <v>2019</v>
      </c>
      <c r="D117">
        <v>8001</v>
      </c>
      <c r="E117">
        <v>1</v>
      </c>
      <c r="F117" t="s">
        <v>611</v>
      </c>
      <c r="G117">
        <v>0</v>
      </c>
      <c r="J117">
        <v>14.32</v>
      </c>
      <c r="L117">
        <v>43915013</v>
      </c>
      <c r="M117" s="1">
        <v>43900</v>
      </c>
      <c r="N117" t="str">
        <f>"J200310AW2"</f>
        <v>J200310AW2</v>
      </c>
      <c r="O117" t="s">
        <v>28</v>
      </c>
      <c r="Q117" t="s">
        <v>29</v>
      </c>
      <c r="R117" t="s">
        <v>28</v>
      </c>
      <c r="S117" t="s">
        <v>611</v>
      </c>
      <c r="T117" t="s">
        <v>612</v>
      </c>
      <c r="U117" t="s">
        <v>60</v>
      </c>
      <c r="V117" t="s">
        <v>60</v>
      </c>
      <c r="W117" t="s">
        <v>219</v>
      </c>
      <c r="X117" t="s">
        <v>34</v>
      </c>
      <c r="Y117" t="str">
        <f>"774982634   "</f>
        <v xml:space="preserve">774982634   </v>
      </c>
    </row>
    <row r="118" spans="1:25" x14ac:dyDescent="0.25">
      <c r="A118" t="s">
        <v>613</v>
      </c>
      <c r="B118" t="s">
        <v>614</v>
      </c>
      <c r="C118">
        <v>2021</v>
      </c>
      <c r="D118">
        <v>8001</v>
      </c>
      <c r="E118">
        <v>1</v>
      </c>
      <c r="F118" t="s">
        <v>615</v>
      </c>
      <c r="G118">
        <v>22114556</v>
      </c>
      <c r="J118">
        <v>5.5</v>
      </c>
      <c r="L118">
        <v>49241676</v>
      </c>
      <c r="M118" s="1">
        <v>44579</v>
      </c>
      <c r="N118" t="str">
        <f>"RC220221"</f>
        <v>RC220221</v>
      </c>
      <c r="O118" t="s">
        <v>28</v>
      </c>
      <c r="Q118" t="s">
        <v>29</v>
      </c>
      <c r="R118" t="s">
        <v>28</v>
      </c>
      <c r="S118" t="s">
        <v>616</v>
      </c>
      <c r="T118" t="s">
        <v>617</v>
      </c>
      <c r="W118" t="s">
        <v>618</v>
      </c>
      <c r="X118" t="s">
        <v>34</v>
      </c>
      <c r="Y118" t="str">
        <f>"774618931"</f>
        <v>774618931</v>
      </c>
    </row>
    <row r="119" spans="1:25" x14ac:dyDescent="0.25">
      <c r="A119" t="s">
        <v>619</v>
      </c>
      <c r="B119" t="s">
        <v>620</v>
      </c>
      <c r="C119">
        <v>2021</v>
      </c>
      <c r="D119">
        <v>8001</v>
      </c>
      <c r="E119">
        <v>2</v>
      </c>
      <c r="F119" t="s">
        <v>621</v>
      </c>
      <c r="G119">
        <v>0</v>
      </c>
      <c r="J119">
        <v>20</v>
      </c>
      <c r="L119">
        <v>49967896</v>
      </c>
      <c r="M119" s="1">
        <v>44595</v>
      </c>
      <c r="N119" t="str">
        <f>"L220203A"</f>
        <v>L220203A</v>
      </c>
      <c r="O119" t="s">
        <v>28</v>
      </c>
      <c r="Q119" t="s">
        <v>29</v>
      </c>
      <c r="R119" t="s">
        <v>28</v>
      </c>
      <c r="S119" t="s">
        <v>621</v>
      </c>
      <c r="T119" t="s">
        <v>622</v>
      </c>
      <c r="U119" t="s">
        <v>60</v>
      </c>
      <c r="V119" t="s">
        <v>60</v>
      </c>
      <c r="W119" t="s">
        <v>135</v>
      </c>
      <c r="X119" t="s">
        <v>34</v>
      </c>
      <c r="Y119" t="str">
        <f>"770773408   "</f>
        <v xml:space="preserve">770773408   </v>
      </c>
    </row>
    <row r="120" spans="1:25" x14ac:dyDescent="0.25">
      <c r="A120" t="s">
        <v>623</v>
      </c>
      <c r="B120" t="s">
        <v>624</v>
      </c>
      <c r="C120">
        <v>2020</v>
      </c>
      <c r="D120">
        <v>8001</v>
      </c>
      <c r="E120">
        <v>3</v>
      </c>
      <c r="F120" t="s">
        <v>625</v>
      </c>
      <c r="G120">
        <v>29130138</v>
      </c>
      <c r="J120">
        <v>7.19</v>
      </c>
      <c r="L120">
        <v>45810349</v>
      </c>
      <c r="M120" s="1">
        <v>44203</v>
      </c>
      <c r="N120" t="str">
        <f>"RC210119"</f>
        <v>RC210119</v>
      </c>
      <c r="O120" t="s">
        <v>28</v>
      </c>
      <c r="Q120" t="s">
        <v>29</v>
      </c>
      <c r="R120" t="s">
        <v>28</v>
      </c>
      <c r="S120" t="s">
        <v>626</v>
      </c>
      <c r="T120" t="s">
        <v>627</v>
      </c>
      <c r="W120" t="s">
        <v>628</v>
      </c>
      <c r="X120" t="s">
        <v>34</v>
      </c>
      <c r="Y120" t="str">
        <f>"77351"</f>
        <v>77351</v>
      </c>
    </row>
    <row r="121" spans="1:25" x14ac:dyDescent="0.25">
      <c r="A121" t="s">
        <v>629</v>
      </c>
      <c r="B121" t="s">
        <v>630</v>
      </c>
      <c r="C121">
        <v>2021</v>
      </c>
      <c r="D121">
        <v>8001</v>
      </c>
      <c r="E121">
        <v>1</v>
      </c>
      <c r="F121" t="s">
        <v>631</v>
      </c>
      <c r="G121">
        <v>0</v>
      </c>
      <c r="J121">
        <v>618.28</v>
      </c>
      <c r="L121">
        <v>49452043</v>
      </c>
      <c r="M121" s="1">
        <v>44585</v>
      </c>
      <c r="N121" t="str">
        <f>"J220124K5"</f>
        <v>J220124K5</v>
      </c>
      <c r="O121" t="s">
        <v>28</v>
      </c>
      <c r="Q121" t="s">
        <v>29</v>
      </c>
      <c r="R121" t="s">
        <v>28</v>
      </c>
      <c r="S121" t="s">
        <v>631</v>
      </c>
      <c r="T121" t="s">
        <v>632</v>
      </c>
      <c r="U121" t="s">
        <v>60</v>
      </c>
      <c r="V121" t="s">
        <v>60</v>
      </c>
      <c r="W121" t="s">
        <v>376</v>
      </c>
      <c r="X121" t="s">
        <v>34</v>
      </c>
      <c r="Y121" t="str">
        <f>"774775520   "</f>
        <v xml:space="preserve">774775520   </v>
      </c>
    </row>
    <row r="122" spans="1:25" x14ac:dyDescent="0.25">
      <c r="A122" t="s">
        <v>633</v>
      </c>
      <c r="B122" t="s">
        <v>634</v>
      </c>
      <c r="C122">
        <v>2019</v>
      </c>
      <c r="D122">
        <v>8001</v>
      </c>
      <c r="E122">
        <v>1</v>
      </c>
      <c r="F122" t="s">
        <v>635</v>
      </c>
      <c r="G122">
        <v>0</v>
      </c>
      <c r="J122" s="2">
        <v>1937.68</v>
      </c>
      <c r="L122">
        <v>43742566</v>
      </c>
      <c r="M122" s="1">
        <v>43878</v>
      </c>
      <c r="N122" t="str">
        <f>"J200217K3"</f>
        <v>J200217K3</v>
      </c>
      <c r="O122" t="s">
        <v>28</v>
      </c>
      <c r="Q122" t="s">
        <v>29</v>
      </c>
      <c r="R122" t="s">
        <v>28</v>
      </c>
      <c r="S122" t="s">
        <v>635</v>
      </c>
      <c r="T122" t="s">
        <v>636</v>
      </c>
      <c r="U122" t="s">
        <v>60</v>
      </c>
      <c r="V122" t="s">
        <v>60</v>
      </c>
      <c r="W122" t="s">
        <v>135</v>
      </c>
      <c r="X122" t="s">
        <v>34</v>
      </c>
      <c r="Y122" t="str">
        <f>"770355007   "</f>
        <v xml:space="preserve">770355007   </v>
      </c>
    </row>
    <row r="123" spans="1:25" x14ac:dyDescent="0.25">
      <c r="A123" t="s">
        <v>633</v>
      </c>
      <c r="B123" t="s">
        <v>634</v>
      </c>
      <c r="C123">
        <v>2020</v>
      </c>
      <c r="D123">
        <v>8001</v>
      </c>
      <c r="E123">
        <v>2</v>
      </c>
      <c r="F123" t="s">
        <v>635</v>
      </c>
      <c r="G123">
        <v>0</v>
      </c>
      <c r="J123">
        <v>34.11</v>
      </c>
      <c r="L123">
        <v>47014721</v>
      </c>
      <c r="M123" s="1">
        <v>44257</v>
      </c>
      <c r="N123" t="str">
        <f>"EL210302"</f>
        <v>EL210302</v>
      </c>
      <c r="O123" t="s">
        <v>28</v>
      </c>
      <c r="Q123" t="s">
        <v>29</v>
      </c>
      <c r="R123" t="s">
        <v>28</v>
      </c>
      <c r="S123" t="s">
        <v>635</v>
      </c>
      <c r="T123" t="s">
        <v>636</v>
      </c>
      <c r="U123" t="s">
        <v>60</v>
      </c>
      <c r="V123" t="s">
        <v>60</v>
      </c>
      <c r="W123" t="s">
        <v>135</v>
      </c>
      <c r="X123" t="s">
        <v>34</v>
      </c>
      <c r="Y123" t="str">
        <f>"770355007   "</f>
        <v xml:space="preserve">770355007   </v>
      </c>
    </row>
    <row r="124" spans="1:25" x14ac:dyDescent="0.25">
      <c r="A124" t="s">
        <v>637</v>
      </c>
      <c r="B124" t="s">
        <v>638</v>
      </c>
      <c r="C124">
        <v>2020</v>
      </c>
      <c r="D124">
        <v>8001</v>
      </c>
      <c r="E124">
        <v>1</v>
      </c>
      <c r="F124" t="s">
        <v>639</v>
      </c>
      <c r="G124">
        <v>29108512</v>
      </c>
      <c r="J124">
        <v>11.21</v>
      </c>
      <c r="L124">
        <v>45747440</v>
      </c>
      <c r="M124" s="1">
        <v>44202</v>
      </c>
      <c r="N124" t="str">
        <f>"RC210119"</f>
        <v>RC210119</v>
      </c>
      <c r="O124" t="s">
        <v>28</v>
      </c>
      <c r="Q124" t="s">
        <v>29</v>
      </c>
      <c r="R124" t="s">
        <v>28</v>
      </c>
      <c r="S124" t="s">
        <v>639</v>
      </c>
      <c r="T124" t="s">
        <v>640</v>
      </c>
      <c r="U124" t="s">
        <v>641</v>
      </c>
      <c r="V124" t="s">
        <v>642</v>
      </c>
      <c r="W124" t="s">
        <v>112</v>
      </c>
      <c r="X124" t="s">
        <v>34</v>
      </c>
      <c r="Y124" t="str">
        <f>"774987468"</f>
        <v>774987468</v>
      </c>
    </row>
    <row r="125" spans="1:25" x14ac:dyDescent="0.25">
      <c r="A125" t="s">
        <v>643</v>
      </c>
      <c r="B125" t="s">
        <v>644</v>
      </c>
      <c r="C125">
        <v>2020</v>
      </c>
      <c r="D125">
        <v>8001</v>
      </c>
      <c r="E125">
        <v>1</v>
      </c>
      <c r="F125" t="s">
        <v>639</v>
      </c>
      <c r="G125">
        <v>29108512</v>
      </c>
      <c r="J125">
        <v>11.89</v>
      </c>
      <c r="L125">
        <v>45747439</v>
      </c>
      <c r="M125" s="1">
        <v>44202</v>
      </c>
      <c r="N125" t="str">
        <f>"RC210119"</f>
        <v>RC210119</v>
      </c>
      <c r="O125" t="s">
        <v>28</v>
      </c>
      <c r="Q125" t="s">
        <v>29</v>
      </c>
      <c r="R125" t="s">
        <v>28</v>
      </c>
      <c r="S125" t="s">
        <v>639</v>
      </c>
      <c r="T125" t="s">
        <v>640</v>
      </c>
      <c r="U125" t="s">
        <v>641</v>
      </c>
      <c r="V125" t="s">
        <v>642</v>
      </c>
      <c r="W125" t="s">
        <v>112</v>
      </c>
      <c r="X125" t="s">
        <v>34</v>
      </c>
      <c r="Y125" t="str">
        <f>"774987468"</f>
        <v>774987468</v>
      </c>
    </row>
    <row r="126" spans="1:25" x14ac:dyDescent="0.25">
      <c r="A126" t="s">
        <v>645</v>
      </c>
      <c r="B126" t="s">
        <v>646</v>
      </c>
      <c r="C126">
        <v>2020</v>
      </c>
      <c r="D126">
        <v>8001</v>
      </c>
      <c r="E126">
        <v>1</v>
      </c>
      <c r="F126" t="s">
        <v>647</v>
      </c>
      <c r="G126">
        <v>0</v>
      </c>
      <c r="J126">
        <v>19.5</v>
      </c>
      <c r="L126">
        <v>42677349</v>
      </c>
      <c r="M126" s="1">
        <v>44147</v>
      </c>
      <c r="N126" t="str">
        <f>"TE201112"</f>
        <v>TE201112</v>
      </c>
      <c r="O126" t="s">
        <v>28</v>
      </c>
      <c r="Q126" t="s">
        <v>29</v>
      </c>
      <c r="R126" t="s">
        <v>28</v>
      </c>
      <c r="S126" t="s">
        <v>647</v>
      </c>
      <c r="T126" t="s">
        <v>648</v>
      </c>
      <c r="U126" t="s">
        <v>60</v>
      </c>
      <c r="V126" t="s">
        <v>60</v>
      </c>
      <c r="W126" t="s">
        <v>649</v>
      </c>
      <c r="X126" t="s">
        <v>34</v>
      </c>
      <c r="Y126" t="str">
        <f>"774719534   "</f>
        <v xml:space="preserve">774719534   </v>
      </c>
    </row>
    <row r="127" spans="1:25" x14ac:dyDescent="0.25">
      <c r="A127" t="s">
        <v>650</v>
      </c>
      <c r="B127" t="s">
        <v>651</v>
      </c>
      <c r="C127">
        <v>2021</v>
      </c>
      <c r="D127">
        <v>8001</v>
      </c>
      <c r="E127">
        <v>1</v>
      </c>
      <c r="F127" t="s">
        <v>652</v>
      </c>
      <c r="G127">
        <v>21920352</v>
      </c>
      <c r="J127">
        <v>193.01</v>
      </c>
      <c r="L127">
        <v>47764530</v>
      </c>
      <c r="M127" s="1">
        <v>44516</v>
      </c>
      <c r="N127" t="str">
        <f>"TE211116"</f>
        <v>TE211116</v>
      </c>
      <c r="O127" t="s">
        <v>28</v>
      </c>
      <c r="Q127" t="s">
        <v>29</v>
      </c>
      <c r="R127" t="s">
        <v>28</v>
      </c>
      <c r="S127" t="s">
        <v>653</v>
      </c>
      <c r="T127" t="s">
        <v>654</v>
      </c>
      <c r="W127" t="s">
        <v>154</v>
      </c>
      <c r="X127" t="s">
        <v>34</v>
      </c>
      <c r="Y127" t="str">
        <f>"774718810"</f>
        <v>774718810</v>
      </c>
    </row>
    <row r="128" spans="1:25" x14ac:dyDescent="0.25">
      <c r="A128" t="s">
        <v>655</v>
      </c>
      <c r="B128" t="s">
        <v>656</v>
      </c>
      <c r="C128">
        <v>2020</v>
      </c>
      <c r="D128">
        <v>8001</v>
      </c>
      <c r="E128">
        <v>2</v>
      </c>
      <c r="F128" t="s">
        <v>657</v>
      </c>
      <c r="G128">
        <v>0</v>
      </c>
      <c r="J128" s="2">
        <v>1836.69</v>
      </c>
      <c r="L128">
        <v>47886409</v>
      </c>
      <c r="M128" s="1">
        <v>44497</v>
      </c>
      <c r="N128" t="str">
        <f>"O211028AE1"</f>
        <v>O211028AE1</v>
      </c>
      <c r="O128" t="s">
        <v>28</v>
      </c>
      <c r="Q128" t="s">
        <v>29</v>
      </c>
      <c r="R128" t="s">
        <v>28</v>
      </c>
      <c r="S128" t="s">
        <v>657</v>
      </c>
      <c r="T128" t="s">
        <v>658</v>
      </c>
      <c r="U128" t="s">
        <v>60</v>
      </c>
      <c r="V128" t="s">
        <v>60</v>
      </c>
      <c r="W128" t="s">
        <v>214</v>
      </c>
      <c r="X128" t="s">
        <v>34</v>
      </c>
      <c r="Y128" t="str">
        <f>"774063995   "</f>
        <v xml:space="preserve">774063995   </v>
      </c>
    </row>
    <row r="129" spans="1:25" x14ac:dyDescent="0.25">
      <c r="A129" t="s">
        <v>659</v>
      </c>
      <c r="B129" t="s">
        <v>660</v>
      </c>
      <c r="C129">
        <v>2018</v>
      </c>
      <c r="D129">
        <v>8001</v>
      </c>
      <c r="E129">
        <v>1</v>
      </c>
      <c r="F129" t="s">
        <v>661</v>
      </c>
      <c r="G129">
        <v>27306304</v>
      </c>
      <c r="J129">
        <v>15.12</v>
      </c>
      <c r="L129">
        <v>41012536</v>
      </c>
      <c r="M129" s="1">
        <v>43551</v>
      </c>
      <c r="N129" t="str">
        <f>"S190327AX1"</f>
        <v>S190327AX1</v>
      </c>
      <c r="O129" t="s">
        <v>28</v>
      </c>
      <c r="Q129" t="s">
        <v>29</v>
      </c>
      <c r="R129" t="s">
        <v>28</v>
      </c>
      <c r="S129" t="s">
        <v>662</v>
      </c>
      <c r="T129" t="s">
        <v>663</v>
      </c>
      <c r="W129" t="s">
        <v>664</v>
      </c>
      <c r="X129" t="s">
        <v>665</v>
      </c>
      <c r="Y129" t="str">
        <f>"50309"</f>
        <v>50309</v>
      </c>
    </row>
    <row r="130" spans="1:25" x14ac:dyDescent="0.25">
      <c r="A130" t="s">
        <v>666</v>
      </c>
      <c r="B130" t="s">
        <v>667</v>
      </c>
      <c r="C130">
        <v>2020</v>
      </c>
      <c r="D130">
        <v>8001</v>
      </c>
      <c r="E130">
        <v>1</v>
      </c>
      <c r="F130" t="s">
        <v>668</v>
      </c>
      <c r="G130">
        <v>22300497</v>
      </c>
      <c r="J130">
        <v>84.2</v>
      </c>
      <c r="L130">
        <v>47765837</v>
      </c>
      <c r="M130" s="1">
        <v>44468</v>
      </c>
      <c r="N130" t="str">
        <f>"RC211004"</f>
        <v>RC211004</v>
      </c>
      <c r="O130" t="s">
        <v>28</v>
      </c>
      <c r="Q130" t="s">
        <v>29</v>
      </c>
      <c r="R130" t="s">
        <v>28</v>
      </c>
      <c r="S130" t="s">
        <v>669</v>
      </c>
      <c r="T130" t="s">
        <v>670</v>
      </c>
      <c r="W130" t="s">
        <v>75</v>
      </c>
      <c r="X130" t="s">
        <v>34</v>
      </c>
      <c r="Y130" t="str">
        <f>"770654996"</f>
        <v>770654996</v>
      </c>
    </row>
    <row r="131" spans="1:25" x14ac:dyDescent="0.25">
      <c r="A131" t="s">
        <v>671</v>
      </c>
      <c r="B131" t="s">
        <v>672</v>
      </c>
      <c r="C131">
        <v>2021</v>
      </c>
      <c r="D131">
        <v>8001</v>
      </c>
      <c r="E131">
        <v>1</v>
      </c>
      <c r="F131" t="s">
        <v>673</v>
      </c>
      <c r="G131">
        <v>30576336</v>
      </c>
      <c r="J131">
        <v>56.17</v>
      </c>
      <c r="L131">
        <v>48670415</v>
      </c>
      <c r="M131" s="1">
        <v>44557</v>
      </c>
      <c r="N131" t="str">
        <f>"RC220125"</f>
        <v>RC220125</v>
      </c>
      <c r="O131" t="s">
        <v>28</v>
      </c>
      <c r="Q131" t="s">
        <v>29</v>
      </c>
      <c r="R131" t="s">
        <v>28</v>
      </c>
      <c r="S131" t="s">
        <v>674</v>
      </c>
      <c r="T131" t="s">
        <v>675</v>
      </c>
      <c r="U131" t="s">
        <v>676</v>
      </c>
      <c r="V131" t="s">
        <v>677</v>
      </c>
      <c r="W131" t="s">
        <v>107</v>
      </c>
      <c r="X131" t="s">
        <v>34</v>
      </c>
      <c r="Y131" t="str">
        <f>"774945410"</f>
        <v>774945410</v>
      </c>
    </row>
    <row r="132" spans="1:25" x14ac:dyDescent="0.25">
      <c r="A132" t="s">
        <v>678</v>
      </c>
      <c r="B132" t="s">
        <v>679</v>
      </c>
      <c r="C132">
        <v>2019</v>
      </c>
      <c r="D132">
        <v>8001</v>
      </c>
      <c r="E132">
        <v>1</v>
      </c>
      <c r="F132" t="s">
        <v>680</v>
      </c>
      <c r="G132">
        <v>25704758</v>
      </c>
      <c r="J132">
        <v>71.53</v>
      </c>
      <c r="L132">
        <v>43180673</v>
      </c>
      <c r="M132" s="1">
        <v>43857</v>
      </c>
      <c r="N132" t="str">
        <f>"O200127AH1"</f>
        <v>O200127AH1</v>
      </c>
      <c r="O132" t="s">
        <v>28</v>
      </c>
      <c r="Q132" t="s">
        <v>29</v>
      </c>
      <c r="R132" t="s">
        <v>28</v>
      </c>
      <c r="S132" t="s">
        <v>681</v>
      </c>
      <c r="T132" t="s">
        <v>682</v>
      </c>
      <c r="W132" t="s">
        <v>112</v>
      </c>
      <c r="X132" t="s">
        <v>34</v>
      </c>
      <c r="Y132" t="str">
        <f>"774989541"</f>
        <v>774989541</v>
      </c>
    </row>
    <row r="133" spans="1:25" x14ac:dyDescent="0.25">
      <c r="A133" t="s">
        <v>683</v>
      </c>
      <c r="B133" t="s">
        <v>684</v>
      </c>
      <c r="C133">
        <v>2020</v>
      </c>
      <c r="D133">
        <v>8001</v>
      </c>
      <c r="E133">
        <v>1</v>
      </c>
      <c r="F133" t="s">
        <v>685</v>
      </c>
      <c r="G133">
        <v>25015143</v>
      </c>
      <c r="J133">
        <v>60.06</v>
      </c>
      <c r="L133">
        <v>46790186</v>
      </c>
      <c r="M133" s="1">
        <v>44231</v>
      </c>
      <c r="N133" t="str">
        <f>"RC210301"</f>
        <v>RC210301</v>
      </c>
      <c r="O133" t="s">
        <v>28</v>
      </c>
      <c r="Q133" t="s">
        <v>29</v>
      </c>
      <c r="R133" t="s">
        <v>28</v>
      </c>
      <c r="S133" t="s">
        <v>686</v>
      </c>
      <c r="T133" t="s">
        <v>203</v>
      </c>
      <c r="U133" t="s">
        <v>687</v>
      </c>
      <c r="W133" t="s">
        <v>688</v>
      </c>
      <c r="X133" t="s">
        <v>34</v>
      </c>
      <c r="Y133" t="str">
        <f>"77505"</f>
        <v>77505</v>
      </c>
    </row>
    <row r="134" spans="1:25" x14ac:dyDescent="0.25">
      <c r="A134" t="s">
        <v>689</v>
      </c>
      <c r="B134" t="s">
        <v>690</v>
      </c>
      <c r="C134">
        <v>2020</v>
      </c>
      <c r="D134">
        <v>8001</v>
      </c>
      <c r="E134">
        <v>1</v>
      </c>
      <c r="F134" t="s">
        <v>691</v>
      </c>
      <c r="G134">
        <v>25850500</v>
      </c>
      <c r="J134" s="2">
        <v>1306.92</v>
      </c>
      <c r="L134">
        <v>45608868</v>
      </c>
      <c r="M134" s="1">
        <v>44196</v>
      </c>
      <c r="N134" t="str">
        <f>"RC210114"</f>
        <v>RC210114</v>
      </c>
      <c r="O134" t="s">
        <v>28</v>
      </c>
      <c r="Q134" t="s">
        <v>29</v>
      </c>
      <c r="R134" t="s">
        <v>28</v>
      </c>
      <c r="S134" t="s">
        <v>692</v>
      </c>
      <c r="T134" t="s">
        <v>693</v>
      </c>
      <c r="W134" t="s">
        <v>107</v>
      </c>
      <c r="X134" t="s">
        <v>34</v>
      </c>
      <c r="Y134" t="str">
        <f>"77494"</f>
        <v>77494</v>
      </c>
    </row>
    <row r="135" spans="1:25" x14ac:dyDescent="0.25">
      <c r="A135" t="s">
        <v>694</v>
      </c>
      <c r="B135" t="s">
        <v>695</v>
      </c>
      <c r="C135">
        <v>2021</v>
      </c>
      <c r="D135">
        <v>8001</v>
      </c>
      <c r="E135">
        <v>3</v>
      </c>
      <c r="F135" t="s">
        <v>696</v>
      </c>
      <c r="G135">
        <v>30118850</v>
      </c>
      <c r="J135">
        <v>72.459999999999994</v>
      </c>
      <c r="L135">
        <v>48044497</v>
      </c>
      <c r="M135" s="1">
        <v>44516</v>
      </c>
      <c r="N135" t="str">
        <f>"TE211116"</f>
        <v>TE211116</v>
      </c>
      <c r="O135" t="s">
        <v>28</v>
      </c>
      <c r="Q135" t="s">
        <v>29</v>
      </c>
      <c r="R135" t="s">
        <v>28</v>
      </c>
      <c r="S135" t="s">
        <v>697</v>
      </c>
      <c r="T135" t="s">
        <v>698</v>
      </c>
      <c r="W135" t="s">
        <v>107</v>
      </c>
      <c r="X135" t="s">
        <v>34</v>
      </c>
      <c r="Y135" t="str">
        <f>"774507587"</f>
        <v>774507587</v>
      </c>
    </row>
    <row r="136" spans="1:25" x14ac:dyDescent="0.25">
      <c r="A136" t="s">
        <v>699</v>
      </c>
      <c r="B136" t="s">
        <v>700</v>
      </c>
      <c r="C136">
        <v>2020</v>
      </c>
      <c r="D136">
        <v>8001</v>
      </c>
      <c r="E136">
        <v>10</v>
      </c>
      <c r="F136" t="s">
        <v>701</v>
      </c>
      <c r="G136">
        <v>27236513</v>
      </c>
      <c r="J136">
        <v>8.74</v>
      </c>
      <c r="L136">
        <v>47354768</v>
      </c>
      <c r="M136" s="1">
        <v>44316</v>
      </c>
      <c r="N136" t="str">
        <f>"O210430AC6"</f>
        <v>O210430AC6</v>
      </c>
      <c r="O136" t="s">
        <v>28</v>
      </c>
      <c r="Q136" t="s">
        <v>29</v>
      </c>
      <c r="R136" t="s">
        <v>28</v>
      </c>
      <c r="S136" t="s">
        <v>702</v>
      </c>
      <c r="T136" t="s">
        <v>703</v>
      </c>
      <c r="W136" t="s">
        <v>40</v>
      </c>
      <c r="X136" t="s">
        <v>34</v>
      </c>
      <c r="Y136" t="str">
        <f>"774989841"</f>
        <v>774989841</v>
      </c>
    </row>
    <row r="137" spans="1:25" x14ac:dyDescent="0.25">
      <c r="A137" t="s">
        <v>704</v>
      </c>
      <c r="B137" t="s">
        <v>705</v>
      </c>
      <c r="C137">
        <v>2021</v>
      </c>
      <c r="D137">
        <v>8001</v>
      </c>
      <c r="E137">
        <v>2</v>
      </c>
      <c r="F137" t="s">
        <v>706</v>
      </c>
      <c r="G137">
        <v>30576366</v>
      </c>
      <c r="J137">
        <v>100</v>
      </c>
      <c r="L137">
        <v>48764329</v>
      </c>
      <c r="M137" s="1">
        <v>44559</v>
      </c>
      <c r="N137" t="str">
        <f>"RC220125"</f>
        <v>RC220125</v>
      </c>
      <c r="O137" t="s">
        <v>28</v>
      </c>
      <c r="Q137" t="s">
        <v>29</v>
      </c>
      <c r="R137" t="s">
        <v>28</v>
      </c>
      <c r="S137" t="s">
        <v>707</v>
      </c>
      <c r="T137" t="s">
        <v>708</v>
      </c>
      <c r="U137" t="s">
        <v>709</v>
      </c>
      <c r="V137" t="s">
        <v>710</v>
      </c>
      <c r="W137" t="s">
        <v>711</v>
      </c>
      <c r="X137" t="s">
        <v>34</v>
      </c>
      <c r="Y137" t="str">
        <f>"774449705"</f>
        <v>774449705</v>
      </c>
    </row>
    <row r="138" spans="1:25" x14ac:dyDescent="0.25">
      <c r="A138" t="s">
        <v>712</v>
      </c>
      <c r="B138" t="s">
        <v>713</v>
      </c>
      <c r="C138">
        <v>2019</v>
      </c>
      <c r="D138">
        <v>8001</v>
      </c>
      <c r="E138">
        <v>1</v>
      </c>
      <c r="F138" t="s">
        <v>714</v>
      </c>
      <c r="G138">
        <v>27715891</v>
      </c>
      <c r="J138">
        <v>172.64</v>
      </c>
      <c r="L138">
        <v>42150290</v>
      </c>
      <c r="M138" s="1">
        <v>43808</v>
      </c>
      <c r="N138" t="str">
        <f>"O191209AG8"</f>
        <v>O191209AG8</v>
      </c>
      <c r="O138" t="s">
        <v>28</v>
      </c>
      <c r="Q138" t="s">
        <v>29</v>
      </c>
      <c r="R138" t="s">
        <v>28</v>
      </c>
      <c r="S138" t="s">
        <v>715</v>
      </c>
      <c r="T138" t="s">
        <v>716</v>
      </c>
      <c r="W138" t="s">
        <v>618</v>
      </c>
      <c r="X138" t="s">
        <v>34</v>
      </c>
      <c r="Y138" t="str">
        <f>"774618969"</f>
        <v>774618969</v>
      </c>
    </row>
    <row r="139" spans="1:25" x14ac:dyDescent="0.25">
      <c r="A139" t="s">
        <v>717</v>
      </c>
      <c r="B139" t="s">
        <v>718</v>
      </c>
      <c r="C139">
        <v>2018</v>
      </c>
      <c r="D139">
        <v>8001</v>
      </c>
      <c r="E139">
        <v>2</v>
      </c>
      <c r="F139" t="s">
        <v>719</v>
      </c>
      <c r="G139">
        <v>0</v>
      </c>
      <c r="J139">
        <v>31.43</v>
      </c>
      <c r="L139">
        <v>41243749</v>
      </c>
      <c r="M139" s="1">
        <v>43614</v>
      </c>
      <c r="N139" t="str">
        <f>"O190529BE5"</f>
        <v>O190529BE5</v>
      </c>
      <c r="O139" t="s">
        <v>28</v>
      </c>
      <c r="Q139" t="s">
        <v>29</v>
      </c>
      <c r="R139" t="s">
        <v>28</v>
      </c>
      <c r="S139" t="s">
        <v>719</v>
      </c>
      <c r="T139" t="s">
        <v>720</v>
      </c>
      <c r="U139" t="s">
        <v>60</v>
      </c>
      <c r="V139" t="s">
        <v>60</v>
      </c>
      <c r="W139" t="s">
        <v>721</v>
      </c>
      <c r="X139" t="s">
        <v>34</v>
      </c>
      <c r="Y139" t="str">
        <f>"775832136   "</f>
        <v xml:space="preserve">775832136   </v>
      </c>
    </row>
    <row r="140" spans="1:25" x14ac:dyDescent="0.25">
      <c r="A140" t="s">
        <v>722</v>
      </c>
      <c r="B140" t="s">
        <v>723</v>
      </c>
      <c r="C140">
        <v>2021</v>
      </c>
      <c r="D140">
        <v>8001</v>
      </c>
      <c r="E140">
        <v>1</v>
      </c>
      <c r="F140" t="s">
        <v>724</v>
      </c>
      <c r="G140">
        <v>29550975</v>
      </c>
      <c r="J140">
        <v>5.7</v>
      </c>
      <c r="L140">
        <v>46934717</v>
      </c>
      <c r="M140" s="1">
        <v>44516</v>
      </c>
      <c r="N140" t="str">
        <f>"TE211116"</f>
        <v>TE211116</v>
      </c>
      <c r="O140" t="s">
        <v>28</v>
      </c>
      <c r="Q140" t="s">
        <v>29</v>
      </c>
      <c r="R140" t="s">
        <v>28</v>
      </c>
      <c r="S140" t="s">
        <v>725</v>
      </c>
      <c r="T140" t="s">
        <v>726</v>
      </c>
      <c r="W140" t="s">
        <v>727</v>
      </c>
      <c r="X140" t="s">
        <v>34</v>
      </c>
      <c r="Y140" t="str">
        <f>"775832115"</f>
        <v>775832115</v>
      </c>
    </row>
    <row r="141" spans="1:25" x14ac:dyDescent="0.25">
      <c r="A141" t="s">
        <v>728</v>
      </c>
      <c r="B141" t="s">
        <v>729</v>
      </c>
      <c r="C141">
        <v>2021</v>
      </c>
      <c r="D141">
        <v>8001</v>
      </c>
      <c r="E141">
        <v>2</v>
      </c>
      <c r="F141" t="s">
        <v>730</v>
      </c>
      <c r="G141">
        <v>26397143</v>
      </c>
      <c r="J141">
        <v>96.11</v>
      </c>
      <c r="L141">
        <v>50066097</v>
      </c>
      <c r="M141" s="1">
        <v>44599</v>
      </c>
      <c r="N141" t="str">
        <f>"RC220310"</f>
        <v>RC220310</v>
      </c>
      <c r="O141" t="s">
        <v>28</v>
      </c>
      <c r="Q141" t="s">
        <v>29</v>
      </c>
      <c r="R141" t="s">
        <v>28</v>
      </c>
      <c r="S141" t="s">
        <v>731</v>
      </c>
      <c r="T141" t="s">
        <v>732</v>
      </c>
      <c r="W141" t="s">
        <v>75</v>
      </c>
      <c r="X141" t="s">
        <v>34</v>
      </c>
      <c r="Y141" t="str">
        <f>"770912352"</f>
        <v>770912352</v>
      </c>
    </row>
    <row r="142" spans="1:25" x14ac:dyDescent="0.25">
      <c r="A142" t="s">
        <v>733</v>
      </c>
      <c r="B142" t="s">
        <v>734</v>
      </c>
      <c r="C142">
        <v>2019</v>
      </c>
      <c r="D142">
        <v>8001</v>
      </c>
      <c r="E142">
        <v>2</v>
      </c>
      <c r="F142" t="s">
        <v>735</v>
      </c>
      <c r="G142">
        <v>0</v>
      </c>
      <c r="J142">
        <v>52.45</v>
      </c>
      <c r="L142">
        <v>43765170</v>
      </c>
      <c r="M142" s="1">
        <v>43881</v>
      </c>
      <c r="N142" t="str">
        <f>"L200220"</f>
        <v>L200220</v>
      </c>
      <c r="O142" t="s">
        <v>28</v>
      </c>
      <c r="Q142" t="s">
        <v>29</v>
      </c>
      <c r="R142" t="s">
        <v>28</v>
      </c>
      <c r="S142" t="s">
        <v>735</v>
      </c>
      <c r="T142" t="s">
        <v>736</v>
      </c>
      <c r="U142" t="s">
        <v>737</v>
      </c>
      <c r="V142" t="s">
        <v>738</v>
      </c>
      <c r="W142" t="s">
        <v>135</v>
      </c>
      <c r="X142" t="s">
        <v>34</v>
      </c>
      <c r="Y142" t="str">
        <f>"77046       "</f>
        <v xml:space="preserve">77046       </v>
      </c>
    </row>
    <row r="143" spans="1:25" x14ac:dyDescent="0.25">
      <c r="A143" t="s">
        <v>739</v>
      </c>
      <c r="B143" t="s">
        <v>740</v>
      </c>
      <c r="C143">
        <v>2019</v>
      </c>
      <c r="D143">
        <v>8001</v>
      </c>
      <c r="E143">
        <v>1</v>
      </c>
      <c r="F143" t="s">
        <v>741</v>
      </c>
      <c r="G143">
        <v>27703227</v>
      </c>
      <c r="J143">
        <v>12.43</v>
      </c>
      <c r="L143">
        <v>42099291</v>
      </c>
      <c r="M143" s="1">
        <v>43803</v>
      </c>
      <c r="N143" t="str">
        <f>"O191204BL1"</f>
        <v>O191204BL1</v>
      </c>
      <c r="O143" t="s">
        <v>28</v>
      </c>
      <c r="Q143" t="s">
        <v>29</v>
      </c>
      <c r="R143" t="s">
        <v>28</v>
      </c>
      <c r="S143" t="s">
        <v>742</v>
      </c>
      <c r="T143" t="s">
        <v>743</v>
      </c>
      <c r="W143" t="s">
        <v>40</v>
      </c>
      <c r="X143" t="s">
        <v>34</v>
      </c>
      <c r="Y143" t="str">
        <f>"774981212"</f>
        <v>774981212</v>
      </c>
    </row>
    <row r="144" spans="1:25" x14ac:dyDescent="0.25">
      <c r="A144" t="s">
        <v>744</v>
      </c>
      <c r="B144" t="s">
        <v>745</v>
      </c>
      <c r="C144">
        <v>2019</v>
      </c>
      <c r="D144">
        <v>8001</v>
      </c>
      <c r="E144">
        <v>1</v>
      </c>
      <c r="F144" t="s">
        <v>746</v>
      </c>
      <c r="G144">
        <v>0</v>
      </c>
      <c r="J144">
        <v>5.87</v>
      </c>
      <c r="L144">
        <v>43606686</v>
      </c>
      <c r="M144" s="1">
        <v>43866</v>
      </c>
      <c r="N144" t="str">
        <f>"L200205"</f>
        <v>L200205</v>
      </c>
      <c r="O144" t="s">
        <v>28</v>
      </c>
      <c r="Q144" t="s">
        <v>29</v>
      </c>
      <c r="R144" t="s">
        <v>28</v>
      </c>
      <c r="S144" t="s">
        <v>746</v>
      </c>
      <c r="T144" t="s">
        <v>747</v>
      </c>
      <c r="U144" t="s">
        <v>60</v>
      </c>
      <c r="V144" t="s">
        <v>60</v>
      </c>
      <c r="W144" t="s">
        <v>219</v>
      </c>
      <c r="X144" t="s">
        <v>34</v>
      </c>
      <c r="Y144" t="str">
        <f>"774981366   "</f>
        <v xml:space="preserve">774981366   </v>
      </c>
    </row>
    <row r="145" spans="1:25" x14ac:dyDescent="0.25">
      <c r="A145" t="s">
        <v>748</v>
      </c>
      <c r="B145" t="s">
        <v>749</v>
      </c>
      <c r="C145">
        <v>2019</v>
      </c>
      <c r="D145">
        <v>8001</v>
      </c>
      <c r="E145">
        <v>1</v>
      </c>
      <c r="F145" t="s">
        <v>750</v>
      </c>
      <c r="G145">
        <v>27294460</v>
      </c>
      <c r="J145">
        <v>55.32</v>
      </c>
      <c r="L145">
        <v>40982079</v>
      </c>
      <c r="M145" s="1">
        <v>43766</v>
      </c>
      <c r="N145" t="str">
        <f>"TE191028"</f>
        <v>TE191028</v>
      </c>
      <c r="O145" t="s">
        <v>28</v>
      </c>
      <c r="Q145" t="s">
        <v>29</v>
      </c>
      <c r="R145" t="s">
        <v>28</v>
      </c>
      <c r="S145" t="s">
        <v>751</v>
      </c>
      <c r="T145" t="s">
        <v>752</v>
      </c>
      <c r="W145" t="s">
        <v>40</v>
      </c>
      <c r="X145" t="s">
        <v>34</v>
      </c>
      <c r="Y145" t="str">
        <f>"774981395"</f>
        <v>774981395</v>
      </c>
    </row>
    <row r="146" spans="1:25" x14ac:dyDescent="0.25">
      <c r="A146" t="s">
        <v>753</v>
      </c>
      <c r="B146" t="s">
        <v>754</v>
      </c>
      <c r="C146">
        <v>2019</v>
      </c>
      <c r="D146">
        <v>8001</v>
      </c>
      <c r="E146">
        <v>2</v>
      </c>
      <c r="F146" t="s">
        <v>755</v>
      </c>
      <c r="G146">
        <v>22145549</v>
      </c>
      <c r="J146">
        <v>312.62</v>
      </c>
      <c r="L146">
        <v>44327689</v>
      </c>
      <c r="M146" s="1">
        <v>44005</v>
      </c>
      <c r="N146" t="str">
        <f>"J200623K4"</f>
        <v>J200623K4</v>
      </c>
      <c r="O146" t="s">
        <v>28</v>
      </c>
      <c r="Q146" t="s">
        <v>29</v>
      </c>
      <c r="R146" t="s">
        <v>28</v>
      </c>
      <c r="S146" t="s">
        <v>756</v>
      </c>
      <c r="T146" t="s">
        <v>757</v>
      </c>
      <c r="W146" t="s">
        <v>40</v>
      </c>
      <c r="X146" t="s">
        <v>34</v>
      </c>
      <c r="Y146" t="str">
        <f>"77498"</f>
        <v>77498</v>
      </c>
    </row>
    <row r="147" spans="1:25" x14ac:dyDescent="0.25">
      <c r="A147" t="s">
        <v>758</v>
      </c>
      <c r="B147" t="s">
        <v>759</v>
      </c>
      <c r="C147">
        <v>2020</v>
      </c>
      <c r="D147">
        <v>8001</v>
      </c>
      <c r="E147">
        <v>4</v>
      </c>
      <c r="F147" t="s">
        <v>760</v>
      </c>
      <c r="G147">
        <v>29955099</v>
      </c>
      <c r="J147">
        <v>9.7200000000000006</v>
      </c>
      <c r="L147">
        <v>47678392</v>
      </c>
      <c r="M147" s="1">
        <v>44412</v>
      </c>
      <c r="N147" t="str">
        <f>"CC410804"</f>
        <v>CC410804</v>
      </c>
      <c r="O147" t="s">
        <v>28</v>
      </c>
      <c r="Q147" t="s">
        <v>29</v>
      </c>
      <c r="R147" t="s">
        <v>28</v>
      </c>
      <c r="S147" t="s">
        <v>761</v>
      </c>
      <c r="T147" t="s">
        <v>762</v>
      </c>
      <c r="W147" t="s">
        <v>75</v>
      </c>
      <c r="X147" t="s">
        <v>34</v>
      </c>
      <c r="Y147" t="str">
        <f>"77084"</f>
        <v>77084</v>
      </c>
    </row>
    <row r="148" spans="1:25" x14ac:dyDescent="0.25">
      <c r="A148" t="s">
        <v>763</v>
      </c>
      <c r="B148" t="s">
        <v>764</v>
      </c>
      <c r="C148">
        <v>2021</v>
      </c>
      <c r="D148">
        <v>8001</v>
      </c>
      <c r="E148">
        <v>1</v>
      </c>
      <c r="F148" t="s">
        <v>765</v>
      </c>
      <c r="G148">
        <v>0</v>
      </c>
      <c r="J148">
        <v>155.31</v>
      </c>
      <c r="L148">
        <v>49444885</v>
      </c>
      <c r="M148" s="1">
        <v>44585</v>
      </c>
      <c r="N148" t="str">
        <f>"O220124BO1"</f>
        <v>O220124BO1</v>
      </c>
      <c r="O148" t="s">
        <v>28</v>
      </c>
      <c r="Q148" t="s">
        <v>29</v>
      </c>
      <c r="R148" t="s">
        <v>28</v>
      </c>
      <c r="S148" t="s">
        <v>765</v>
      </c>
      <c r="T148" t="s">
        <v>766</v>
      </c>
      <c r="U148" t="s">
        <v>60</v>
      </c>
      <c r="V148" t="s">
        <v>60</v>
      </c>
      <c r="W148" t="s">
        <v>219</v>
      </c>
      <c r="X148" t="s">
        <v>34</v>
      </c>
      <c r="Y148" t="str">
        <f>"774981377   "</f>
        <v xml:space="preserve">774981377   </v>
      </c>
    </row>
    <row r="149" spans="1:25" x14ac:dyDescent="0.25">
      <c r="A149" t="s">
        <v>767</v>
      </c>
      <c r="B149" t="s">
        <v>768</v>
      </c>
      <c r="C149">
        <v>2020</v>
      </c>
      <c r="D149">
        <v>8001</v>
      </c>
      <c r="E149">
        <v>1</v>
      </c>
      <c r="F149" t="s">
        <v>769</v>
      </c>
      <c r="G149">
        <v>24402622</v>
      </c>
      <c r="J149">
        <v>206.78</v>
      </c>
      <c r="L149">
        <v>46797045</v>
      </c>
      <c r="M149" s="1">
        <v>44232</v>
      </c>
      <c r="N149" t="str">
        <f>"O210205W1"</f>
        <v>O210205W1</v>
      </c>
      <c r="O149" t="s">
        <v>28</v>
      </c>
      <c r="Q149" t="s">
        <v>29</v>
      </c>
      <c r="R149" t="s">
        <v>28</v>
      </c>
      <c r="S149" t="s">
        <v>770</v>
      </c>
      <c r="T149" t="s">
        <v>771</v>
      </c>
      <c r="W149" t="s">
        <v>81</v>
      </c>
      <c r="X149" t="s">
        <v>34</v>
      </c>
      <c r="Y149" t="str">
        <f>"774069204"</f>
        <v>774069204</v>
      </c>
    </row>
    <row r="150" spans="1:25" x14ac:dyDescent="0.25">
      <c r="A150" t="s">
        <v>772</v>
      </c>
      <c r="B150" t="s">
        <v>773</v>
      </c>
      <c r="C150">
        <v>2019</v>
      </c>
      <c r="D150">
        <v>8001</v>
      </c>
      <c r="E150">
        <v>1</v>
      </c>
      <c r="F150" t="s">
        <v>774</v>
      </c>
      <c r="G150">
        <v>27660911</v>
      </c>
      <c r="J150">
        <v>351.28</v>
      </c>
      <c r="L150">
        <v>43717410</v>
      </c>
      <c r="M150" s="1">
        <v>43873</v>
      </c>
      <c r="N150" t="str">
        <f>"J200212AW5"</f>
        <v>J200212AW5</v>
      </c>
      <c r="O150" t="s">
        <v>28</v>
      </c>
      <c r="Q150" t="s">
        <v>29</v>
      </c>
      <c r="R150" t="s">
        <v>28</v>
      </c>
      <c r="S150" t="s">
        <v>775</v>
      </c>
      <c r="T150" t="s">
        <v>776</v>
      </c>
      <c r="W150" t="s">
        <v>40</v>
      </c>
      <c r="X150" t="s">
        <v>34</v>
      </c>
      <c r="Y150" t="str">
        <f>"77478"</f>
        <v>77478</v>
      </c>
    </row>
    <row r="151" spans="1:25" x14ac:dyDescent="0.25">
      <c r="A151" t="s">
        <v>777</v>
      </c>
      <c r="B151" t="s">
        <v>778</v>
      </c>
      <c r="C151">
        <v>2021</v>
      </c>
      <c r="D151">
        <v>8001</v>
      </c>
      <c r="E151">
        <v>1</v>
      </c>
      <c r="F151" t="s">
        <v>779</v>
      </c>
      <c r="G151">
        <v>31115219</v>
      </c>
      <c r="J151">
        <v>107</v>
      </c>
      <c r="L151">
        <v>50103142</v>
      </c>
      <c r="M151" s="1">
        <v>44600</v>
      </c>
      <c r="N151" t="str">
        <f>"RC220310"</f>
        <v>RC220310</v>
      </c>
      <c r="O151" t="s">
        <v>28</v>
      </c>
      <c r="Q151" t="s">
        <v>29</v>
      </c>
      <c r="R151" t="s">
        <v>28</v>
      </c>
      <c r="S151" t="s">
        <v>79</v>
      </c>
      <c r="T151" t="s">
        <v>780</v>
      </c>
      <c r="W151" t="s">
        <v>107</v>
      </c>
      <c r="X151" t="s">
        <v>34</v>
      </c>
      <c r="Y151" t="str">
        <f>"774946447"</f>
        <v>774946447</v>
      </c>
    </row>
    <row r="152" spans="1:25" x14ac:dyDescent="0.25">
      <c r="A152" t="s">
        <v>781</v>
      </c>
      <c r="B152" t="s">
        <v>782</v>
      </c>
      <c r="C152">
        <v>2020</v>
      </c>
      <c r="D152">
        <v>8001</v>
      </c>
      <c r="E152">
        <v>2</v>
      </c>
      <c r="F152" t="s">
        <v>783</v>
      </c>
      <c r="G152">
        <v>0</v>
      </c>
      <c r="J152">
        <v>74.02</v>
      </c>
      <c r="L152">
        <v>47811751</v>
      </c>
      <c r="M152" s="1">
        <v>44487</v>
      </c>
      <c r="N152" t="str">
        <f>"J211018K1"</f>
        <v>J211018K1</v>
      </c>
      <c r="O152" t="s">
        <v>28</v>
      </c>
      <c r="Q152" t="s">
        <v>29</v>
      </c>
      <c r="R152" t="s">
        <v>28</v>
      </c>
      <c r="S152" t="s">
        <v>783</v>
      </c>
      <c r="T152" t="s">
        <v>784</v>
      </c>
      <c r="U152" t="s">
        <v>60</v>
      </c>
      <c r="V152" t="s">
        <v>60</v>
      </c>
      <c r="W152" t="s">
        <v>785</v>
      </c>
      <c r="X152" t="s">
        <v>34</v>
      </c>
      <c r="Y152" t="str">
        <f>"783774410   "</f>
        <v xml:space="preserve">783774410   </v>
      </c>
    </row>
    <row r="153" spans="1:25" x14ac:dyDescent="0.25">
      <c r="A153" t="s">
        <v>786</v>
      </c>
      <c r="B153" t="s">
        <v>787</v>
      </c>
      <c r="C153">
        <v>2020</v>
      </c>
      <c r="D153">
        <v>8001</v>
      </c>
      <c r="E153">
        <v>1</v>
      </c>
      <c r="F153" t="s">
        <v>788</v>
      </c>
      <c r="G153">
        <v>26700162</v>
      </c>
      <c r="J153">
        <v>185.78</v>
      </c>
      <c r="L153">
        <v>45153230</v>
      </c>
      <c r="M153" s="1">
        <v>44173</v>
      </c>
      <c r="N153" t="str">
        <f>"RC201217"</f>
        <v>RC201217</v>
      </c>
      <c r="O153" t="s">
        <v>28</v>
      </c>
      <c r="Q153" t="s">
        <v>29</v>
      </c>
      <c r="R153" t="s">
        <v>28</v>
      </c>
      <c r="S153" t="s">
        <v>789</v>
      </c>
      <c r="T153" t="s">
        <v>790</v>
      </c>
      <c r="W153" t="s">
        <v>75</v>
      </c>
      <c r="X153" t="s">
        <v>34</v>
      </c>
      <c r="Y153" t="str">
        <f>"770844935"</f>
        <v>770844935</v>
      </c>
    </row>
    <row r="154" spans="1:25" x14ac:dyDescent="0.25">
      <c r="A154" t="s">
        <v>791</v>
      </c>
      <c r="B154" t="s">
        <v>792</v>
      </c>
      <c r="C154">
        <v>2019</v>
      </c>
      <c r="D154">
        <v>8001</v>
      </c>
      <c r="E154">
        <v>1</v>
      </c>
      <c r="F154" t="s">
        <v>788</v>
      </c>
      <c r="G154">
        <v>26700162</v>
      </c>
      <c r="J154">
        <v>109.65</v>
      </c>
      <c r="L154">
        <v>43720437</v>
      </c>
      <c r="M154" s="1">
        <v>43873</v>
      </c>
      <c r="N154" t="str">
        <f>"J200212AW12"</f>
        <v>J200212AW12</v>
      </c>
      <c r="O154" t="s">
        <v>28</v>
      </c>
      <c r="Q154" t="s">
        <v>29</v>
      </c>
      <c r="R154" t="s">
        <v>28</v>
      </c>
      <c r="S154" t="s">
        <v>789</v>
      </c>
      <c r="T154" t="s">
        <v>790</v>
      </c>
      <c r="W154" t="s">
        <v>75</v>
      </c>
      <c r="X154" t="s">
        <v>34</v>
      </c>
      <c r="Y154" t="str">
        <f>"770844935"</f>
        <v>770844935</v>
      </c>
    </row>
    <row r="155" spans="1:25" x14ac:dyDescent="0.25">
      <c r="A155" t="s">
        <v>793</v>
      </c>
      <c r="B155" t="s">
        <v>794</v>
      </c>
      <c r="C155">
        <v>2020</v>
      </c>
      <c r="D155">
        <v>8001</v>
      </c>
      <c r="E155">
        <v>1</v>
      </c>
      <c r="F155" t="s">
        <v>795</v>
      </c>
      <c r="G155">
        <v>27400178</v>
      </c>
      <c r="J155">
        <v>5.33</v>
      </c>
      <c r="L155">
        <v>41220557</v>
      </c>
      <c r="M155" s="1">
        <v>44148</v>
      </c>
      <c r="N155" t="str">
        <f>"T201113F1"</f>
        <v>T201113F1</v>
      </c>
      <c r="O155" t="s">
        <v>28</v>
      </c>
      <c r="Q155" t="s">
        <v>29</v>
      </c>
      <c r="R155" t="s">
        <v>28</v>
      </c>
      <c r="S155" t="s">
        <v>796</v>
      </c>
      <c r="T155" t="s">
        <v>797</v>
      </c>
      <c r="U155" t="s">
        <v>798</v>
      </c>
      <c r="W155" t="s">
        <v>799</v>
      </c>
      <c r="X155" t="s">
        <v>34</v>
      </c>
      <c r="Y155" t="str">
        <f>"775463294"</f>
        <v>775463294</v>
      </c>
    </row>
    <row r="156" spans="1:25" x14ac:dyDescent="0.25">
      <c r="A156" t="s">
        <v>800</v>
      </c>
      <c r="B156" t="s">
        <v>801</v>
      </c>
      <c r="C156">
        <v>2020</v>
      </c>
      <c r="D156">
        <v>8001</v>
      </c>
      <c r="E156">
        <v>1</v>
      </c>
      <c r="F156" t="s">
        <v>802</v>
      </c>
      <c r="G156">
        <v>0</v>
      </c>
      <c r="J156">
        <v>206</v>
      </c>
      <c r="L156">
        <v>45828878</v>
      </c>
      <c r="M156" s="1">
        <v>44204</v>
      </c>
      <c r="N156" t="str">
        <f>"L210108"</f>
        <v>L210108</v>
      </c>
      <c r="O156" t="s">
        <v>28</v>
      </c>
      <c r="Q156" t="s">
        <v>29</v>
      </c>
      <c r="R156" t="s">
        <v>28</v>
      </c>
      <c r="S156" t="s">
        <v>802</v>
      </c>
      <c r="T156" t="s">
        <v>803</v>
      </c>
      <c r="U156" t="s">
        <v>60</v>
      </c>
      <c r="V156" t="s">
        <v>60</v>
      </c>
      <c r="W156" t="s">
        <v>98</v>
      </c>
      <c r="X156" t="s">
        <v>34</v>
      </c>
      <c r="Y156" t="str">
        <f>"774619297   "</f>
        <v xml:space="preserve">774619297   </v>
      </c>
    </row>
    <row r="157" spans="1:25" x14ac:dyDescent="0.25">
      <c r="A157" t="s">
        <v>804</v>
      </c>
      <c r="B157" t="s">
        <v>805</v>
      </c>
      <c r="C157">
        <v>2020</v>
      </c>
      <c r="D157">
        <v>8001</v>
      </c>
      <c r="E157">
        <v>1</v>
      </c>
      <c r="F157" t="s">
        <v>806</v>
      </c>
      <c r="G157">
        <v>30087219</v>
      </c>
      <c r="J157">
        <v>6.26</v>
      </c>
      <c r="L157">
        <v>47955635</v>
      </c>
      <c r="M157" s="1">
        <v>44503</v>
      </c>
      <c r="N157" t="str">
        <f>"EK211103"</f>
        <v>EK211103</v>
      </c>
      <c r="O157" t="s">
        <v>28</v>
      </c>
      <c r="Q157" t="s">
        <v>29</v>
      </c>
      <c r="R157" t="s">
        <v>28</v>
      </c>
      <c r="S157" t="s">
        <v>807</v>
      </c>
      <c r="T157" t="s">
        <v>808</v>
      </c>
      <c r="W157" t="s">
        <v>618</v>
      </c>
      <c r="X157" t="s">
        <v>34</v>
      </c>
      <c r="Y157" t="str">
        <f>"77461"</f>
        <v>77461</v>
      </c>
    </row>
    <row r="158" spans="1:25" x14ac:dyDescent="0.25">
      <c r="A158" t="s">
        <v>809</v>
      </c>
      <c r="B158" t="s">
        <v>810</v>
      </c>
      <c r="C158">
        <v>2020</v>
      </c>
      <c r="D158">
        <v>8001</v>
      </c>
      <c r="E158">
        <v>1</v>
      </c>
      <c r="F158" t="s">
        <v>811</v>
      </c>
      <c r="G158">
        <v>30087220</v>
      </c>
      <c r="J158">
        <v>29.83</v>
      </c>
      <c r="L158">
        <v>47955636</v>
      </c>
      <c r="M158" s="1">
        <v>44503</v>
      </c>
      <c r="N158" t="str">
        <f>"EK211103"</f>
        <v>EK211103</v>
      </c>
      <c r="O158" t="s">
        <v>28</v>
      </c>
      <c r="Q158" t="s">
        <v>29</v>
      </c>
      <c r="R158" t="s">
        <v>28</v>
      </c>
      <c r="S158" t="s">
        <v>807</v>
      </c>
      <c r="T158" t="s">
        <v>808</v>
      </c>
      <c r="W158" t="s">
        <v>618</v>
      </c>
      <c r="X158" t="s">
        <v>34</v>
      </c>
      <c r="Y158" t="str">
        <f>"77461"</f>
        <v>77461</v>
      </c>
    </row>
    <row r="159" spans="1:25" x14ac:dyDescent="0.25">
      <c r="A159" t="s">
        <v>812</v>
      </c>
      <c r="B159" t="s">
        <v>813</v>
      </c>
      <c r="C159">
        <v>2020</v>
      </c>
      <c r="D159">
        <v>8001</v>
      </c>
      <c r="E159">
        <v>1</v>
      </c>
      <c r="F159" t="s">
        <v>814</v>
      </c>
      <c r="G159">
        <v>30087222</v>
      </c>
      <c r="J159">
        <v>19.899999999999999</v>
      </c>
      <c r="L159">
        <v>47955639</v>
      </c>
      <c r="M159" s="1">
        <v>44503</v>
      </c>
      <c r="N159" t="str">
        <f>"EK211103"</f>
        <v>EK211103</v>
      </c>
      <c r="O159" t="s">
        <v>28</v>
      </c>
      <c r="Q159" t="s">
        <v>29</v>
      </c>
      <c r="R159" t="s">
        <v>28</v>
      </c>
      <c r="S159" t="s">
        <v>807</v>
      </c>
      <c r="T159" t="s">
        <v>808</v>
      </c>
      <c r="W159" t="s">
        <v>618</v>
      </c>
      <c r="X159" t="s">
        <v>34</v>
      </c>
      <c r="Y159" t="str">
        <f>"77461"</f>
        <v>77461</v>
      </c>
    </row>
    <row r="160" spans="1:25" x14ac:dyDescent="0.25">
      <c r="A160" t="s">
        <v>815</v>
      </c>
      <c r="B160" t="s">
        <v>816</v>
      </c>
      <c r="C160">
        <v>2020</v>
      </c>
      <c r="D160">
        <v>8001</v>
      </c>
      <c r="E160">
        <v>1</v>
      </c>
      <c r="F160" t="s">
        <v>817</v>
      </c>
      <c r="G160">
        <v>30087218</v>
      </c>
      <c r="J160">
        <v>35.22</v>
      </c>
      <c r="L160">
        <v>47955634</v>
      </c>
      <c r="M160" s="1">
        <v>44503</v>
      </c>
      <c r="N160" t="str">
        <f>"EK211103"</f>
        <v>EK211103</v>
      </c>
      <c r="O160" t="s">
        <v>28</v>
      </c>
      <c r="Q160" t="s">
        <v>29</v>
      </c>
      <c r="R160" t="s">
        <v>28</v>
      </c>
      <c r="S160" t="s">
        <v>807</v>
      </c>
      <c r="T160" t="s">
        <v>808</v>
      </c>
      <c r="W160" t="s">
        <v>618</v>
      </c>
      <c r="X160" t="s">
        <v>34</v>
      </c>
      <c r="Y160" t="str">
        <f>"77461"</f>
        <v>77461</v>
      </c>
    </row>
    <row r="161" spans="1:25" x14ac:dyDescent="0.25">
      <c r="A161" t="s">
        <v>818</v>
      </c>
      <c r="B161" t="s">
        <v>819</v>
      </c>
      <c r="C161">
        <v>2020</v>
      </c>
      <c r="D161">
        <v>8001</v>
      </c>
      <c r="E161">
        <v>1</v>
      </c>
      <c r="F161" t="s">
        <v>820</v>
      </c>
      <c r="G161">
        <v>28469887</v>
      </c>
      <c r="J161">
        <v>9.2799999999999994</v>
      </c>
      <c r="L161">
        <v>44193432</v>
      </c>
      <c r="M161" s="1">
        <v>44147</v>
      </c>
      <c r="N161" t="str">
        <f>"TE201112"</f>
        <v>TE201112</v>
      </c>
      <c r="O161" t="s">
        <v>28</v>
      </c>
      <c r="Q161" t="s">
        <v>29</v>
      </c>
      <c r="R161" t="s">
        <v>28</v>
      </c>
      <c r="S161" t="s">
        <v>821</v>
      </c>
      <c r="T161" t="s">
        <v>822</v>
      </c>
      <c r="U161" t="s">
        <v>823</v>
      </c>
      <c r="W161" t="s">
        <v>40</v>
      </c>
      <c r="X161" t="s">
        <v>34</v>
      </c>
      <c r="Y161" t="str">
        <f>"774981104"</f>
        <v>774981104</v>
      </c>
    </row>
    <row r="162" spans="1:25" x14ac:dyDescent="0.25">
      <c r="A162" t="s">
        <v>824</v>
      </c>
      <c r="B162" t="s">
        <v>825</v>
      </c>
      <c r="C162">
        <v>2020</v>
      </c>
      <c r="D162">
        <v>8001</v>
      </c>
      <c r="E162">
        <v>1</v>
      </c>
      <c r="F162" t="s">
        <v>826</v>
      </c>
      <c r="G162">
        <v>28458177</v>
      </c>
      <c r="J162">
        <v>5.47</v>
      </c>
      <c r="L162">
        <v>44170124</v>
      </c>
      <c r="M162" s="1">
        <v>44147</v>
      </c>
      <c r="N162" t="str">
        <f>"TE201112"</f>
        <v>TE201112</v>
      </c>
      <c r="O162" t="s">
        <v>28</v>
      </c>
      <c r="Q162" t="s">
        <v>29</v>
      </c>
      <c r="R162" t="s">
        <v>28</v>
      </c>
      <c r="S162" t="s">
        <v>827</v>
      </c>
      <c r="T162" t="s">
        <v>828</v>
      </c>
      <c r="W162" t="s">
        <v>81</v>
      </c>
      <c r="X162" t="s">
        <v>34</v>
      </c>
      <c r="Y162" t="str">
        <f>"774691878"</f>
        <v>774691878</v>
      </c>
    </row>
    <row r="163" spans="1:25" x14ac:dyDescent="0.25">
      <c r="A163" t="s">
        <v>829</v>
      </c>
      <c r="B163" t="s">
        <v>830</v>
      </c>
      <c r="C163">
        <v>2020</v>
      </c>
      <c r="D163">
        <v>8001</v>
      </c>
      <c r="E163">
        <v>1</v>
      </c>
      <c r="F163" t="s">
        <v>831</v>
      </c>
      <c r="G163">
        <v>0</v>
      </c>
      <c r="J163">
        <v>47.61</v>
      </c>
      <c r="L163">
        <v>47519616</v>
      </c>
      <c r="M163" s="1">
        <v>44357</v>
      </c>
      <c r="N163" t="str">
        <f>"J210610BW1"</f>
        <v>J210610BW1</v>
      </c>
      <c r="O163" t="s">
        <v>28</v>
      </c>
      <c r="Q163" t="s">
        <v>29</v>
      </c>
      <c r="R163" t="s">
        <v>28</v>
      </c>
      <c r="S163" t="s">
        <v>831</v>
      </c>
      <c r="T163" t="s">
        <v>832</v>
      </c>
      <c r="U163" t="s">
        <v>833</v>
      </c>
      <c r="V163" t="s">
        <v>60</v>
      </c>
      <c r="W163" t="s">
        <v>98</v>
      </c>
      <c r="X163" t="s">
        <v>34</v>
      </c>
      <c r="Y163" t="str">
        <f>"774619717   "</f>
        <v xml:space="preserve">774619717   </v>
      </c>
    </row>
    <row r="164" spans="1:25" x14ac:dyDescent="0.25">
      <c r="A164" t="s">
        <v>834</v>
      </c>
      <c r="B164" t="s">
        <v>835</v>
      </c>
      <c r="C164">
        <v>2021</v>
      </c>
      <c r="D164">
        <v>8001</v>
      </c>
      <c r="E164">
        <v>1</v>
      </c>
      <c r="F164" t="s">
        <v>836</v>
      </c>
      <c r="G164">
        <v>31092808</v>
      </c>
      <c r="J164">
        <v>9.7799999999999994</v>
      </c>
      <c r="L164">
        <v>49742396</v>
      </c>
      <c r="M164" s="1">
        <v>44592</v>
      </c>
      <c r="N164" t="str">
        <f>"RC220303"</f>
        <v>RC220303</v>
      </c>
      <c r="O164" t="s">
        <v>28</v>
      </c>
      <c r="Q164" t="s">
        <v>29</v>
      </c>
      <c r="R164" t="s">
        <v>28</v>
      </c>
      <c r="S164" t="s">
        <v>837</v>
      </c>
      <c r="T164" t="s">
        <v>838</v>
      </c>
      <c r="W164" t="s">
        <v>40</v>
      </c>
      <c r="X164" t="s">
        <v>34</v>
      </c>
      <c r="Y164" t="str">
        <f>"774792159"</f>
        <v>774792159</v>
      </c>
    </row>
    <row r="165" spans="1:25" x14ac:dyDescent="0.25">
      <c r="A165" t="s">
        <v>839</v>
      </c>
      <c r="B165" t="s">
        <v>840</v>
      </c>
      <c r="C165">
        <v>2021</v>
      </c>
      <c r="D165">
        <v>8001</v>
      </c>
      <c r="E165">
        <v>2</v>
      </c>
      <c r="F165" t="s">
        <v>841</v>
      </c>
      <c r="G165">
        <v>30948644</v>
      </c>
      <c r="J165">
        <v>52.71</v>
      </c>
      <c r="L165">
        <v>50008411</v>
      </c>
      <c r="M165" s="1">
        <v>44596</v>
      </c>
      <c r="N165" t="str">
        <f>"EK220204"</f>
        <v>EK220204</v>
      </c>
      <c r="O165" t="s">
        <v>28</v>
      </c>
      <c r="Q165" t="s">
        <v>29</v>
      </c>
      <c r="R165" t="s">
        <v>28</v>
      </c>
      <c r="S165" t="s">
        <v>842</v>
      </c>
      <c r="T165" t="s">
        <v>843</v>
      </c>
      <c r="W165" t="s">
        <v>711</v>
      </c>
      <c r="X165" t="s">
        <v>34</v>
      </c>
      <c r="Y165" t="str">
        <f>"77444"</f>
        <v>77444</v>
      </c>
    </row>
    <row r="166" spans="1:25" x14ac:dyDescent="0.25">
      <c r="A166" t="s">
        <v>844</v>
      </c>
      <c r="B166" t="s">
        <v>845</v>
      </c>
      <c r="C166">
        <v>2020</v>
      </c>
      <c r="D166">
        <v>8001</v>
      </c>
      <c r="E166">
        <v>1</v>
      </c>
      <c r="F166" t="s">
        <v>846</v>
      </c>
      <c r="G166">
        <v>29489508</v>
      </c>
      <c r="J166" s="2">
        <v>2324.29</v>
      </c>
      <c r="L166">
        <v>46782207</v>
      </c>
      <c r="M166" s="1">
        <v>44231</v>
      </c>
      <c r="N166" t="str">
        <f>"CC210204"</f>
        <v>CC210204</v>
      </c>
      <c r="O166" t="s">
        <v>28</v>
      </c>
      <c r="Q166" t="s">
        <v>29</v>
      </c>
      <c r="R166" t="s">
        <v>28</v>
      </c>
      <c r="S166" t="s">
        <v>847</v>
      </c>
      <c r="T166" t="s">
        <v>848</v>
      </c>
      <c r="W166" t="s">
        <v>75</v>
      </c>
      <c r="X166" t="s">
        <v>34</v>
      </c>
      <c r="Y166" t="str">
        <f>"77036"</f>
        <v>77036</v>
      </c>
    </row>
    <row r="167" spans="1:25" x14ac:dyDescent="0.25">
      <c r="A167" t="s">
        <v>849</v>
      </c>
      <c r="B167" t="s">
        <v>850</v>
      </c>
      <c r="C167">
        <v>2021</v>
      </c>
      <c r="D167">
        <v>8001</v>
      </c>
      <c r="E167">
        <v>1</v>
      </c>
      <c r="F167" t="s">
        <v>851</v>
      </c>
      <c r="G167">
        <v>25827148</v>
      </c>
      <c r="J167">
        <v>73.12</v>
      </c>
      <c r="L167">
        <v>49347579</v>
      </c>
      <c r="M167" s="1">
        <v>44581</v>
      </c>
      <c r="N167" t="str">
        <f>"RC220221"</f>
        <v>RC220221</v>
      </c>
      <c r="O167" t="s">
        <v>28</v>
      </c>
      <c r="Q167" t="s">
        <v>29</v>
      </c>
      <c r="R167" t="s">
        <v>28</v>
      </c>
      <c r="S167" t="s">
        <v>852</v>
      </c>
      <c r="T167" t="s">
        <v>853</v>
      </c>
      <c r="U167" t="s">
        <v>854</v>
      </c>
      <c r="W167" t="s">
        <v>154</v>
      </c>
      <c r="X167" t="s">
        <v>34</v>
      </c>
      <c r="Y167" t="str">
        <f>"774718933"</f>
        <v>774718933</v>
      </c>
    </row>
    <row r="168" spans="1:25" x14ac:dyDescent="0.25">
      <c r="A168" t="s">
        <v>855</v>
      </c>
      <c r="B168" t="s">
        <v>856</v>
      </c>
      <c r="C168">
        <v>2021</v>
      </c>
      <c r="D168">
        <v>8001</v>
      </c>
      <c r="E168">
        <v>1</v>
      </c>
      <c r="F168" t="s">
        <v>857</v>
      </c>
      <c r="G168">
        <v>31007931</v>
      </c>
      <c r="J168">
        <v>626.52</v>
      </c>
      <c r="L168">
        <v>49130251</v>
      </c>
      <c r="M168" s="1">
        <v>44573</v>
      </c>
      <c r="N168" t="str">
        <f>"RC220221"</f>
        <v>RC220221</v>
      </c>
      <c r="O168" t="s">
        <v>28</v>
      </c>
      <c r="Q168" t="s">
        <v>29</v>
      </c>
      <c r="R168" t="s">
        <v>28</v>
      </c>
      <c r="S168" t="s">
        <v>105</v>
      </c>
      <c r="T168" t="s">
        <v>106</v>
      </c>
      <c r="W168" t="s">
        <v>107</v>
      </c>
      <c r="X168" t="s">
        <v>34</v>
      </c>
      <c r="Y168" t="str">
        <f>"77449-0000"</f>
        <v>77449-0000</v>
      </c>
    </row>
    <row r="169" spans="1:25" x14ac:dyDescent="0.25">
      <c r="A169" t="s">
        <v>858</v>
      </c>
      <c r="B169" t="s">
        <v>859</v>
      </c>
      <c r="C169">
        <v>2021</v>
      </c>
      <c r="D169">
        <v>8001</v>
      </c>
      <c r="E169">
        <v>1</v>
      </c>
      <c r="F169" t="s">
        <v>860</v>
      </c>
      <c r="G169">
        <v>0</v>
      </c>
      <c r="J169">
        <v>82.51</v>
      </c>
      <c r="L169">
        <v>49108521</v>
      </c>
      <c r="M169" s="1">
        <v>44572</v>
      </c>
      <c r="N169" t="str">
        <f>"O220111N1"</f>
        <v>O220111N1</v>
      </c>
      <c r="O169" t="s">
        <v>28</v>
      </c>
      <c r="Q169" t="s">
        <v>29</v>
      </c>
      <c r="R169" t="s">
        <v>28</v>
      </c>
      <c r="S169" t="s">
        <v>860</v>
      </c>
      <c r="T169" t="s">
        <v>861</v>
      </c>
      <c r="U169" t="s">
        <v>60</v>
      </c>
      <c r="V169" t="s">
        <v>60</v>
      </c>
      <c r="W169" t="s">
        <v>649</v>
      </c>
      <c r="X169" t="s">
        <v>34</v>
      </c>
      <c r="Y169" t="str">
        <f>"774719881   "</f>
        <v xml:space="preserve">774719881   </v>
      </c>
    </row>
    <row r="170" spans="1:25" x14ac:dyDescent="0.25">
      <c r="A170" t="s">
        <v>862</v>
      </c>
      <c r="B170" t="s">
        <v>863</v>
      </c>
      <c r="C170">
        <v>2021</v>
      </c>
      <c r="D170">
        <v>8001</v>
      </c>
      <c r="E170">
        <v>1</v>
      </c>
      <c r="F170" t="s">
        <v>851</v>
      </c>
      <c r="G170">
        <v>25827148</v>
      </c>
      <c r="J170">
        <v>79.33</v>
      </c>
      <c r="L170">
        <v>49347578</v>
      </c>
      <c r="M170" s="1">
        <v>44581</v>
      </c>
      <c r="N170" t="str">
        <f>"RC220221"</f>
        <v>RC220221</v>
      </c>
      <c r="O170" t="s">
        <v>28</v>
      </c>
      <c r="Q170" t="s">
        <v>29</v>
      </c>
      <c r="R170" t="s">
        <v>28</v>
      </c>
      <c r="S170" t="s">
        <v>852</v>
      </c>
      <c r="T170" t="s">
        <v>853</v>
      </c>
      <c r="U170" t="s">
        <v>854</v>
      </c>
      <c r="W170" t="s">
        <v>154</v>
      </c>
      <c r="X170" t="s">
        <v>34</v>
      </c>
      <c r="Y170" t="str">
        <f>"774718933"</f>
        <v>774718933</v>
      </c>
    </row>
    <row r="171" spans="1:25" x14ac:dyDescent="0.25">
      <c r="A171" t="s">
        <v>864</v>
      </c>
      <c r="B171" t="s">
        <v>865</v>
      </c>
      <c r="C171">
        <v>2020</v>
      </c>
      <c r="D171">
        <v>8001</v>
      </c>
      <c r="E171">
        <v>13</v>
      </c>
      <c r="F171" t="s">
        <v>866</v>
      </c>
      <c r="G171">
        <v>28566860</v>
      </c>
      <c r="J171">
        <v>132.81</v>
      </c>
      <c r="L171">
        <v>44550672</v>
      </c>
      <c r="M171" s="1">
        <v>44147</v>
      </c>
      <c r="N171" t="str">
        <f>"TE201112"</f>
        <v>TE201112</v>
      </c>
      <c r="O171" t="s">
        <v>28</v>
      </c>
      <c r="Q171" t="s">
        <v>29</v>
      </c>
      <c r="R171" t="s">
        <v>28</v>
      </c>
      <c r="S171" t="s">
        <v>867</v>
      </c>
      <c r="T171" t="s">
        <v>868</v>
      </c>
      <c r="W171" t="s">
        <v>869</v>
      </c>
      <c r="X171" t="s">
        <v>34</v>
      </c>
      <c r="Y171" t="str">
        <f>"774170116"</f>
        <v>774170116</v>
      </c>
    </row>
    <row r="172" spans="1:25" x14ac:dyDescent="0.25">
      <c r="A172" t="s">
        <v>870</v>
      </c>
      <c r="B172" t="s">
        <v>871</v>
      </c>
      <c r="C172">
        <v>2021</v>
      </c>
      <c r="D172">
        <v>8001</v>
      </c>
      <c r="E172">
        <v>1</v>
      </c>
      <c r="F172" t="s">
        <v>872</v>
      </c>
      <c r="G172">
        <v>0</v>
      </c>
      <c r="J172">
        <v>22.77</v>
      </c>
      <c r="L172">
        <v>49935078</v>
      </c>
      <c r="M172" s="1">
        <v>44594</v>
      </c>
      <c r="N172" t="str">
        <f>"J220202BW8"</f>
        <v>J220202BW8</v>
      </c>
      <c r="O172" t="s">
        <v>28</v>
      </c>
      <c r="Q172" t="s">
        <v>29</v>
      </c>
      <c r="R172" t="s">
        <v>28</v>
      </c>
      <c r="S172" t="s">
        <v>872</v>
      </c>
      <c r="T172" t="s">
        <v>873</v>
      </c>
      <c r="U172" t="s">
        <v>874</v>
      </c>
      <c r="V172" t="s">
        <v>60</v>
      </c>
      <c r="W172" t="s">
        <v>135</v>
      </c>
      <c r="X172" t="s">
        <v>34</v>
      </c>
      <c r="Y172" t="str">
        <f>"770025049   "</f>
        <v xml:space="preserve">770025049   </v>
      </c>
    </row>
    <row r="173" spans="1:25" x14ac:dyDescent="0.25">
      <c r="A173" t="s">
        <v>875</v>
      </c>
      <c r="B173" t="s">
        <v>876</v>
      </c>
      <c r="C173">
        <v>2021</v>
      </c>
      <c r="D173">
        <v>8001</v>
      </c>
      <c r="E173">
        <v>1</v>
      </c>
      <c r="F173" t="s">
        <v>877</v>
      </c>
      <c r="G173">
        <v>0</v>
      </c>
      <c r="J173">
        <v>20</v>
      </c>
      <c r="L173">
        <v>50091928</v>
      </c>
      <c r="M173" s="1">
        <v>44600</v>
      </c>
      <c r="N173" t="str">
        <f>"L220208"</f>
        <v>L220208</v>
      </c>
      <c r="O173" t="s">
        <v>28</v>
      </c>
      <c r="Q173" t="s">
        <v>29</v>
      </c>
      <c r="R173" t="s">
        <v>28</v>
      </c>
      <c r="S173" t="s">
        <v>877</v>
      </c>
      <c r="T173" t="s">
        <v>878</v>
      </c>
      <c r="U173" t="s">
        <v>60</v>
      </c>
      <c r="V173" t="s">
        <v>60</v>
      </c>
      <c r="W173" t="s">
        <v>219</v>
      </c>
      <c r="X173" t="s">
        <v>34</v>
      </c>
      <c r="Y173" t="str">
        <f>"774982137   "</f>
        <v xml:space="preserve">774982137   </v>
      </c>
    </row>
    <row r="174" spans="1:25" x14ac:dyDescent="0.25">
      <c r="A174" t="s">
        <v>879</v>
      </c>
      <c r="B174" t="s">
        <v>880</v>
      </c>
      <c r="C174">
        <v>2021</v>
      </c>
      <c r="D174">
        <v>8001</v>
      </c>
      <c r="E174">
        <v>5</v>
      </c>
      <c r="F174" t="s">
        <v>881</v>
      </c>
      <c r="G174">
        <v>23007462</v>
      </c>
      <c r="J174">
        <v>98.55</v>
      </c>
      <c r="L174">
        <v>49959920</v>
      </c>
      <c r="M174" s="1">
        <v>44595</v>
      </c>
      <c r="N174" t="str">
        <f>"RC220303"</f>
        <v>RC220303</v>
      </c>
      <c r="O174" t="s">
        <v>28</v>
      </c>
      <c r="Q174" t="s">
        <v>29</v>
      </c>
      <c r="R174" t="s">
        <v>28</v>
      </c>
      <c r="S174" t="s">
        <v>882</v>
      </c>
      <c r="T174" t="s">
        <v>883</v>
      </c>
      <c r="W174" t="s">
        <v>75</v>
      </c>
      <c r="X174" t="s">
        <v>34</v>
      </c>
      <c r="Y174" t="str">
        <f>"770403253"</f>
        <v>770403253</v>
      </c>
    </row>
    <row r="175" spans="1:25" x14ac:dyDescent="0.25">
      <c r="A175" t="s">
        <v>884</v>
      </c>
      <c r="B175" t="s">
        <v>885</v>
      </c>
      <c r="C175">
        <v>2019</v>
      </c>
      <c r="D175">
        <v>8001</v>
      </c>
      <c r="E175">
        <v>1</v>
      </c>
      <c r="F175" t="s">
        <v>886</v>
      </c>
      <c r="G175">
        <v>28305488</v>
      </c>
      <c r="J175">
        <v>19.739999999999998</v>
      </c>
      <c r="L175">
        <v>43875240</v>
      </c>
      <c r="M175" s="1">
        <v>43894</v>
      </c>
      <c r="N175" t="str">
        <f>"CC400304"</f>
        <v>CC400304</v>
      </c>
      <c r="O175" t="s">
        <v>28</v>
      </c>
      <c r="Q175" t="s">
        <v>29</v>
      </c>
      <c r="R175" t="s">
        <v>28</v>
      </c>
      <c r="S175" t="s">
        <v>887</v>
      </c>
      <c r="T175" t="s">
        <v>888</v>
      </c>
      <c r="W175" t="s">
        <v>618</v>
      </c>
      <c r="X175" t="s">
        <v>34</v>
      </c>
      <c r="Y175" t="str">
        <f>"77461"</f>
        <v>77461</v>
      </c>
    </row>
    <row r="176" spans="1:25" x14ac:dyDescent="0.25">
      <c r="A176" t="s">
        <v>889</v>
      </c>
      <c r="B176" t="s">
        <v>890</v>
      </c>
      <c r="C176">
        <v>2020</v>
      </c>
      <c r="D176">
        <v>8001</v>
      </c>
      <c r="E176">
        <v>1</v>
      </c>
      <c r="F176" t="s">
        <v>891</v>
      </c>
      <c r="G176">
        <v>29461759</v>
      </c>
      <c r="J176">
        <v>307.56</v>
      </c>
      <c r="L176">
        <v>46728759</v>
      </c>
      <c r="M176" s="1">
        <v>44230</v>
      </c>
      <c r="N176" t="str">
        <f>"EK210203"</f>
        <v>EK210203</v>
      </c>
      <c r="O176" t="s">
        <v>28</v>
      </c>
      <c r="Q176" t="s">
        <v>29</v>
      </c>
      <c r="R176" t="s">
        <v>28</v>
      </c>
      <c r="S176" t="s">
        <v>892</v>
      </c>
      <c r="T176" t="s">
        <v>893</v>
      </c>
      <c r="W176" t="s">
        <v>75</v>
      </c>
      <c r="X176" t="s">
        <v>34</v>
      </c>
      <c r="Y176" t="str">
        <f>"77047"</f>
        <v>77047</v>
      </c>
    </row>
    <row r="177" spans="1:25" x14ac:dyDescent="0.25">
      <c r="A177" t="s">
        <v>894</v>
      </c>
      <c r="B177" t="s">
        <v>895</v>
      </c>
      <c r="C177">
        <v>2019</v>
      </c>
      <c r="D177">
        <v>8001</v>
      </c>
      <c r="E177">
        <v>1</v>
      </c>
      <c r="F177" t="s">
        <v>896</v>
      </c>
      <c r="G177">
        <v>28640633</v>
      </c>
      <c r="J177">
        <v>40.81</v>
      </c>
      <c r="L177">
        <v>44564288</v>
      </c>
      <c r="M177" s="1">
        <v>44103</v>
      </c>
      <c r="N177" t="str">
        <f>"J200929AE2"</f>
        <v>J200929AE2</v>
      </c>
      <c r="O177" t="s">
        <v>28</v>
      </c>
      <c r="Q177" t="s">
        <v>29</v>
      </c>
      <c r="R177" t="s">
        <v>28</v>
      </c>
      <c r="S177" t="s">
        <v>897</v>
      </c>
      <c r="T177" t="s">
        <v>898</v>
      </c>
      <c r="W177" t="s">
        <v>899</v>
      </c>
      <c r="X177" t="s">
        <v>900</v>
      </c>
      <c r="Y177" t="str">
        <f>"60632"</f>
        <v>60632</v>
      </c>
    </row>
    <row r="178" spans="1:25" x14ac:dyDescent="0.25">
      <c r="A178" t="s">
        <v>901</v>
      </c>
      <c r="B178" t="s">
        <v>902</v>
      </c>
      <c r="C178">
        <v>2019</v>
      </c>
      <c r="D178">
        <v>8001</v>
      </c>
      <c r="E178">
        <v>2</v>
      </c>
      <c r="F178" t="s">
        <v>903</v>
      </c>
      <c r="G178">
        <v>21532327</v>
      </c>
      <c r="J178">
        <v>20.98</v>
      </c>
      <c r="L178">
        <v>44469104</v>
      </c>
      <c r="M178" s="1">
        <v>44048</v>
      </c>
      <c r="N178" t="str">
        <f>"J200805K6"</f>
        <v>J200805K6</v>
      </c>
      <c r="O178" t="s">
        <v>28</v>
      </c>
      <c r="Q178" t="s">
        <v>29</v>
      </c>
      <c r="R178" t="s">
        <v>28</v>
      </c>
      <c r="S178" t="s">
        <v>904</v>
      </c>
      <c r="T178" t="s">
        <v>243</v>
      </c>
      <c r="W178" t="s">
        <v>244</v>
      </c>
      <c r="X178" t="s">
        <v>245</v>
      </c>
      <c r="Y178" t="str">
        <f>"48226"</f>
        <v>48226</v>
      </c>
    </row>
    <row r="179" spans="1:25" x14ac:dyDescent="0.25">
      <c r="A179" t="s">
        <v>905</v>
      </c>
      <c r="B179" t="s">
        <v>906</v>
      </c>
      <c r="C179">
        <v>2019</v>
      </c>
      <c r="D179">
        <v>8001</v>
      </c>
      <c r="E179">
        <v>1</v>
      </c>
      <c r="F179" t="s">
        <v>907</v>
      </c>
      <c r="G179">
        <v>28311314</v>
      </c>
      <c r="J179">
        <v>157.22999999999999</v>
      </c>
      <c r="L179">
        <v>43888884</v>
      </c>
      <c r="M179" s="1">
        <v>43895</v>
      </c>
      <c r="N179" t="str">
        <f>"O200305AB1"</f>
        <v>O200305AB1</v>
      </c>
      <c r="O179" t="s">
        <v>28</v>
      </c>
      <c r="Q179" t="s">
        <v>29</v>
      </c>
      <c r="R179" t="s">
        <v>28</v>
      </c>
      <c r="S179" t="s">
        <v>907</v>
      </c>
      <c r="T179" t="s">
        <v>908</v>
      </c>
      <c r="U179" t="s">
        <v>909</v>
      </c>
      <c r="W179" t="s">
        <v>910</v>
      </c>
      <c r="X179" t="s">
        <v>34</v>
      </c>
      <c r="Y179" t="str">
        <f>"782092811"</f>
        <v>782092811</v>
      </c>
    </row>
    <row r="180" spans="1:25" x14ac:dyDescent="0.25">
      <c r="A180" t="s">
        <v>911</v>
      </c>
      <c r="B180" t="s">
        <v>912</v>
      </c>
      <c r="C180">
        <v>2020</v>
      </c>
      <c r="D180">
        <v>8001</v>
      </c>
      <c r="E180">
        <v>3</v>
      </c>
      <c r="F180" t="s">
        <v>913</v>
      </c>
      <c r="G180">
        <v>23775253</v>
      </c>
      <c r="J180">
        <v>54.44</v>
      </c>
      <c r="L180">
        <v>45187670</v>
      </c>
      <c r="M180" s="1">
        <v>44174</v>
      </c>
      <c r="N180" t="str">
        <f>"O201209BL1"</f>
        <v>O201209BL1</v>
      </c>
      <c r="O180" t="s">
        <v>28</v>
      </c>
      <c r="Q180" t="s">
        <v>29</v>
      </c>
      <c r="R180" t="s">
        <v>28</v>
      </c>
      <c r="S180" t="s">
        <v>914</v>
      </c>
      <c r="T180" t="s">
        <v>915</v>
      </c>
      <c r="W180" t="s">
        <v>618</v>
      </c>
      <c r="X180" t="s">
        <v>34</v>
      </c>
      <c r="Y180" t="str">
        <f>"774619434"</f>
        <v>774619434</v>
      </c>
    </row>
    <row r="181" spans="1:25" x14ac:dyDescent="0.25">
      <c r="A181" t="s">
        <v>916</v>
      </c>
      <c r="B181" t="s">
        <v>917</v>
      </c>
      <c r="C181">
        <v>2020</v>
      </c>
      <c r="D181">
        <v>8001</v>
      </c>
      <c r="E181">
        <v>1</v>
      </c>
      <c r="F181" t="s">
        <v>918</v>
      </c>
      <c r="G181">
        <v>30087227</v>
      </c>
      <c r="J181">
        <v>14.81</v>
      </c>
      <c r="L181">
        <v>47955644</v>
      </c>
      <c r="M181" s="1">
        <v>44503</v>
      </c>
      <c r="N181" t="str">
        <f>"EK211103"</f>
        <v>EK211103</v>
      </c>
      <c r="O181" t="s">
        <v>28</v>
      </c>
      <c r="Q181" t="s">
        <v>29</v>
      </c>
      <c r="R181" t="s">
        <v>28</v>
      </c>
      <c r="S181" t="s">
        <v>919</v>
      </c>
      <c r="T181" t="s">
        <v>920</v>
      </c>
      <c r="W181" t="s">
        <v>75</v>
      </c>
      <c r="X181" t="s">
        <v>34</v>
      </c>
      <c r="Y181" t="str">
        <f>"77022"</f>
        <v>77022</v>
      </c>
    </row>
    <row r="182" spans="1:25" x14ac:dyDescent="0.25">
      <c r="A182" t="s">
        <v>921</v>
      </c>
      <c r="B182" t="s">
        <v>922</v>
      </c>
      <c r="C182">
        <v>2019</v>
      </c>
      <c r="D182">
        <v>8001</v>
      </c>
      <c r="E182">
        <v>3</v>
      </c>
      <c r="F182" t="s">
        <v>923</v>
      </c>
      <c r="G182">
        <v>21891552</v>
      </c>
      <c r="J182">
        <v>43.79</v>
      </c>
      <c r="L182">
        <v>44253624</v>
      </c>
      <c r="M182" s="1">
        <v>43984</v>
      </c>
      <c r="N182" t="str">
        <f>"O200602BK7"</f>
        <v>O200602BK7</v>
      </c>
      <c r="O182" t="s">
        <v>28</v>
      </c>
      <c r="Q182" t="s">
        <v>29</v>
      </c>
      <c r="R182" t="s">
        <v>28</v>
      </c>
      <c r="S182" t="s">
        <v>924</v>
      </c>
      <c r="T182" t="s">
        <v>925</v>
      </c>
      <c r="W182" t="s">
        <v>75</v>
      </c>
      <c r="X182" t="s">
        <v>34</v>
      </c>
      <c r="Y182" t="str">
        <f>"77053"</f>
        <v>77053</v>
      </c>
    </row>
    <row r="183" spans="1:25" x14ac:dyDescent="0.25">
      <c r="A183" t="s">
        <v>926</v>
      </c>
      <c r="B183" t="s">
        <v>927</v>
      </c>
      <c r="C183">
        <v>2021</v>
      </c>
      <c r="D183">
        <v>8001</v>
      </c>
      <c r="E183">
        <v>1</v>
      </c>
      <c r="F183" t="s">
        <v>928</v>
      </c>
      <c r="G183">
        <v>28041249</v>
      </c>
      <c r="J183" s="2">
        <v>50411.92</v>
      </c>
      <c r="L183">
        <v>49327450</v>
      </c>
      <c r="M183" s="1">
        <v>44580</v>
      </c>
      <c r="N183" t="str">
        <f>"RC220221"</f>
        <v>RC220221</v>
      </c>
      <c r="O183" t="s">
        <v>28</v>
      </c>
      <c r="Q183" t="s">
        <v>29</v>
      </c>
      <c r="R183" t="s">
        <v>28</v>
      </c>
      <c r="S183" t="s">
        <v>929</v>
      </c>
      <c r="T183" t="s">
        <v>930</v>
      </c>
      <c r="W183" t="s">
        <v>75</v>
      </c>
      <c r="X183" t="s">
        <v>34</v>
      </c>
      <c r="Y183" t="str">
        <f>"770277198"</f>
        <v>770277198</v>
      </c>
    </row>
    <row r="184" spans="1:25" x14ac:dyDescent="0.25">
      <c r="A184" t="s">
        <v>931</v>
      </c>
      <c r="B184" t="s">
        <v>932</v>
      </c>
      <c r="C184">
        <v>2021</v>
      </c>
      <c r="D184">
        <v>8001</v>
      </c>
      <c r="E184">
        <v>2</v>
      </c>
      <c r="F184" t="s">
        <v>933</v>
      </c>
      <c r="G184">
        <v>31008560</v>
      </c>
      <c r="J184" s="2">
        <v>2404.19</v>
      </c>
      <c r="L184">
        <v>49219467</v>
      </c>
      <c r="M184" s="1">
        <v>44575</v>
      </c>
      <c r="N184" t="str">
        <f>"RC220221"</f>
        <v>RC220221</v>
      </c>
      <c r="O184" t="s">
        <v>28</v>
      </c>
      <c r="Q184" t="s">
        <v>29</v>
      </c>
      <c r="R184" t="s">
        <v>28</v>
      </c>
      <c r="S184" t="s">
        <v>934</v>
      </c>
      <c r="T184" t="s">
        <v>935</v>
      </c>
      <c r="W184" t="s">
        <v>936</v>
      </c>
      <c r="X184" t="s">
        <v>34</v>
      </c>
      <c r="Y184" t="str">
        <f>"77386-4308"</f>
        <v>77386-4308</v>
      </c>
    </row>
    <row r="185" spans="1:25" x14ac:dyDescent="0.25">
      <c r="A185" t="s">
        <v>937</v>
      </c>
      <c r="B185" t="s">
        <v>938</v>
      </c>
      <c r="C185">
        <v>2018</v>
      </c>
      <c r="D185">
        <v>8001</v>
      </c>
      <c r="E185">
        <v>1</v>
      </c>
      <c r="F185" t="s">
        <v>795</v>
      </c>
      <c r="G185">
        <v>1602381</v>
      </c>
      <c r="J185">
        <v>5.28</v>
      </c>
      <c r="L185">
        <v>41262336</v>
      </c>
      <c r="M185" s="1">
        <v>43616</v>
      </c>
      <c r="N185" t="str">
        <f>"J190531K2"</f>
        <v>J190531K2</v>
      </c>
      <c r="O185" t="s">
        <v>28</v>
      </c>
      <c r="Q185" t="s">
        <v>29</v>
      </c>
      <c r="R185" t="s">
        <v>28</v>
      </c>
      <c r="S185" t="s">
        <v>939</v>
      </c>
      <c r="T185" t="s">
        <v>940</v>
      </c>
      <c r="W185" t="s">
        <v>81</v>
      </c>
      <c r="X185" t="s">
        <v>34</v>
      </c>
      <c r="Y185" t="str">
        <f>"77469-8440"</f>
        <v>77469-8440</v>
      </c>
    </row>
    <row r="186" spans="1:25" x14ac:dyDescent="0.25">
      <c r="A186" t="s">
        <v>941</v>
      </c>
      <c r="B186" t="s">
        <v>942</v>
      </c>
      <c r="C186">
        <v>2021</v>
      </c>
      <c r="D186">
        <v>8001</v>
      </c>
      <c r="E186">
        <v>3</v>
      </c>
      <c r="F186" t="s">
        <v>943</v>
      </c>
      <c r="G186">
        <v>0</v>
      </c>
      <c r="J186">
        <v>9</v>
      </c>
      <c r="L186">
        <v>48750072</v>
      </c>
      <c r="M186" s="1">
        <v>44559</v>
      </c>
      <c r="N186" t="str">
        <f>"O211229AB1"</f>
        <v>O211229AB1</v>
      </c>
      <c r="O186" t="s">
        <v>28</v>
      </c>
      <c r="Q186" t="s">
        <v>29</v>
      </c>
      <c r="R186" t="s">
        <v>28</v>
      </c>
      <c r="S186" t="s">
        <v>943</v>
      </c>
      <c r="T186" t="s">
        <v>944</v>
      </c>
      <c r="U186" t="s">
        <v>60</v>
      </c>
      <c r="V186" t="s">
        <v>60</v>
      </c>
      <c r="W186" t="s">
        <v>945</v>
      </c>
      <c r="X186" t="s">
        <v>34</v>
      </c>
      <c r="Y186" t="str">
        <f>"774227403   "</f>
        <v xml:space="preserve">774227403   </v>
      </c>
    </row>
    <row r="187" spans="1:25" x14ac:dyDescent="0.25">
      <c r="A187" t="s">
        <v>946</v>
      </c>
      <c r="B187" t="s">
        <v>947</v>
      </c>
      <c r="C187">
        <v>2021</v>
      </c>
      <c r="D187">
        <v>8001</v>
      </c>
      <c r="E187">
        <v>1</v>
      </c>
      <c r="F187" t="s">
        <v>948</v>
      </c>
      <c r="G187">
        <v>0</v>
      </c>
      <c r="J187">
        <v>20.46</v>
      </c>
      <c r="L187">
        <v>49350697</v>
      </c>
      <c r="M187" s="1">
        <v>44581</v>
      </c>
      <c r="N187" t="str">
        <f>"L220120"</f>
        <v>L220120</v>
      </c>
      <c r="O187" t="s">
        <v>28</v>
      </c>
      <c r="Q187" t="s">
        <v>29</v>
      </c>
      <c r="R187" t="s">
        <v>28</v>
      </c>
      <c r="S187" t="s">
        <v>948</v>
      </c>
      <c r="T187" t="s">
        <v>949</v>
      </c>
      <c r="U187" t="s">
        <v>60</v>
      </c>
      <c r="V187" t="s">
        <v>60</v>
      </c>
      <c r="W187" t="s">
        <v>98</v>
      </c>
      <c r="X187" t="s">
        <v>34</v>
      </c>
      <c r="Y187" t="str">
        <f>"774617845   "</f>
        <v xml:space="preserve">774617845   </v>
      </c>
    </row>
    <row r="188" spans="1:25" x14ac:dyDescent="0.25">
      <c r="A188" t="s">
        <v>950</v>
      </c>
      <c r="B188" t="s">
        <v>951</v>
      </c>
      <c r="C188">
        <v>2020</v>
      </c>
      <c r="D188">
        <v>8001</v>
      </c>
      <c r="E188">
        <v>1</v>
      </c>
      <c r="F188" t="s">
        <v>952</v>
      </c>
      <c r="G188">
        <v>29872619</v>
      </c>
      <c r="J188">
        <v>45.47</v>
      </c>
      <c r="L188">
        <v>47519888</v>
      </c>
      <c r="M188" s="1">
        <v>44357</v>
      </c>
      <c r="N188" t="str">
        <f>"RC210616"</f>
        <v>RC210616</v>
      </c>
      <c r="O188" t="s">
        <v>28</v>
      </c>
      <c r="Q188" t="s">
        <v>29</v>
      </c>
      <c r="R188" t="s">
        <v>28</v>
      </c>
      <c r="S188" t="s">
        <v>953</v>
      </c>
      <c r="T188" t="s">
        <v>954</v>
      </c>
      <c r="W188" t="s">
        <v>955</v>
      </c>
      <c r="X188" t="s">
        <v>956</v>
      </c>
      <c r="Y188" t="str">
        <f>"98367"</f>
        <v>98367</v>
      </c>
    </row>
    <row r="189" spans="1:25" x14ac:dyDescent="0.25">
      <c r="A189" t="s">
        <v>957</v>
      </c>
      <c r="B189" t="s">
        <v>958</v>
      </c>
      <c r="C189">
        <v>2018</v>
      </c>
      <c r="D189">
        <v>8001</v>
      </c>
      <c r="E189">
        <v>1</v>
      </c>
      <c r="F189" t="s">
        <v>959</v>
      </c>
      <c r="G189">
        <v>27425556</v>
      </c>
      <c r="J189">
        <v>56.92</v>
      </c>
      <c r="L189">
        <v>41281366</v>
      </c>
      <c r="M189" s="1">
        <v>43619</v>
      </c>
      <c r="N189" t="str">
        <f>"CC390603"</f>
        <v>CC390603</v>
      </c>
      <c r="O189" t="s">
        <v>28</v>
      </c>
      <c r="Q189" t="s">
        <v>29</v>
      </c>
      <c r="R189" t="s">
        <v>28</v>
      </c>
      <c r="S189" t="s">
        <v>960</v>
      </c>
      <c r="T189" t="s">
        <v>961</v>
      </c>
      <c r="W189" t="s">
        <v>962</v>
      </c>
      <c r="X189" t="s">
        <v>34</v>
      </c>
      <c r="Y189" t="str">
        <f>"75559"</f>
        <v>75559</v>
      </c>
    </row>
    <row r="190" spans="1:25" x14ac:dyDescent="0.25">
      <c r="A190" t="s">
        <v>963</v>
      </c>
      <c r="B190" t="s">
        <v>964</v>
      </c>
      <c r="C190">
        <v>2021</v>
      </c>
      <c r="D190">
        <v>8001</v>
      </c>
      <c r="E190">
        <v>1</v>
      </c>
      <c r="F190" t="s">
        <v>965</v>
      </c>
      <c r="G190">
        <v>30832928</v>
      </c>
      <c r="J190">
        <v>54.58</v>
      </c>
      <c r="L190">
        <v>49817989</v>
      </c>
      <c r="M190" s="1">
        <v>44593</v>
      </c>
      <c r="N190" t="str">
        <f>"O220201AB1"</f>
        <v>O220201AB1</v>
      </c>
      <c r="O190" t="s">
        <v>28</v>
      </c>
      <c r="Q190" t="s">
        <v>29</v>
      </c>
      <c r="R190" t="s">
        <v>28</v>
      </c>
      <c r="S190" t="s">
        <v>966</v>
      </c>
      <c r="T190" t="s">
        <v>967</v>
      </c>
      <c r="W190" t="s">
        <v>968</v>
      </c>
      <c r="X190" t="s">
        <v>34</v>
      </c>
      <c r="Y190" t="str">
        <f>"77539"</f>
        <v>77539</v>
      </c>
    </row>
    <row r="191" spans="1:25" x14ac:dyDescent="0.25">
      <c r="A191" t="s">
        <v>969</v>
      </c>
      <c r="B191" t="s">
        <v>970</v>
      </c>
      <c r="C191">
        <v>2020</v>
      </c>
      <c r="D191">
        <v>8001</v>
      </c>
      <c r="E191">
        <v>1</v>
      </c>
      <c r="F191" t="s">
        <v>971</v>
      </c>
      <c r="G191">
        <v>21575295</v>
      </c>
      <c r="J191">
        <v>955.99</v>
      </c>
      <c r="L191">
        <v>46183338</v>
      </c>
      <c r="M191" s="1">
        <v>44217</v>
      </c>
      <c r="N191" t="str">
        <f>"O210121AN8"</f>
        <v>O210121AN8</v>
      </c>
      <c r="O191" t="s">
        <v>28</v>
      </c>
      <c r="Q191" t="s">
        <v>29</v>
      </c>
      <c r="R191" t="s">
        <v>28</v>
      </c>
      <c r="S191" t="s">
        <v>972</v>
      </c>
      <c r="T191" t="s">
        <v>973</v>
      </c>
      <c r="W191" t="s">
        <v>618</v>
      </c>
      <c r="X191" t="s">
        <v>34</v>
      </c>
      <c r="Y191" t="str">
        <f>"774611127"</f>
        <v>774611127</v>
      </c>
    </row>
    <row r="192" spans="1:25" x14ac:dyDescent="0.25">
      <c r="A192" t="s">
        <v>974</v>
      </c>
      <c r="B192" t="s">
        <v>975</v>
      </c>
      <c r="C192">
        <v>2021</v>
      </c>
      <c r="D192">
        <v>8001</v>
      </c>
      <c r="E192">
        <v>2</v>
      </c>
      <c r="F192" t="s">
        <v>976</v>
      </c>
      <c r="G192">
        <v>30032805</v>
      </c>
      <c r="J192" s="2">
        <v>1446.53</v>
      </c>
      <c r="L192">
        <v>47893061</v>
      </c>
      <c r="M192" s="1">
        <v>44516</v>
      </c>
      <c r="N192" t="str">
        <f>"T211116BO1"</f>
        <v>T211116BO1</v>
      </c>
      <c r="O192" t="s">
        <v>260</v>
      </c>
      <c r="Q192" t="s">
        <v>29</v>
      </c>
      <c r="R192" t="s">
        <v>260</v>
      </c>
      <c r="S192" t="s">
        <v>380</v>
      </c>
      <c r="T192" t="s">
        <v>977</v>
      </c>
      <c r="U192" t="s">
        <v>978</v>
      </c>
      <c r="W192" t="s">
        <v>40</v>
      </c>
      <c r="X192" t="s">
        <v>34</v>
      </c>
      <c r="Y192" t="str">
        <f>"77478"</f>
        <v>77478</v>
      </c>
    </row>
    <row r="193" spans="1:25" x14ac:dyDescent="0.25">
      <c r="A193" t="s">
        <v>979</v>
      </c>
      <c r="B193" t="s">
        <v>980</v>
      </c>
      <c r="C193">
        <v>2019</v>
      </c>
      <c r="D193">
        <v>8001</v>
      </c>
      <c r="E193">
        <v>2</v>
      </c>
      <c r="F193" t="s">
        <v>981</v>
      </c>
      <c r="G193">
        <v>28512019</v>
      </c>
      <c r="J193">
        <v>14.22</v>
      </c>
      <c r="L193">
        <v>44277843</v>
      </c>
      <c r="M193" s="1">
        <v>43986</v>
      </c>
      <c r="N193" t="str">
        <f>"CC300604"</f>
        <v>CC300604</v>
      </c>
      <c r="O193" t="s">
        <v>28</v>
      </c>
      <c r="Q193" t="s">
        <v>29</v>
      </c>
      <c r="R193" t="s">
        <v>28</v>
      </c>
      <c r="S193" t="s">
        <v>982</v>
      </c>
      <c r="T193" t="s">
        <v>983</v>
      </c>
      <c r="W193" t="s">
        <v>75</v>
      </c>
      <c r="X193" t="s">
        <v>34</v>
      </c>
      <c r="Y193" t="str">
        <f>"77098"</f>
        <v>77098</v>
      </c>
    </row>
    <row r="194" spans="1:25" x14ac:dyDescent="0.25">
      <c r="A194" t="s">
        <v>984</v>
      </c>
      <c r="B194" t="s">
        <v>985</v>
      </c>
      <c r="C194">
        <v>2020</v>
      </c>
      <c r="D194">
        <v>8001</v>
      </c>
      <c r="E194">
        <v>1</v>
      </c>
      <c r="F194" t="s">
        <v>986</v>
      </c>
      <c r="G194">
        <v>29489572</v>
      </c>
      <c r="J194">
        <v>5.8</v>
      </c>
      <c r="L194">
        <v>46782272</v>
      </c>
      <c r="M194" s="1">
        <v>44231</v>
      </c>
      <c r="N194" t="str">
        <f>"CC210204"</f>
        <v>CC210204</v>
      </c>
      <c r="O194" t="s">
        <v>28</v>
      </c>
      <c r="Q194" t="s">
        <v>29</v>
      </c>
      <c r="R194" t="s">
        <v>28</v>
      </c>
      <c r="S194" t="s">
        <v>987</v>
      </c>
      <c r="T194" t="s">
        <v>988</v>
      </c>
      <c r="W194" t="s">
        <v>618</v>
      </c>
      <c r="X194" t="s">
        <v>34</v>
      </c>
      <c r="Y194" t="str">
        <f>"77461"</f>
        <v>77461</v>
      </c>
    </row>
    <row r="195" spans="1:25" x14ac:dyDescent="0.25">
      <c r="A195" t="s">
        <v>989</v>
      </c>
      <c r="B195" t="s">
        <v>990</v>
      </c>
      <c r="C195">
        <v>2020</v>
      </c>
      <c r="D195">
        <v>8001</v>
      </c>
      <c r="E195">
        <v>1</v>
      </c>
      <c r="F195" t="s">
        <v>991</v>
      </c>
      <c r="G195">
        <v>29489570</v>
      </c>
      <c r="J195">
        <v>41.56</v>
      </c>
      <c r="L195">
        <v>46782270</v>
      </c>
      <c r="M195" s="1">
        <v>44231</v>
      </c>
      <c r="N195" t="str">
        <f>"CC210204"</f>
        <v>CC210204</v>
      </c>
      <c r="O195" t="s">
        <v>28</v>
      </c>
      <c r="Q195" t="s">
        <v>29</v>
      </c>
      <c r="R195" t="s">
        <v>28</v>
      </c>
      <c r="S195" t="s">
        <v>987</v>
      </c>
      <c r="T195" t="s">
        <v>988</v>
      </c>
      <c r="W195" t="s">
        <v>618</v>
      </c>
      <c r="X195" t="s">
        <v>34</v>
      </c>
      <c r="Y195" t="str">
        <f>"77461"</f>
        <v>77461</v>
      </c>
    </row>
    <row r="196" spans="1:25" x14ac:dyDescent="0.25">
      <c r="A196" t="s">
        <v>992</v>
      </c>
      <c r="B196" t="s">
        <v>993</v>
      </c>
      <c r="C196">
        <v>2020</v>
      </c>
      <c r="D196">
        <v>8001</v>
      </c>
      <c r="E196">
        <v>1</v>
      </c>
      <c r="F196" t="s">
        <v>994</v>
      </c>
      <c r="G196">
        <v>22791635</v>
      </c>
      <c r="J196">
        <v>27.55</v>
      </c>
      <c r="L196">
        <v>47429393</v>
      </c>
      <c r="M196" s="1">
        <v>44340</v>
      </c>
      <c r="N196" t="str">
        <f>"RC210607"</f>
        <v>RC210607</v>
      </c>
      <c r="O196" t="s">
        <v>28</v>
      </c>
      <c r="Q196" t="s">
        <v>29</v>
      </c>
      <c r="R196" t="s">
        <v>28</v>
      </c>
      <c r="S196" t="s">
        <v>995</v>
      </c>
      <c r="T196" t="s">
        <v>996</v>
      </c>
      <c r="W196" t="s">
        <v>75</v>
      </c>
      <c r="X196" t="s">
        <v>34</v>
      </c>
      <c r="Y196" t="str">
        <f>"77036"</f>
        <v>77036</v>
      </c>
    </row>
    <row r="197" spans="1:25" x14ac:dyDescent="0.25">
      <c r="A197" t="s">
        <v>997</v>
      </c>
      <c r="B197" t="s">
        <v>998</v>
      </c>
      <c r="C197">
        <v>2020</v>
      </c>
      <c r="D197">
        <v>8001</v>
      </c>
      <c r="E197">
        <v>1</v>
      </c>
      <c r="F197" t="s">
        <v>999</v>
      </c>
      <c r="G197">
        <v>0</v>
      </c>
      <c r="J197">
        <v>7.53</v>
      </c>
      <c r="L197">
        <v>47315887</v>
      </c>
      <c r="M197" s="1">
        <v>44306</v>
      </c>
      <c r="N197" t="str">
        <f>"L210420"</f>
        <v>L210420</v>
      </c>
      <c r="O197" t="s">
        <v>28</v>
      </c>
      <c r="Q197" t="s">
        <v>29</v>
      </c>
      <c r="R197" t="s">
        <v>28</v>
      </c>
      <c r="S197" t="s">
        <v>999</v>
      </c>
      <c r="T197" t="s">
        <v>1000</v>
      </c>
      <c r="U197" t="s">
        <v>60</v>
      </c>
      <c r="V197" t="s">
        <v>60</v>
      </c>
      <c r="W197" t="s">
        <v>135</v>
      </c>
      <c r="X197" t="s">
        <v>34</v>
      </c>
      <c r="Y197" t="str">
        <f>"772741445   "</f>
        <v xml:space="preserve">772741445   </v>
      </c>
    </row>
    <row r="198" spans="1:25" x14ac:dyDescent="0.25">
      <c r="A198" t="s">
        <v>1001</v>
      </c>
      <c r="B198" t="s">
        <v>1002</v>
      </c>
      <c r="C198">
        <v>2021</v>
      </c>
      <c r="D198">
        <v>8001</v>
      </c>
      <c r="E198">
        <v>1</v>
      </c>
      <c r="F198" t="s">
        <v>1003</v>
      </c>
      <c r="G198">
        <v>22563782</v>
      </c>
      <c r="J198">
        <v>7.03</v>
      </c>
      <c r="L198">
        <v>49857956</v>
      </c>
      <c r="M198" s="1">
        <v>44593</v>
      </c>
      <c r="N198" t="str">
        <f>"RC220303"</f>
        <v>RC220303</v>
      </c>
      <c r="O198" t="s">
        <v>28</v>
      </c>
      <c r="Q198" t="s">
        <v>29</v>
      </c>
      <c r="R198" t="s">
        <v>28</v>
      </c>
      <c r="S198" t="s">
        <v>1004</v>
      </c>
      <c r="T198" t="s">
        <v>1005</v>
      </c>
      <c r="U198" t="s">
        <v>1006</v>
      </c>
      <c r="V198" t="s">
        <v>1007</v>
      </c>
      <c r="W198" t="s">
        <v>618</v>
      </c>
      <c r="X198" t="s">
        <v>34</v>
      </c>
      <c r="Y198" t="str">
        <f>"774619377"</f>
        <v>774619377</v>
      </c>
    </row>
    <row r="199" spans="1:25" x14ac:dyDescent="0.25">
      <c r="A199" t="s">
        <v>1008</v>
      </c>
      <c r="B199" t="s">
        <v>1009</v>
      </c>
      <c r="C199">
        <v>2021</v>
      </c>
      <c r="D199">
        <v>8001</v>
      </c>
      <c r="E199">
        <v>1</v>
      </c>
      <c r="F199" t="s">
        <v>851</v>
      </c>
      <c r="G199">
        <v>25827148</v>
      </c>
      <c r="J199">
        <v>72.349999999999994</v>
      </c>
      <c r="L199">
        <v>49347580</v>
      </c>
      <c r="M199" s="1">
        <v>44581</v>
      </c>
      <c r="N199" t="str">
        <f>"RC220221"</f>
        <v>RC220221</v>
      </c>
      <c r="O199" t="s">
        <v>28</v>
      </c>
      <c r="Q199" t="s">
        <v>29</v>
      </c>
      <c r="R199" t="s">
        <v>28</v>
      </c>
      <c r="S199" t="s">
        <v>852</v>
      </c>
      <c r="T199" t="s">
        <v>853</v>
      </c>
      <c r="U199" t="s">
        <v>854</v>
      </c>
      <c r="W199" t="s">
        <v>154</v>
      </c>
      <c r="X199" t="s">
        <v>34</v>
      </c>
      <c r="Y199" t="str">
        <f>"774718933"</f>
        <v>774718933</v>
      </c>
    </row>
    <row r="200" spans="1:25" x14ac:dyDescent="0.25">
      <c r="A200" t="s">
        <v>1010</v>
      </c>
      <c r="B200" t="s">
        <v>1011</v>
      </c>
      <c r="C200">
        <v>2021</v>
      </c>
      <c r="D200">
        <v>8001</v>
      </c>
      <c r="E200">
        <v>1</v>
      </c>
      <c r="F200" t="s">
        <v>851</v>
      </c>
      <c r="G200">
        <v>25827148</v>
      </c>
      <c r="J200">
        <v>19.190000000000001</v>
      </c>
      <c r="L200">
        <v>49347582</v>
      </c>
      <c r="M200" s="1">
        <v>44581</v>
      </c>
      <c r="N200" t="str">
        <f>"RC220221"</f>
        <v>RC220221</v>
      </c>
      <c r="O200" t="s">
        <v>28</v>
      </c>
      <c r="Q200" t="s">
        <v>29</v>
      </c>
      <c r="R200" t="s">
        <v>28</v>
      </c>
      <c r="S200" t="s">
        <v>852</v>
      </c>
      <c r="T200" t="s">
        <v>853</v>
      </c>
      <c r="U200" t="s">
        <v>854</v>
      </c>
      <c r="W200" t="s">
        <v>154</v>
      </c>
      <c r="X200" t="s">
        <v>34</v>
      </c>
      <c r="Y200" t="str">
        <f>"774718933"</f>
        <v>774718933</v>
      </c>
    </row>
    <row r="201" spans="1:25" x14ac:dyDescent="0.25">
      <c r="A201" t="s">
        <v>1012</v>
      </c>
      <c r="B201" t="s">
        <v>1013</v>
      </c>
      <c r="C201">
        <v>2019</v>
      </c>
      <c r="D201">
        <v>8001</v>
      </c>
      <c r="E201">
        <v>1</v>
      </c>
      <c r="F201" t="s">
        <v>1014</v>
      </c>
      <c r="G201">
        <v>26962220</v>
      </c>
      <c r="J201">
        <v>40.799999999999997</v>
      </c>
      <c r="L201">
        <v>44469097</v>
      </c>
      <c r="M201" s="1">
        <v>44048</v>
      </c>
      <c r="N201" t="str">
        <f>"J200805K6"</f>
        <v>J200805K6</v>
      </c>
      <c r="O201" t="s">
        <v>28</v>
      </c>
      <c r="Q201" t="s">
        <v>29</v>
      </c>
      <c r="R201" t="s">
        <v>28</v>
      </c>
      <c r="S201" t="s">
        <v>561</v>
      </c>
      <c r="T201" t="s">
        <v>1015</v>
      </c>
      <c r="W201" t="s">
        <v>563</v>
      </c>
      <c r="X201" t="s">
        <v>34</v>
      </c>
      <c r="Y201" t="str">
        <f>"750630156"</f>
        <v>750630156</v>
      </c>
    </row>
    <row r="202" spans="1:25" x14ac:dyDescent="0.25">
      <c r="A202" t="s">
        <v>1016</v>
      </c>
      <c r="B202" t="s">
        <v>1017</v>
      </c>
      <c r="C202">
        <v>2020</v>
      </c>
      <c r="D202">
        <v>8001</v>
      </c>
      <c r="E202">
        <v>3</v>
      </c>
      <c r="F202" t="s">
        <v>1018</v>
      </c>
      <c r="G202">
        <v>28692840</v>
      </c>
      <c r="J202">
        <v>15.29</v>
      </c>
      <c r="L202">
        <v>45485787</v>
      </c>
      <c r="M202" s="1">
        <v>44193</v>
      </c>
      <c r="N202" t="str">
        <f>"CL200001"</f>
        <v>CL200001</v>
      </c>
      <c r="O202" t="s">
        <v>28</v>
      </c>
      <c r="Q202" t="s">
        <v>29</v>
      </c>
      <c r="R202" t="s">
        <v>28</v>
      </c>
      <c r="S202" t="s">
        <v>1019</v>
      </c>
      <c r="T202" t="s">
        <v>562</v>
      </c>
      <c r="W202" t="s">
        <v>563</v>
      </c>
      <c r="X202" t="s">
        <v>34</v>
      </c>
      <c r="Y202" t="str">
        <f>"750630156"</f>
        <v>750630156</v>
      </c>
    </row>
    <row r="203" spans="1:25" x14ac:dyDescent="0.25">
      <c r="A203" t="s">
        <v>1020</v>
      </c>
      <c r="B203" t="s">
        <v>1021</v>
      </c>
      <c r="C203">
        <v>2021</v>
      </c>
      <c r="D203">
        <v>8001</v>
      </c>
      <c r="E203">
        <v>1</v>
      </c>
      <c r="F203" t="s">
        <v>1022</v>
      </c>
      <c r="G203">
        <v>30916894</v>
      </c>
      <c r="J203">
        <v>34.5</v>
      </c>
      <c r="L203">
        <v>48850174</v>
      </c>
      <c r="M203" s="1">
        <v>44564</v>
      </c>
      <c r="N203" t="str">
        <f>"RC220202"</f>
        <v>RC220202</v>
      </c>
      <c r="O203" t="s">
        <v>28</v>
      </c>
      <c r="Q203" t="s">
        <v>29</v>
      </c>
      <c r="R203" t="s">
        <v>28</v>
      </c>
      <c r="S203" t="s">
        <v>1023</v>
      </c>
      <c r="T203" t="s">
        <v>1024</v>
      </c>
      <c r="W203" t="s">
        <v>1025</v>
      </c>
      <c r="X203" t="s">
        <v>317</v>
      </c>
      <c r="Y203" t="str">
        <f>"954048875"</f>
        <v>954048875</v>
      </c>
    </row>
    <row r="204" spans="1:25" x14ac:dyDescent="0.25">
      <c r="A204" t="s">
        <v>1026</v>
      </c>
      <c r="B204" t="s">
        <v>1027</v>
      </c>
      <c r="C204">
        <v>2021</v>
      </c>
      <c r="D204">
        <v>8001</v>
      </c>
      <c r="E204">
        <v>1</v>
      </c>
      <c r="F204" t="s">
        <v>1028</v>
      </c>
      <c r="G204">
        <v>0</v>
      </c>
      <c r="J204">
        <v>116.52</v>
      </c>
      <c r="L204">
        <v>49119997</v>
      </c>
      <c r="M204" s="1">
        <v>44572</v>
      </c>
      <c r="N204" t="str">
        <f>"L220111"</f>
        <v>L220111</v>
      </c>
      <c r="O204" t="s">
        <v>28</v>
      </c>
      <c r="Q204" t="s">
        <v>29</v>
      </c>
      <c r="R204" t="s">
        <v>28</v>
      </c>
      <c r="S204" t="s">
        <v>1028</v>
      </c>
      <c r="T204" t="s">
        <v>1029</v>
      </c>
      <c r="U204" t="s">
        <v>60</v>
      </c>
      <c r="V204" t="s">
        <v>60</v>
      </c>
      <c r="W204" t="s">
        <v>98</v>
      </c>
      <c r="X204" t="s">
        <v>34</v>
      </c>
      <c r="Y204" t="str">
        <f>"774618681   "</f>
        <v xml:space="preserve">774618681   </v>
      </c>
    </row>
    <row r="205" spans="1:25" x14ac:dyDescent="0.25">
      <c r="A205" t="s">
        <v>1030</v>
      </c>
      <c r="B205" t="s">
        <v>1031</v>
      </c>
      <c r="C205">
        <v>2020</v>
      </c>
      <c r="D205">
        <v>8001</v>
      </c>
      <c r="E205">
        <v>2</v>
      </c>
      <c r="F205" t="s">
        <v>1032</v>
      </c>
      <c r="G205">
        <v>29448469</v>
      </c>
      <c r="J205">
        <v>9.64</v>
      </c>
      <c r="L205">
        <v>47654839</v>
      </c>
      <c r="M205" s="1">
        <v>44406</v>
      </c>
      <c r="N205" t="str">
        <f>"RC210809"</f>
        <v>RC210809</v>
      </c>
      <c r="O205" t="s">
        <v>28</v>
      </c>
      <c r="Q205" t="s">
        <v>29</v>
      </c>
      <c r="R205" t="s">
        <v>28</v>
      </c>
      <c r="S205" t="s">
        <v>1033</v>
      </c>
      <c r="T205" t="s">
        <v>1034</v>
      </c>
      <c r="W205" t="s">
        <v>168</v>
      </c>
      <c r="X205" t="s">
        <v>169</v>
      </c>
      <c r="Y205" t="str">
        <f>"801114720"</f>
        <v>801114720</v>
      </c>
    </row>
    <row r="206" spans="1:25" x14ac:dyDescent="0.25">
      <c r="A206" t="s">
        <v>1035</v>
      </c>
      <c r="B206" t="s">
        <v>1036</v>
      </c>
      <c r="C206">
        <v>2021</v>
      </c>
      <c r="D206">
        <v>8001</v>
      </c>
      <c r="E206">
        <v>1</v>
      </c>
      <c r="F206" t="s">
        <v>1037</v>
      </c>
      <c r="G206">
        <v>30916916</v>
      </c>
      <c r="J206">
        <v>9</v>
      </c>
      <c r="L206">
        <v>48845468</v>
      </c>
      <c r="M206" s="1">
        <v>44564</v>
      </c>
      <c r="N206" t="str">
        <f>"RC220202"</f>
        <v>RC220202</v>
      </c>
      <c r="O206" t="s">
        <v>28</v>
      </c>
      <c r="Q206" t="s">
        <v>29</v>
      </c>
      <c r="R206" t="s">
        <v>28</v>
      </c>
      <c r="S206" t="s">
        <v>1038</v>
      </c>
      <c r="T206" t="s">
        <v>1039</v>
      </c>
      <c r="U206" t="s">
        <v>1040</v>
      </c>
      <c r="W206" t="s">
        <v>75</v>
      </c>
      <c r="X206" t="s">
        <v>34</v>
      </c>
      <c r="Y206" t="str">
        <f>"770843997"</f>
        <v>770843997</v>
      </c>
    </row>
    <row r="207" spans="1:25" x14ac:dyDescent="0.25">
      <c r="A207" t="s">
        <v>1041</v>
      </c>
      <c r="B207" t="s">
        <v>1042</v>
      </c>
      <c r="C207">
        <v>2019</v>
      </c>
      <c r="D207">
        <v>8001</v>
      </c>
      <c r="E207">
        <v>2</v>
      </c>
      <c r="F207" t="s">
        <v>1043</v>
      </c>
      <c r="G207">
        <v>26723243</v>
      </c>
      <c r="J207">
        <v>268.45999999999998</v>
      </c>
      <c r="L207">
        <v>43917404</v>
      </c>
      <c r="M207" s="1">
        <v>43900</v>
      </c>
      <c r="N207" t="str">
        <f>"J200310AW11"</f>
        <v>J200310AW11</v>
      </c>
      <c r="O207" t="s">
        <v>28</v>
      </c>
      <c r="Q207" t="s">
        <v>29</v>
      </c>
      <c r="R207" t="s">
        <v>28</v>
      </c>
      <c r="S207" t="s">
        <v>1044</v>
      </c>
      <c r="T207" t="s">
        <v>203</v>
      </c>
      <c r="U207" t="s">
        <v>1045</v>
      </c>
      <c r="W207" t="s">
        <v>75</v>
      </c>
      <c r="X207" t="s">
        <v>34</v>
      </c>
      <c r="Y207" t="str">
        <f>"770273545"</f>
        <v>770273545</v>
      </c>
    </row>
    <row r="208" spans="1:25" x14ac:dyDescent="0.25">
      <c r="A208" t="s">
        <v>1046</v>
      </c>
      <c r="B208" t="s">
        <v>1047</v>
      </c>
      <c r="C208">
        <v>2020</v>
      </c>
      <c r="D208">
        <v>8001</v>
      </c>
      <c r="E208">
        <v>10</v>
      </c>
      <c r="F208" t="s">
        <v>1048</v>
      </c>
      <c r="G208">
        <v>0</v>
      </c>
      <c r="J208">
        <v>552.42999999999995</v>
      </c>
      <c r="L208">
        <v>44534880</v>
      </c>
      <c r="M208" s="1">
        <v>44147</v>
      </c>
      <c r="N208" t="str">
        <f>"TE201112"</f>
        <v>TE201112</v>
      </c>
      <c r="O208" t="s">
        <v>28</v>
      </c>
      <c r="Q208" t="s">
        <v>29</v>
      </c>
      <c r="R208" t="s">
        <v>28</v>
      </c>
      <c r="S208" t="s">
        <v>1048</v>
      </c>
      <c r="T208" t="s">
        <v>1049</v>
      </c>
      <c r="U208" t="s">
        <v>60</v>
      </c>
      <c r="V208" t="s">
        <v>60</v>
      </c>
      <c r="W208" t="s">
        <v>214</v>
      </c>
      <c r="X208" t="s">
        <v>34</v>
      </c>
      <c r="Y208" t="str">
        <f>"774072659   "</f>
        <v xml:space="preserve">774072659   </v>
      </c>
    </row>
    <row r="209" spans="1:25" x14ac:dyDescent="0.25">
      <c r="A209" t="s">
        <v>1050</v>
      </c>
      <c r="B209" t="s">
        <v>1051</v>
      </c>
      <c r="C209">
        <v>2020</v>
      </c>
      <c r="D209">
        <v>8001</v>
      </c>
      <c r="E209">
        <v>2</v>
      </c>
      <c r="F209" t="s">
        <v>1052</v>
      </c>
      <c r="G209">
        <v>26962220</v>
      </c>
      <c r="J209">
        <v>228.78</v>
      </c>
      <c r="L209">
        <v>47164569</v>
      </c>
      <c r="M209" s="1">
        <v>44279</v>
      </c>
      <c r="N209" t="str">
        <f>"RC210401"</f>
        <v>RC210401</v>
      </c>
      <c r="O209" t="s">
        <v>28</v>
      </c>
      <c r="Q209" t="s">
        <v>29</v>
      </c>
      <c r="R209" t="s">
        <v>28</v>
      </c>
      <c r="S209" t="s">
        <v>561</v>
      </c>
      <c r="T209" t="s">
        <v>1015</v>
      </c>
      <c r="W209" t="s">
        <v>563</v>
      </c>
      <c r="X209" t="s">
        <v>34</v>
      </c>
      <c r="Y209" t="str">
        <f>"750630156"</f>
        <v>750630156</v>
      </c>
    </row>
    <row r="210" spans="1:25" x14ac:dyDescent="0.25">
      <c r="A210" t="s">
        <v>1053</v>
      </c>
      <c r="B210" t="s">
        <v>1054</v>
      </c>
      <c r="C210">
        <v>2021</v>
      </c>
      <c r="D210">
        <v>8001</v>
      </c>
      <c r="E210">
        <v>1</v>
      </c>
      <c r="F210" t="s">
        <v>1055</v>
      </c>
      <c r="G210">
        <v>25672031</v>
      </c>
      <c r="J210" s="2">
        <v>4031.77</v>
      </c>
      <c r="L210">
        <v>49113813</v>
      </c>
      <c r="M210" s="1">
        <v>44572</v>
      </c>
      <c r="N210" t="str">
        <f>"O220111I1"</f>
        <v>O220111I1</v>
      </c>
      <c r="O210" t="s">
        <v>28</v>
      </c>
      <c r="Q210" t="s">
        <v>29</v>
      </c>
      <c r="R210" t="s">
        <v>28</v>
      </c>
      <c r="S210" t="s">
        <v>380</v>
      </c>
      <c r="T210" t="s">
        <v>978</v>
      </c>
      <c r="W210" t="s">
        <v>40</v>
      </c>
      <c r="X210" t="s">
        <v>34</v>
      </c>
      <c r="Y210" t="str">
        <f>"774784384"</f>
        <v>774784384</v>
      </c>
    </row>
    <row r="211" spans="1:25" x14ac:dyDescent="0.25">
      <c r="A211" t="s">
        <v>1056</v>
      </c>
      <c r="B211" t="s">
        <v>1057</v>
      </c>
      <c r="C211">
        <v>2020</v>
      </c>
      <c r="D211">
        <v>8001</v>
      </c>
      <c r="E211">
        <v>4</v>
      </c>
      <c r="F211" t="s">
        <v>1058</v>
      </c>
      <c r="G211">
        <v>28636699</v>
      </c>
      <c r="J211">
        <v>648.99</v>
      </c>
      <c r="L211">
        <v>44507438</v>
      </c>
      <c r="M211" s="1">
        <v>44147</v>
      </c>
      <c r="N211" t="str">
        <f>"TE201112"</f>
        <v>TE201112</v>
      </c>
      <c r="O211" t="s">
        <v>28</v>
      </c>
      <c r="Q211" t="s">
        <v>29</v>
      </c>
      <c r="R211" t="s">
        <v>28</v>
      </c>
      <c r="S211" t="s">
        <v>1059</v>
      </c>
      <c r="T211" t="s">
        <v>1060</v>
      </c>
      <c r="W211" t="s">
        <v>81</v>
      </c>
      <c r="X211" t="s">
        <v>34</v>
      </c>
      <c r="Y211" t="str">
        <f>"774072811"</f>
        <v>774072811</v>
      </c>
    </row>
    <row r="212" spans="1:25" x14ac:dyDescent="0.25">
      <c r="A212" t="s">
        <v>1061</v>
      </c>
      <c r="B212" t="s">
        <v>1062</v>
      </c>
      <c r="C212">
        <v>2021</v>
      </c>
      <c r="D212">
        <v>8001</v>
      </c>
      <c r="E212">
        <v>1</v>
      </c>
      <c r="F212" t="s">
        <v>1063</v>
      </c>
      <c r="G212">
        <v>0</v>
      </c>
      <c r="J212">
        <v>260.85000000000002</v>
      </c>
      <c r="L212">
        <v>49865043</v>
      </c>
      <c r="M212" s="1">
        <v>44593</v>
      </c>
      <c r="N212" t="str">
        <f>"J220201K5"</f>
        <v>J220201K5</v>
      </c>
      <c r="O212" t="s">
        <v>28</v>
      </c>
      <c r="Q212" t="s">
        <v>29</v>
      </c>
      <c r="R212" t="s">
        <v>28</v>
      </c>
      <c r="S212" t="s">
        <v>1063</v>
      </c>
      <c r="T212" t="s">
        <v>1064</v>
      </c>
      <c r="U212" t="s">
        <v>60</v>
      </c>
      <c r="V212" t="s">
        <v>60</v>
      </c>
      <c r="W212" t="s">
        <v>214</v>
      </c>
      <c r="X212" t="s">
        <v>34</v>
      </c>
      <c r="Y212" t="str">
        <f>"774071948   "</f>
        <v xml:space="preserve">774071948   </v>
      </c>
    </row>
    <row r="213" spans="1:25" x14ac:dyDescent="0.25">
      <c r="A213" t="s">
        <v>1065</v>
      </c>
      <c r="B213" t="s">
        <v>1066</v>
      </c>
      <c r="C213">
        <v>2019</v>
      </c>
      <c r="D213">
        <v>8001</v>
      </c>
      <c r="E213">
        <v>3</v>
      </c>
      <c r="F213" t="s">
        <v>1067</v>
      </c>
      <c r="G213">
        <v>26397235</v>
      </c>
      <c r="J213" s="2">
        <v>3173.65</v>
      </c>
      <c r="L213">
        <v>44231774</v>
      </c>
      <c r="M213" s="1">
        <v>43980</v>
      </c>
      <c r="N213" t="str">
        <f>"J200529AW3"</f>
        <v>J200529AW3</v>
      </c>
      <c r="O213" t="s">
        <v>28</v>
      </c>
      <c r="Q213" t="s">
        <v>29</v>
      </c>
      <c r="R213" t="s">
        <v>28</v>
      </c>
      <c r="S213" t="s">
        <v>1068</v>
      </c>
      <c r="T213" t="s">
        <v>1069</v>
      </c>
      <c r="U213" t="s">
        <v>562</v>
      </c>
      <c r="W213" t="s">
        <v>563</v>
      </c>
      <c r="X213" t="s">
        <v>34</v>
      </c>
      <c r="Y213" t="str">
        <f>"750630156"</f>
        <v>750630156</v>
      </c>
    </row>
    <row r="214" spans="1:25" x14ac:dyDescent="0.25">
      <c r="A214" t="s">
        <v>1070</v>
      </c>
      <c r="B214" t="s">
        <v>1071</v>
      </c>
      <c r="C214">
        <v>2020</v>
      </c>
      <c r="D214">
        <v>8001</v>
      </c>
      <c r="E214">
        <v>1</v>
      </c>
      <c r="F214" t="s">
        <v>1072</v>
      </c>
      <c r="G214">
        <v>26419208</v>
      </c>
      <c r="J214" s="2">
        <v>1242.6300000000001</v>
      </c>
      <c r="L214">
        <v>44951065</v>
      </c>
      <c r="M214" s="1">
        <v>44155</v>
      </c>
      <c r="N214" t="str">
        <f>"J201120AE1"</f>
        <v>J201120AE1</v>
      </c>
      <c r="O214" t="s">
        <v>28</v>
      </c>
      <c r="Q214" t="s">
        <v>29</v>
      </c>
      <c r="R214" t="s">
        <v>28</v>
      </c>
      <c r="S214" t="s">
        <v>1073</v>
      </c>
      <c r="T214" t="s">
        <v>1074</v>
      </c>
      <c r="W214" t="s">
        <v>1075</v>
      </c>
      <c r="X214" t="s">
        <v>34</v>
      </c>
      <c r="Y214" t="str">
        <f>"76177"</f>
        <v>76177</v>
      </c>
    </row>
    <row r="215" spans="1:25" x14ac:dyDescent="0.25">
      <c r="A215" t="s">
        <v>1076</v>
      </c>
      <c r="B215" t="s">
        <v>1077</v>
      </c>
      <c r="C215">
        <v>2021</v>
      </c>
      <c r="D215">
        <v>8001</v>
      </c>
      <c r="E215">
        <v>1</v>
      </c>
      <c r="F215" t="s">
        <v>1078</v>
      </c>
      <c r="G215">
        <v>203289</v>
      </c>
      <c r="J215" s="2">
        <v>4605.74</v>
      </c>
      <c r="L215">
        <v>49222753</v>
      </c>
      <c r="M215" s="1">
        <v>44575</v>
      </c>
      <c r="N215" t="str">
        <f>"O220114F1"</f>
        <v>O220114F1</v>
      </c>
      <c r="O215" t="s">
        <v>28</v>
      </c>
      <c r="Q215" t="s">
        <v>29</v>
      </c>
      <c r="R215" t="s">
        <v>28</v>
      </c>
      <c r="S215" t="s">
        <v>561</v>
      </c>
      <c r="T215" t="s">
        <v>562</v>
      </c>
      <c r="W215" t="s">
        <v>563</v>
      </c>
      <c r="X215" t="s">
        <v>34</v>
      </c>
      <c r="Y215" t="str">
        <f>"750630156"</f>
        <v>750630156</v>
      </c>
    </row>
    <row r="216" spans="1:25" x14ac:dyDescent="0.25">
      <c r="A216" t="s">
        <v>1079</v>
      </c>
      <c r="B216" t="s">
        <v>1080</v>
      </c>
      <c r="C216">
        <v>2020</v>
      </c>
      <c r="D216">
        <v>8001</v>
      </c>
      <c r="E216">
        <v>2</v>
      </c>
      <c r="F216" t="s">
        <v>1081</v>
      </c>
      <c r="G216">
        <v>28692840</v>
      </c>
      <c r="J216">
        <v>60</v>
      </c>
      <c r="L216">
        <v>45485787</v>
      </c>
      <c r="M216" s="1">
        <v>44193</v>
      </c>
      <c r="N216" t="str">
        <f>"CL200001"</f>
        <v>CL200001</v>
      </c>
      <c r="O216" t="s">
        <v>28</v>
      </c>
      <c r="Q216" t="s">
        <v>29</v>
      </c>
      <c r="R216" t="s">
        <v>28</v>
      </c>
      <c r="S216" t="s">
        <v>1019</v>
      </c>
      <c r="T216" t="s">
        <v>562</v>
      </c>
      <c r="W216" t="s">
        <v>563</v>
      </c>
      <c r="X216" t="s">
        <v>34</v>
      </c>
      <c r="Y216" t="str">
        <f>"750630156"</f>
        <v>750630156</v>
      </c>
    </row>
    <row r="217" spans="1:25" x14ac:dyDescent="0.25">
      <c r="A217" t="s">
        <v>1082</v>
      </c>
      <c r="B217" t="s">
        <v>1083</v>
      </c>
      <c r="C217">
        <v>2020</v>
      </c>
      <c r="D217">
        <v>8001</v>
      </c>
      <c r="E217">
        <v>1</v>
      </c>
      <c r="F217" t="s">
        <v>1084</v>
      </c>
      <c r="G217">
        <v>29461845</v>
      </c>
      <c r="J217">
        <v>83.88</v>
      </c>
      <c r="L217">
        <v>46728845</v>
      </c>
      <c r="M217" s="1">
        <v>44230</v>
      </c>
      <c r="N217" t="str">
        <f>"EK210203"</f>
        <v>EK210203</v>
      </c>
      <c r="O217" t="s">
        <v>28</v>
      </c>
      <c r="Q217" t="s">
        <v>29</v>
      </c>
      <c r="R217" t="s">
        <v>28</v>
      </c>
      <c r="S217" t="s">
        <v>1085</v>
      </c>
      <c r="T217" t="s">
        <v>1086</v>
      </c>
      <c r="W217" t="s">
        <v>81</v>
      </c>
      <c r="X217" t="s">
        <v>34</v>
      </c>
      <c r="Y217" t="str">
        <f>"77407"</f>
        <v>77407</v>
      </c>
    </row>
    <row r="218" spans="1:25" x14ac:dyDescent="0.25">
      <c r="A218" t="s">
        <v>1087</v>
      </c>
      <c r="B218" t="s">
        <v>1088</v>
      </c>
      <c r="C218">
        <v>2021</v>
      </c>
      <c r="D218">
        <v>8001</v>
      </c>
      <c r="E218">
        <v>1</v>
      </c>
      <c r="F218" t="s">
        <v>1089</v>
      </c>
      <c r="G218">
        <v>30572902</v>
      </c>
      <c r="J218">
        <v>785.78</v>
      </c>
      <c r="L218">
        <v>48566343</v>
      </c>
      <c r="M218" s="1">
        <v>44550</v>
      </c>
      <c r="N218" t="str">
        <f>"RC220116"</f>
        <v>RC220116</v>
      </c>
      <c r="O218" t="s">
        <v>28</v>
      </c>
      <c r="Q218" t="s">
        <v>29</v>
      </c>
      <c r="R218" t="s">
        <v>28</v>
      </c>
      <c r="S218" t="s">
        <v>1090</v>
      </c>
      <c r="T218" t="s">
        <v>1091</v>
      </c>
      <c r="U218" t="s">
        <v>1092</v>
      </c>
      <c r="W218" t="s">
        <v>40</v>
      </c>
      <c r="X218" t="s">
        <v>34</v>
      </c>
      <c r="Y218" t="str">
        <f>"774793869"</f>
        <v>774793869</v>
      </c>
    </row>
    <row r="219" spans="1:25" x14ac:dyDescent="0.25">
      <c r="A219" t="s">
        <v>1093</v>
      </c>
      <c r="B219" t="s">
        <v>1094</v>
      </c>
      <c r="C219">
        <v>2020</v>
      </c>
      <c r="D219">
        <v>8001</v>
      </c>
      <c r="E219">
        <v>2</v>
      </c>
      <c r="F219" t="s">
        <v>1095</v>
      </c>
      <c r="G219">
        <v>203289</v>
      </c>
      <c r="J219">
        <v>107.22</v>
      </c>
      <c r="L219">
        <v>47041887</v>
      </c>
      <c r="M219" s="1">
        <v>44260</v>
      </c>
      <c r="N219" t="str">
        <f>"O210305BD1"</f>
        <v>O210305BD1</v>
      </c>
      <c r="O219" t="s">
        <v>28</v>
      </c>
      <c r="Q219" t="s">
        <v>29</v>
      </c>
      <c r="R219" t="s">
        <v>28</v>
      </c>
      <c r="S219" t="s">
        <v>561</v>
      </c>
      <c r="T219" t="s">
        <v>562</v>
      </c>
      <c r="W219" t="s">
        <v>563</v>
      </c>
      <c r="X219" t="s">
        <v>34</v>
      </c>
      <c r="Y219" t="str">
        <f>"750630156"</f>
        <v>750630156</v>
      </c>
    </row>
    <row r="220" spans="1:25" x14ac:dyDescent="0.25">
      <c r="A220" t="s">
        <v>1096</v>
      </c>
      <c r="B220" t="s">
        <v>1097</v>
      </c>
      <c r="C220">
        <v>2020</v>
      </c>
      <c r="D220">
        <v>8001</v>
      </c>
      <c r="E220">
        <v>4</v>
      </c>
      <c r="F220" t="s">
        <v>1098</v>
      </c>
      <c r="G220">
        <v>28228414</v>
      </c>
      <c r="J220">
        <v>275.51</v>
      </c>
      <c r="L220">
        <v>47801635</v>
      </c>
      <c r="M220" s="1">
        <v>44482</v>
      </c>
      <c r="N220" t="str">
        <f>"RC211105"</f>
        <v>RC211105</v>
      </c>
      <c r="O220" t="s">
        <v>28</v>
      </c>
      <c r="Q220" t="s">
        <v>29</v>
      </c>
      <c r="R220" t="s">
        <v>28</v>
      </c>
      <c r="S220" t="s">
        <v>79</v>
      </c>
      <c r="T220" t="s">
        <v>1099</v>
      </c>
      <c r="W220" t="s">
        <v>81</v>
      </c>
      <c r="X220" t="s">
        <v>34</v>
      </c>
      <c r="Y220" t="str">
        <f>"77406"</f>
        <v>77406</v>
      </c>
    </row>
    <row r="221" spans="1:25" x14ac:dyDescent="0.25">
      <c r="A221" t="s">
        <v>1100</v>
      </c>
      <c r="B221" t="s">
        <v>1101</v>
      </c>
      <c r="C221">
        <v>2021</v>
      </c>
      <c r="D221">
        <v>8001</v>
      </c>
      <c r="E221">
        <v>1</v>
      </c>
      <c r="F221" t="s">
        <v>1102</v>
      </c>
      <c r="G221">
        <v>29993814</v>
      </c>
      <c r="J221">
        <v>16</v>
      </c>
      <c r="L221">
        <v>49817894</v>
      </c>
      <c r="M221" s="1">
        <v>44593</v>
      </c>
      <c r="N221" t="str">
        <f>"P220201I1"</f>
        <v>P220201I1</v>
      </c>
      <c r="O221" t="s">
        <v>28</v>
      </c>
      <c r="Q221" t="s">
        <v>29</v>
      </c>
      <c r="R221" t="s">
        <v>28</v>
      </c>
      <c r="S221" t="s">
        <v>1103</v>
      </c>
      <c r="T221" t="s">
        <v>1104</v>
      </c>
      <c r="U221" t="s">
        <v>1105</v>
      </c>
      <c r="W221" t="s">
        <v>1106</v>
      </c>
      <c r="X221" t="s">
        <v>1107</v>
      </c>
      <c r="Y221" t="str">
        <f>"300282249"</f>
        <v>300282249</v>
      </c>
    </row>
    <row r="222" spans="1:25" x14ac:dyDescent="0.25">
      <c r="A222" t="s">
        <v>1108</v>
      </c>
      <c r="B222" t="s">
        <v>1109</v>
      </c>
      <c r="C222">
        <v>2020</v>
      </c>
      <c r="D222">
        <v>8001</v>
      </c>
      <c r="E222">
        <v>2</v>
      </c>
      <c r="F222" t="s">
        <v>1110</v>
      </c>
      <c r="G222">
        <v>29092772</v>
      </c>
      <c r="J222">
        <v>165</v>
      </c>
      <c r="L222">
        <v>45831959</v>
      </c>
      <c r="M222" s="1">
        <v>44204</v>
      </c>
      <c r="N222" t="str">
        <f>"CC210108"</f>
        <v>CC210108</v>
      </c>
      <c r="O222" t="s">
        <v>28</v>
      </c>
      <c r="Q222" t="s">
        <v>29</v>
      </c>
      <c r="R222" t="s">
        <v>28</v>
      </c>
      <c r="S222" t="s">
        <v>1111</v>
      </c>
      <c r="T222" t="s">
        <v>1112</v>
      </c>
      <c r="W222" t="s">
        <v>107</v>
      </c>
      <c r="X222" t="s">
        <v>34</v>
      </c>
      <c r="Y222" t="str">
        <f>"77494"</f>
        <v>77494</v>
      </c>
    </row>
    <row r="223" spans="1:25" x14ac:dyDescent="0.25">
      <c r="A223" t="s">
        <v>1113</v>
      </c>
      <c r="B223" t="s">
        <v>1114</v>
      </c>
      <c r="C223">
        <v>2018</v>
      </c>
      <c r="D223">
        <v>8001</v>
      </c>
      <c r="E223">
        <v>2</v>
      </c>
      <c r="F223" t="s">
        <v>1115</v>
      </c>
      <c r="G223">
        <v>0</v>
      </c>
      <c r="J223">
        <v>13.79</v>
      </c>
      <c r="L223">
        <v>41527762</v>
      </c>
      <c r="M223" s="1">
        <v>43711</v>
      </c>
      <c r="N223" t="str">
        <f>"O190903L5"</f>
        <v>O190903L5</v>
      </c>
      <c r="O223" t="s">
        <v>28</v>
      </c>
      <c r="Q223" t="s">
        <v>29</v>
      </c>
      <c r="R223" t="s">
        <v>28</v>
      </c>
      <c r="S223" t="s">
        <v>1115</v>
      </c>
      <c r="T223" t="s">
        <v>1116</v>
      </c>
      <c r="U223" t="s">
        <v>60</v>
      </c>
      <c r="V223" t="s">
        <v>60</v>
      </c>
      <c r="W223" t="s">
        <v>135</v>
      </c>
      <c r="X223" t="s">
        <v>34</v>
      </c>
      <c r="Y223" t="str">
        <f>"770853609   "</f>
        <v xml:space="preserve">770853609   </v>
      </c>
    </row>
    <row r="224" spans="1:25" x14ac:dyDescent="0.25">
      <c r="A224" t="s">
        <v>1117</v>
      </c>
      <c r="B224" t="s">
        <v>1118</v>
      </c>
      <c r="C224">
        <v>2020</v>
      </c>
      <c r="D224">
        <v>8001</v>
      </c>
      <c r="E224">
        <v>1</v>
      </c>
      <c r="F224" t="s">
        <v>1119</v>
      </c>
      <c r="G224">
        <v>29872918</v>
      </c>
      <c r="J224">
        <v>80.69</v>
      </c>
      <c r="L224">
        <v>47506237</v>
      </c>
      <c r="M224" s="1">
        <v>44354</v>
      </c>
      <c r="N224" t="str">
        <f>"RC210614"</f>
        <v>RC210614</v>
      </c>
      <c r="O224" t="s">
        <v>28</v>
      </c>
      <c r="Q224" t="s">
        <v>29</v>
      </c>
      <c r="R224" t="s">
        <v>28</v>
      </c>
      <c r="S224" t="s">
        <v>1120</v>
      </c>
      <c r="T224" t="s">
        <v>1121</v>
      </c>
      <c r="W224" t="s">
        <v>910</v>
      </c>
      <c r="X224" t="s">
        <v>34</v>
      </c>
      <c r="Y224" t="str">
        <f>"78229"</f>
        <v>78229</v>
      </c>
    </row>
    <row r="225" spans="1:25" x14ac:dyDescent="0.25">
      <c r="A225" t="s">
        <v>1122</v>
      </c>
      <c r="B225" t="s">
        <v>1123</v>
      </c>
      <c r="C225">
        <v>2020</v>
      </c>
      <c r="D225">
        <v>8001</v>
      </c>
      <c r="E225">
        <v>1</v>
      </c>
      <c r="F225" t="s">
        <v>1119</v>
      </c>
      <c r="G225">
        <v>29872918</v>
      </c>
      <c r="J225">
        <v>107.03</v>
      </c>
      <c r="L225">
        <v>47506236</v>
      </c>
      <c r="M225" s="1">
        <v>44354</v>
      </c>
      <c r="N225" t="str">
        <f>"RC210614"</f>
        <v>RC210614</v>
      </c>
      <c r="O225" t="s">
        <v>28</v>
      </c>
      <c r="Q225" t="s">
        <v>29</v>
      </c>
      <c r="R225" t="s">
        <v>28</v>
      </c>
      <c r="S225" t="s">
        <v>1120</v>
      </c>
      <c r="T225" t="s">
        <v>1121</v>
      </c>
      <c r="W225" t="s">
        <v>910</v>
      </c>
      <c r="X225" t="s">
        <v>34</v>
      </c>
      <c r="Y225" t="str">
        <f>"78229"</f>
        <v>78229</v>
      </c>
    </row>
    <row r="226" spans="1:25" x14ac:dyDescent="0.25">
      <c r="A226" t="s">
        <v>1124</v>
      </c>
      <c r="B226" t="s">
        <v>1125</v>
      </c>
      <c r="C226">
        <v>2021</v>
      </c>
      <c r="D226">
        <v>8001</v>
      </c>
      <c r="E226">
        <v>1</v>
      </c>
      <c r="F226" t="s">
        <v>1126</v>
      </c>
      <c r="G226">
        <v>29590054</v>
      </c>
      <c r="J226">
        <v>25.04</v>
      </c>
      <c r="L226">
        <v>47009446</v>
      </c>
      <c r="M226" s="1">
        <v>44516</v>
      </c>
      <c r="N226" t="str">
        <f>"TE211116"</f>
        <v>TE211116</v>
      </c>
      <c r="O226" t="s">
        <v>28</v>
      </c>
      <c r="Q226" t="s">
        <v>29</v>
      </c>
      <c r="R226" t="s">
        <v>28</v>
      </c>
      <c r="S226" t="s">
        <v>1127</v>
      </c>
      <c r="T226" t="s">
        <v>1128</v>
      </c>
      <c r="W226" t="s">
        <v>727</v>
      </c>
      <c r="X226" t="s">
        <v>34</v>
      </c>
      <c r="Y226" t="str">
        <f>"77583"</f>
        <v>77583</v>
      </c>
    </row>
    <row r="227" spans="1:25" x14ac:dyDescent="0.25">
      <c r="A227" t="s">
        <v>1129</v>
      </c>
      <c r="B227" t="s">
        <v>1130</v>
      </c>
      <c r="C227">
        <v>2020</v>
      </c>
      <c r="D227">
        <v>8001</v>
      </c>
      <c r="E227">
        <v>4</v>
      </c>
      <c r="F227" t="s">
        <v>1131</v>
      </c>
      <c r="G227">
        <v>0</v>
      </c>
      <c r="J227">
        <v>220.76</v>
      </c>
      <c r="L227">
        <v>47779173</v>
      </c>
      <c r="M227" s="1">
        <v>44474</v>
      </c>
      <c r="N227" t="str">
        <f>"J211005K3"</f>
        <v>J211005K3</v>
      </c>
      <c r="O227" t="s">
        <v>28</v>
      </c>
      <c r="Q227" t="s">
        <v>29</v>
      </c>
      <c r="R227" t="s">
        <v>28</v>
      </c>
      <c r="S227" t="s">
        <v>1131</v>
      </c>
      <c r="T227" t="s">
        <v>1132</v>
      </c>
      <c r="U227" t="s">
        <v>60</v>
      </c>
      <c r="V227" t="s">
        <v>60</v>
      </c>
      <c r="W227" t="s">
        <v>721</v>
      </c>
      <c r="X227" t="s">
        <v>34</v>
      </c>
      <c r="Y227" t="str">
        <f>"775833358   "</f>
        <v xml:space="preserve">775833358   </v>
      </c>
    </row>
    <row r="228" spans="1:25" x14ac:dyDescent="0.25">
      <c r="A228" t="s">
        <v>1133</v>
      </c>
      <c r="B228" t="s">
        <v>1134</v>
      </c>
      <c r="C228">
        <v>2020</v>
      </c>
      <c r="D228">
        <v>8001</v>
      </c>
      <c r="E228">
        <v>1</v>
      </c>
      <c r="F228" t="s">
        <v>1135</v>
      </c>
      <c r="G228">
        <v>0</v>
      </c>
      <c r="J228">
        <v>53.3</v>
      </c>
      <c r="L228">
        <v>45481214</v>
      </c>
      <c r="M228" s="1">
        <v>44277</v>
      </c>
      <c r="N228" t="str">
        <f>"T210322U1"</f>
        <v>T210322U1</v>
      </c>
      <c r="O228" t="s">
        <v>28</v>
      </c>
      <c r="Q228" t="s">
        <v>29</v>
      </c>
      <c r="R228" t="s">
        <v>28</v>
      </c>
      <c r="S228" t="s">
        <v>1135</v>
      </c>
      <c r="T228" t="s">
        <v>1136</v>
      </c>
      <c r="U228" t="s">
        <v>60</v>
      </c>
      <c r="V228" t="s">
        <v>60</v>
      </c>
      <c r="W228" t="s">
        <v>1137</v>
      </c>
      <c r="X228" t="s">
        <v>34</v>
      </c>
      <c r="Y228" t="str">
        <f>"774503693   "</f>
        <v xml:space="preserve">774503693   </v>
      </c>
    </row>
    <row r="229" spans="1:25" x14ac:dyDescent="0.25">
      <c r="A229" t="s">
        <v>1138</v>
      </c>
      <c r="B229" t="s">
        <v>1139</v>
      </c>
      <c r="C229">
        <v>2021</v>
      </c>
      <c r="D229">
        <v>8001</v>
      </c>
      <c r="E229">
        <v>1</v>
      </c>
      <c r="F229" t="s">
        <v>1140</v>
      </c>
      <c r="G229">
        <v>30508754</v>
      </c>
      <c r="J229">
        <v>153.91</v>
      </c>
      <c r="L229">
        <v>48495339</v>
      </c>
      <c r="M229" s="1">
        <v>44545</v>
      </c>
      <c r="N229" t="str">
        <f>"RC220114"</f>
        <v>RC220114</v>
      </c>
      <c r="O229" t="s">
        <v>28</v>
      </c>
      <c r="Q229" t="s">
        <v>29</v>
      </c>
      <c r="R229" t="s">
        <v>28</v>
      </c>
      <c r="S229" t="s">
        <v>1141</v>
      </c>
      <c r="T229" t="s">
        <v>1142</v>
      </c>
      <c r="U229" t="s">
        <v>1143</v>
      </c>
      <c r="W229" t="s">
        <v>586</v>
      </c>
      <c r="X229" t="s">
        <v>34</v>
      </c>
      <c r="Y229" t="str">
        <f>"77584"</f>
        <v>77584</v>
      </c>
    </row>
    <row r="230" spans="1:25" x14ac:dyDescent="0.25">
      <c r="A230" t="s">
        <v>1144</v>
      </c>
      <c r="B230" t="s">
        <v>1145</v>
      </c>
      <c r="C230">
        <v>2020</v>
      </c>
      <c r="D230">
        <v>8001</v>
      </c>
      <c r="E230">
        <v>4</v>
      </c>
      <c r="F230" t="s">
        <v>1146</v>
      </c>
      <c r="G230">
        <v>29812414</v>
      </c>
      <c r="J230">
        <v>237.43</v>
      </c>
      <c r="L230">
        <v>47395307</v>
      </c>
      <c r="M230" s="1">
        <v>44328</v>
      </c>
      <c r="N230" t="str">
        <f>"RC210518"</f>
        <v>RC210518</v>
      </c>
      <c r="O230" t="s">
        <v>28</v>
      </c>
      <c r="Q230" t="s">
        <v>29</v>
      </c>
      <c r="R230" t="s">
        <v>28</v>
      </c>
      <c r="S230" t="s">
        <v>1147</v>
      </c>
      <c r="T230" t="s">
        <v>1148</v>
      </c>
      <c r="U230" t="s">
        <v>1149</v>
      </c>
      <c r="W230" t="s">
        <v>1150</v>
      </c>
      <c r="X230" t="s">
        <v>34</v>
      </c>
      <c r="Y230" t="str">
        <f>"775830662"</f>
        <v>775830662</v>
      </c>
    </row>
    <row r="231" spans="1:25" x14ac:dyDescent="0.25">
      <c r="A231" t="s">
        <v>1144</v>
      </c>
      <c r="B231" t="s">
        <v>1145</v>
      </c>
      <c r="C231">
        <v>2021</v>
      </c>
      <c r="D231">
        <v>8001</v>
      </c>
      <c r="E231">
        <v>1</v>
      </c>
      <c r="F231" t="s">
        <v>1146</v>
      </c>
      <c r="G231">
        <v>29812414</v>
      </c>
      <c r="J231">
        <v>32.78</v>
      </c>
      <c r="L231">
        <v>50199358</v>
      </c>
      <c r="M231" s="1">
        <v>44613</v>
      </c>
      <c r="N231" t="str">
        <f>"RC220317"</f>
        <v>RC220317</v>
      </c>
      <c r="O231" t="s">
        <v>28</v>
      </c>
      <c r="Q231" t="s">
        <v>29</v>
      </c>
      <c r="R231" t="s">
        <v>28</v>
      </c>
      <c r="S231" t="s">
        <v>1147</v>
      </c>
      <c r="T231" t="s">
        <v>1148</v>
      </c>
      <c r="U231" t="s">
        <v>1149</v>
      </c>
      <c r="W231" t="s">
        <v>1150</v>
      </c>
      <c r="X231" t="s">
        <v>34</v>
      </c>
      <c r="Y231" t="str">
        <f>"775830662"</f>
        <v>775830662</v>
      </c>
    </row>
    <row r="232" spans="1:25" x14ac:dyDescent="0.25">
      <c r="A232" t="s">
        <v>1151</v>
      </c>
      <c r="B232" t="s">
        <v>1152</v>
      </c>
      <c r="C232">
        <v>2019</v>
      </c>
      <c r="D232">
        <v>8001</v>
      </c>
      <c r="E232">
        <v>1</v>
      </c>
      <c r="F232" t="s">
        <v>1146</v>
      </c>
      <c r="G232">
        <v>0</v>
      </c>
      <c r="J232">
        <v>5.46</v>
      </c>
      <c r="L232">
        <v>42803299</v>
      </c>
      <c r="M232" s="1">
        <v>43840</v>
      </c>
      <c r="N232" t="str">
        <f>"L200110"</f>
        <v>L200110</v>
      </c>
      <c r="O232" t="s">
        <v>28</v>
      </c>
      <c r="Q232" t="s">
        <v>29</v>
      </c>
      <c r="R232" t="s">
        <v>28</v>
      </c>
      <c r="S232" t="s">
        <v>1146</v>
      </c>
      <c r="T232" t="s">
        <v>1153</v>
      </c>
      <c r="U232" t="s">
        <v>60</v>
      </c>
      <c r="V232" t="s">
        <v>60</v>
      </c>
      <c r="W232" t="s">
        <v>721</v>
      </c>
      <c r="X232" t="s">
        <v>34</v>
      </c>
      <c r="Y232" t="str">
        <f>"775832232   "</f>
        <v xml:space="preserve">775832232   </v>
      </c>
    </row>
    <row r="233" spans="1:25" x14ac:dyDescent="0.25">
      <c r="A233" t="s">
        <v>1151</v>
      </c>
      <c r="B233" t="s">
        <v>1152</v>
      </c>
      <c r="C233">
        <v>2020</v>
      </c>
      <c r="D233">
        <v>8001</v>
      </c>
      <c r="E233">
        <v>1</v>
      </c>
      <c r="F233" t="s">
        <v>1146</v>
      </c>
      <c r="G233">
        <v>0</v>
      </c>
      <c r="J233">
        <v>5.23</v>
      </c>
      <c r="L233">
        <v>45975237</v>
      </c>
      <c r="M233" s="1">
        <v>44210</v>
      </c>
      <c r="N233" t="str">
        <f>"L210114"</f>
        <v>L210114</v>
      </c>
      <c r="O233" t="s">
        <v>28</v>
      </c>
      <c r="Q233" t="s">
        <v>29</v>
      </c>
      <c r="R233" t="s">
        <v>28</v>
      </c>
      <c r="S233" t="s">
        <v>1146</v>
      </c>
      <c r="T233" t="s">
        <v>1153</v>
      </c>
      <c r="U233" t="s">
        <v>60</v>
      </c>
      <c r="V233" t="s">
        <v>60</v>
      </c>
      <c r="W233" t="s">
        <v>721</v>
      </c>
      <c r="X233" t="s">
        <v>34</v>
      </c>
      <c r="Y233" t="str">
        <f>"775832232   "</f>
        <v xml:space="preserve">775832232   </v>
      </c>
    </row>
    <row r="234" spans="1:25" x14ac:dyDescent="0.25">
      <c r="A234" t="s">
        <v>1154</v>
      </c>
      <c r="B234" t="s">
        <v>1155</v>
      </c>
      <c r="C234">
        <v>2018</v>
      </c>
      <c r="D234">
        <v>8001</v>
      </c>
      <c r="E234">
        <v>1</v>
      </c>
      <c r="F234" t="s">
        <v>1156</v>
      </c>
      <c r="G234">
        <v>26408210</v>
      </c>
      <c r="J234">
        <v>8.6300000000000008</v>
      </c>
      <c r="L234">
        <v>41082664</v>
      </c>
      <c r="M234" s="1">
        <v>43563</v>
      </c>
      <c r="N234" t="str">
        <f>"J190408AW1"</f>
        <v>J190408AW1</v>
      </c>
      <c r="O234" t="s">
        <v>28</v>
      </c>
      <c r="Q234" t="s">
        <v>29</v>
      </c>
      <c r="R234" t="s">
        <v>28</v>
      </c>
      <c r="S234" t="s">
        <v>1157</v>
      </c>
      <c r="T234" t="s">
        <v>1158</v>
      </c>
      <c r="U234" t="s">
        <v>1159</v>
      </c>
      <c r="W234" t="s">
        <v>1160</v>
      </c>
      <c r="X234" t="s">
        <v>34</v>
      </c>
      <c r="Y234" t="str">
        <f>"775459435"</f>
        <v>775459435</v>
      </c>
    </row>
    <row r="235" spans="1:25" x14ac:dyDescent="0.25">
      <c r="A235" t="s">
        <v>1161</v>
      </c>
      <c r="B235" t="s">
        <v>1162</v>
      </c>
      <c r="C235">
        <v>2020</v>
      </c>
      <c r="D235">
        <v>8001</v>
      </c>
      <c r="E235">
        <v>1</v>
      </c>
      <c r="F235" t="s">
        <v>1163</v>
      </c>
      <c r="G235">
        <v>24908930</v>
      </c>
      <c r="J235">
        <v>164.26</v>
      </c>
      <c r="L235">
        <v>45519522</v>
      </c>
      <c r="M235" s="1">
        <v>44194</v>
      </c>
      <c r="N235" t="str">
        <f>"RC210114"</f>
        <v>RC210114</v>
      </c>
      <c r="O235" t="s">
        <v>28</v>
      </c>
      <c r="Q235" t="s">
        <v>29</v>
      </c>
      <c r="R235" t="s">
        <v>28</v>
      </c>
      <c r="S235" t="s">
        <v>1164</v>
      </c>
      <c r="T235" t="s">
        <v>1165</v>
      </c>
      <c r="W235" t="s">
        <v>40</v>
      </c>
      <c r="X235" t="s">
        <v>34</v>
      </c>
      <c r="Y235" t="str">
        <f>"774786135"</f>
        <v>774786135</v>
      </c>
    </row>
    <row r="236" spans="1:25" x14ac:dyDescent="0.25">
      <c r="A236" t="s">
        <v>1166</v>
      </c>
      <c r="B236" t="s">
        <v>1167</v>
      </c>
      <c r="C236">
        <v>2021</v>
      </c>
      <c r="D236">
        <v>8001</v>
      </c>
      <c r="E236">
        <v>2</v>
      </c>
      <c r="F236" t="s">
        <v>1168</v>
      </c>
      <c r="G236">
        <v>0</v>
      </c>
      <c r="J236">
        <v>30</v>
      </c>
      <c r="L236">
        <v>49458547</v>
      </c>
      <c r="M236" s="1">
        <v>44585</v>
      </c>
      <c r="N236" t="str">
        <f>"O220124BZ6"</f>
        <v>O220124BZ6</v>
      </c>
      <c r="O236" t="s">
        <v>28</v>
      </c>
      <c r="Q236" t="s">
        <v>29</v>
      </c>
      <c r="R236" t="s">
        <v>28</v>
      </c>
      <c r="S236" t="s">
        <v>1168</v>
      </c>
      <c r="T236" t="s">
        <v>1169</v>
      </c>
      <c r="U236" t="s">
        <v>60</v>
      </c>
      <c r="V236" t="s">
        <v>60</v>
      </c>
      <c r="W236" t="s">
        <v>219</v>
      </c>
      <c r="X236" t="s">
        <v>34</v>
      </c>
      <c r="Y236" t="str">
        <f>"774786164   "</f>
        <v xml:space="preserve">774786164   </v>
      </c>
    </row>
    <row r="237" spans="1:25" x14ac:dyDescent="0.25">
      <c r="A237" t="s">
        <v>1170</v>
      </c>
      <c r="B237" t="s">
        <v>1171</v>
      </c>
      <c r="C237">
        <v>2020</v>
      </c>
      <c r="D237">
        <v>8001</v>
      </c>
      <c r="E237">
        <v>1</v>
      </c>
      <c r="F237" t="s">
        <v>1172</v>
      </c>
      <c r="G237">
        <v>0</v>
      </c>
      <c r="J237">
        <v>9.1300000000000008</v>
      </c>
      <c r="L237">
        <v>44592591</v>
      </c>
      <c r="M237" s="1">
        <v>44147</v>
      </c>
      <c r="N237" t="str">
        <f>"TE201112"</f>
        <v>TE201112</v>
      </c>
      <c r="O237" t="s">
        <v>28</v>
      </c>
      <c r="Q237" t="s">
        <v>29</v>
      </c>
      <c r="R237" t="s">
        <v>28</v>
      </c>
      <c r="S237" t="s">
        <v>1173</v>
      </c>
      <c r="T237" t="s">
        <v>1174</v>
      </c>
      <c r="U237" t="s">
        <v>60</v>
      </c>
      <c r="V237" t="s">
        <v>60</v>
      </c>
      <c r="W237" t="s">
        <v>649</v>
      </c>
      <c r="X237" t="s">
        <v>34</v>
      </c>
      <c r="Y237" t="str">
        <f>"774714526   "</f>
        <v xml:space="preserve">774714526   </v>
      </c>
    </row>
    <row r="238" spans="1:25" x14ac:dyDescent="0.25">
      <c r="A238" t="s">
        <v>1175</v>
      </c>
      <c r="B238" t="s">
        <v>1176</v>
      </c>
      <c r="C238">
        <v>2021</v>
      </c>
      <c r="D238">
        <v>8001</v>
      </c>
      <c r="E238">
        <v>1</v>
      </c>
      <c r="F238" t="s">
        <v>1177</v>
      </c>
      <c r="G238">
        <v>29230025</v>
      </c>
      <c r="J238">
        <v>399.14</v>
      </c>
      <c r="L238">
        <v>48336760</v>
      </c>
      <c r="M238" s="1">
        <v>44537</v>
      </c>
      <c r="N238" t="str">
        <f>"RC220113"</f>
        <v>RC220113</v>
      </c>
      <c r="O238" t="s">
        <v>28</v>
      </c>
      <c r="Q238" t="s">
        <v>29</v>
      </c>
      <c r="R238" t="s">
        <v>28</v>
      </c>
      <c r="S238" t="s">
        <v>1178</v>
      </c>
      <c r="T238" t="s">
        <v>1179</v>
      </c>
      <c r="W238" t="s">
        <v>154</v>
      </c>
      <c r="X238" t="s">
        <v>34</v>
      </c>
      <c r="Y238" t="str">
        <f>"774715529"</f>
        <v>774715529</v>
      </c>
    </row>
    <row r="239" spans="1:25" x14ac:dyDescent="0.25">
      <c r="A239" t="s">
        <v>1180</v>
      </c>
      <c r="B239" t="s">
        <v>1181</v>
      </c>
      <c r="C239">
        <v>2020</v>
      </c>
      <c r="D239">
        <v>8001</v>
      </c>
      <c r="E239">
        <v>2</v>
      </c>
      <c r="F239" t="s">
        <v>1182</v>
      </c>
      <c r="G239">
        <v>27618830</v>
      </c>
      <c r="J239">
        <v>75</v>
      </c>
      <c r="L239">
        <v>47711394</v>
      </c>
      <c r="M239" s="1">
        <v>44431</v>
      </c>
      <c r="N239" t="str">
        <f>"O210823AB1"</f>
        <v>O210823AB1</v>
      </c>
      <c r="O239" t="s">
        <v>28</v>
      </c>
      <c r="Q239" t="s">
        <v>29</v>
      </c>
      <c r="R239" t="s">
        <v>28</v>
      </c>
      <c r="S239" t="s">
        <v>1183</v>
      </c>
      <c r="T239" t="s">
        <v>1184</v>
      </c>
      <c r="W239" t="s">
        <v>107</v>
      </c>
      <c r="X239" t="s">
        <v>34</v>
      </c>
      <c r="Y239" t="str">
        <f>"774942663"</f>
        <v>774942663</v>
      </c>
    </row>
    <row r="240" spans="1:25" x14ac:dyDescent="0.25">
      <c r="A240" t="s">
        <v>1185</v>
      </c>
      <c r="B240" t="s">
        <v>1186</v>
      </c>
      <c r="C240">
        <v>2020</v>
      </c>
      <c r="D240">
        <v>8001</v>
      </c>
      <c r="E240">
        <v>1</v>
      </c>
      <c r="F240" t="s">
        <v>1187</v>
      </c>
      <c r="G240">
        <v>0</v>
      </c>
      <c r="J240" s="2">
        <v>1352</v>
      </c>
      <c r="L240">
        <v>44754508</v>
      </c>
      <c r="M240" s="1">
        <v>44147</v>
      </c>
      <c r="N240" t="str">
        <f>"TE201112"</f>
        <v>TE201112</v>
      </c>
      <c r="O240" t="s">
        <v>28</v>
      </c>
      <c r="Q240" t="s">
        <v>29</v>
      </c>
      <c r="R240" t="s">
        <v>28</v>
      </c>
      <c r="S240" t="s">
        <v>1187</v>
      </c>
      <c r="T240" t="s">
        <v>1188</v>
      </c>
      <c r="U240" t="s">
        <v>60</v>
      </c>
      <c r="V240" t="s">
        <v>60</v>
      </c>
      <c r="W240" t="s">
        <v>219</v>
      </c>
      <c r="X240" t="s">
        <v>34</v>
      </c>
      <c r="Y240" t="str">
        <f>"774793027   "</f>
        <v xml:space="preserve">774793027   </v>
      </c>
    </row>
    <row r="241" spans="1:25" x14ac:dyDescent="0.25">
      <c r="A241" t="s">
        <v>1185</v>
      </c>
      <c r="B241" t="s">
        <v>1186</v>
      </c>
      <c r="C241">
        <v>2021</v>
      </c>
      <c r="D241">
        <v>8001</v>
      </c>
      <c r="E241">
        <v>1</v>
      </c>
      <c r="F241" t="s">
        <v>1187</v>
      </c>
      <c r="G241">
        <v>25900056</v>
      </c>
      <c r="J241">
        <v>108.32</v>
      </c>
      <c r="L241">
        <v>48154431</v>
      </c>
      <c r="M241" s="1">
        <v>44522</v>
      </c>
      <c r="N241" t="str">
        <f>"RC211222"</f>
        <v>RC211222</v>
      </c>
      <c r="O241" t="s">
        <v>28</v>
      </c>
      <c r="Q241" t="s">
        <v>29</v>
      </c>
      <c r="R241" t="s">
        <v>28</v>
      </c>
      <c r="S241" t="s">
        <v>1189</v>
      </c>
      <c r="T241" t="s">
        <v>1190</v>
      </c>
      <c r="U241" t="s">
        <v>1191</v>
      </c>
      <c r="W241" t="s">
        <v>75</v>
      </c>
      <c r="X241" t="s">
        <v>34</v>
      </c>
      <c r="Y241" t="str">
        <f>"770421076"</f>
        <v>770421076</v>
      </c>
    </row>
    <row r="242" spans="1:25" x14ac:dyDescent="0.25">
      <c r="A242" t="s">
        <v>1192</v>
      </c>
      <c r="B242" t="s">
        <v>1193</v>
      </c>
      <c r="C242">
        <v>2021</v>
      </c>
      <c r="D242">
        <v>8001</v>
      </c>
      <c r="E242">
        <v>1</v>
      </c>
      <c r="F242" t="s">
        <v>1194</v>
      </c>
      <c r="G242">
        <v>26033880</v>
      </c>
      <c r="J242">
        <v>476.96</v>
      </c>
      <c r="L242">
        <v>48793406</v>
      </c>
      <c r="M242" s="1">
        <v>44560</v>
      </c>
      <c r="N242" t="str">
        <f>"RC220125"</f>
        <v>RC220125</v>
      </c>
      <c r="O242" t="s">
        <v>28</v>
      </c>
      <c r="Q242" t="s">
        <v>29</v>
      </c>
      <c r="R242" t="s">
        <v>28</v>
      </c>
      <c r="S242" t="s">
        <v>1195</v>
      </c>
      <c r="T242" t="s">
        <v>1196</v>
      </c>
      <c r="W242" t="s">
        <v>1197</v>
      </c>
      <c r="X242" t="s">
        <v>34</v>
      </c>
      <c r="Y242" t="str">
        <f>"78041"</f>
        <v>78041</v>
      </c>
    </row>
    <row r="243" spans="1:25" x14ac:dyDescent="0.25">
      <c r="A243" t="s">
        <v>1198</v>
      </c>
      <c r="B243" t="s">
        <v>1199</v>
      </c>
      <c r="C243">
        <v>2020</v>
      </c>
      <c r="D243">
        <v>8001</v>
      </c>
      <c r="E243">
        <v>1</v>
      </c>
      <c r="F243" t="s">
        <v>1200</v>
      </c>
      <c r="G243">
        <v>27835504</v>
      </c>
      <c r="J243">
        <v>386.86</v>
      </c>
      <c r="L243">
        <v>46772295</v>
      </c>
      <c r="M243" s="1">
        <v>44231</v>
      </c>
      <c r="N243" t="str">
        <f>"RC210301"</f>
        <v>RC210301</v>
      </c>
      <c r="O243" t="s">
        <v>28</v>
      </c>
      <c r="Q243" t="s">
        <v>29</v>
      </c>
      <c r="R243" t="s">
        <v>28</v>
      </c>
      <c r="S243" t="s">
        <v>1201</v>
      </c>
      <c r="T243" t="s">
        <v>1202</v>
      </c>
      <c r="W243" t="s">
        <v>40</v>
      </c>
      <c r="X243" t="s">
        <v>34</v>
      </c>
      <c r="Y243" t="str">
        <f>"77479"</f>
        <v>77479</v>
      </c>
    </row>
    <row r="244" spans="1:25" x14ac:dyDescent="0.25">
      <c r="A244" t="s">
        <v>1203</v>
      </c>
      <c r="B244" t="s">
        <v>1204</v>
      </c>
      <c r="C244">
        <v>2019</v>
      </c>
      <c r="D244">
        <v>8001</v>
      </c>
      <c r="E244">
        <v>1</v>
      </c>
      <c r="F244" t="s">
        <v>1205</v>
      </c>
      <c r="G244">
        <v>0</v>
      </c>
      <c r="J244">
        <v>6.45</v>
      </c>
      <c r="L244">
        <v>44149785</v>
      </c>
      <c r="M244" s="1">
        <v>43962</v>
      </c>
      <c r="N244" t="str">
        <f>"J200511K3"</f>
        <v>J200511K3</v>
      </c>
      <c r="O244" t="s">
        <v>28</v>
      </c>
      <c r="Q244" t="s">
        <v>29</v>
      </c>
      <c r="R244" t="s">
        <v>28</v>
      </c>
      <c r="S244" t="s">
        <v>1205</v>
      </c>
      <c r="T244" t="s">
        <v>1206</v>
      </c>
      <c r="U244" t="s">
        <v>60</v>
      </c>
      <c r="V244" t="s">
        <v>60</v>
      </c>
      <c r="W244" t="s">
        <v>219</v>
      </c>
      <c r="X244" t="s">
        <v>34</v>
      </c>
      <c r="Y244" t="str">
        <f>"774795171   "</f>
        <v xml:space="preserve">774795171   </v>
      </c>
    </row>
    <row r="245" spans="1:25" x14ac:dyDescent="0.25">
      <c r="A245" t="s">
        <v>1207</v>
      </c>
      <c r="B245" t="s">
        <v>1208</v>
      </c>
      <c r="C245">
        <v>2020</v>
      </c>
      <c r="D245">
        <v>8001</v>
      </c>
      <c r="E245">
        <v>1</v>
      </c>
      <c r="F245" t="s">
        <v>1209</v>
      </c>
      <c r="G245">
        <v>29489563</v>
      </c>
      <c r="J245">
        <v>544.46</v>
      </c>
      <c r="L245">
        <v>46782262</v>
      </c>
      <c r="M245" s="1">
        <v>44231</v>
      </c>
      <c r="N245" t="str">
        <f>"CC210204"</f>
        <v>CC210204</v>
      </c>
      <c r="O245" t="s">
        <v>28</v>
      </c>
      <c r="Q245" t="s">
        <v>29</v>
      </c>
      <c r="R245" t="s">
        <v>28</v>
      </c>
      <c r="S245" t="s">
        <v>1210</v>
      </c>
      <c r="T245" t="s">
        <v>1211</v>
      </c>
      <c r="W245" t="s">
        <v>112</v>
      </c>
      <c r="X245" t="s">
        <v>34</v>
      </c>
      <c r="Y245" t="str">
        <f>"77479"</f>
        <v>77479</v>
      </c>
    </row>
    <row r="246" spans="1:25" x14ac:dyDescent="0.25">
      <c r="A246" t="s">
        <v>1212</v>
      </c>
      <c r="B246" t="s">
        <v>1213</v>
      </c>
      <c r="C246">
        <v>2020</v>
      </c>
      <c r="D246">
        <v>8001</v>
      </c>
      <c r="E246">
        <v>2</v>
      </c>
      <c r="F246" t="s">
        <v>1214</v>
      </c>
      <c r="G246">
        <v>29446947</v>
      </c>
      <c r="J246">
        <v>29.74</v>
      </c>
      <c r="L246">
        <v>46693890</v>
      </c>
      <c r="M246" s="1">
        <v>44229</v>
      </c>
      <c r="N246" t="str">
        <f>"EK510202"</f>
        <v>EK510202</v>
      </c>
      <c r="O246" t="s">
        <v>28</v>
      </c>
      <c r="Q246" t="s">
        <v>29</v>
      </c>
      <c r="R246" t="s">
        <v>28</v>
      </c>
      <c r="S246" t="s">
        <v>1215</v>
      </c>
      <c r="T246" t="s">
        <v>1216</v>
      </c>
      <c r="W246" t="s">
        <v>107</v>
      </c>
      <c r="X246" t="s">
        <v>34</v>
      </c>
      <c r="Y246" t="str">
        <f>"77494"</f>
        <v>77494</v>
      </c>
    </row>
    <row r="247" spans="1:25" x14ac:dyDescent="0.25">
      <c r="A247" t="s">
        <v>1217</v>
      </c>
      <c r="B247" t="s">
        <v>1218</v>
      </c>
      <c r="C247">
        <v>2018</v>
      </c>
      <c r="D247">
        <v>8001</v>
      </c>
      <c r="E247">
        <v>2</v>
      </c>
      <c r="F247" t="s">
        <v>1219</v>
      </c>
      <c r="G247">
        <v>0</v>
      </c>
      <c r="J247">
        <v>69.78</v>
      </c>
      <c r="L247">
        <v>41186134</v>
      </c>
      <c r="M247" s="1">
        <v>43595</v>
      </c>
      <c r="N247" t="str">
        <f>"J190510K2"</f>
        <v>J190510K2</v>
      </c>
      <c r="O247" t="s">
        <v>28</v>
      </c>
      <c r="Q247" t="s">
        <v>29</v>
      </c>
      <c r="R247" t="s">
        <v>28</v>
      </c>
      <c r="S247" t="s">
        <v>1219</v>
      </c>
      <c r="T247" t="s">
        <v>1220</v>
      </c>
      <c r="U247" t="s">
        <v>60</v>
      </c>
      <c r="V247" t="s">
        <v>60</v>
      </c>
      <c r="W247" t="s">
        <v>1137</v>
      </c>
      <c r="X247" t="s">
        <v>34</v>
      </c>
      <c r="Y247" t="str">
        <f>"774945974   "</f>
        <v xml:space="preserve">774945974   </v>
      </c>
    </row>
    <row r="248" spans="1:25" x14ac:dyDescent="0.25">
      <c r="A248" t="s">
        <v>1221</v>
      </c>
      <c r="B248" t="s">
        <v>1222</v>
      </c>
      <c r="C248">
        <v>2019</v>
      </c>
      <c r="D248">
        <v>8001</v>
      </c>
      <c r="E248">
        <v>1</v>
      </c>
      <c r="F248" t="s">
        <v>1223</v>
      </c>
      <c r="G248">
        <v>28305687</v>
      </c>
      <c r="J248">
        <v>188.79</v>
      </c>
      <c r="L248">
        <v>43875742</v>
      </c>
      <c r="M248" s="1">
        <v>43894</v>
      </c>
      <c r="N248" t="str">
        <f>"EK200304"</f>
        <v>EK200304</v>
      </c>
      <c r="O248" t="s">
        <v>28</v>
      </c>
      <c r="Q248" t="s">
        <v>29</v>
      </c>
      <c r="R248" t="s">
        <v>28</v>
      </c>
      <c r="S248" t="s">
        <v>1224</v>
      </c>
      <c r="T248" t="s">
        <v>1225</v>
      </c>
      <c r="W248" t="s">
        <v>40</v>
      </c>
      <c r="X248" t="s">
        <v>34</v>
      </c>
      <c r="Y248" t="str">
        <f>"77479"</f>
        <v>77479</v>
      </c>
    </row>
    <row r="249" spans="1:25" x14ac:dyDescent="0.25">
      <c r="A249" t="s">
        <v>1226</v>
      </c>
      <c r="B249" t="s">
        <v>1227</v>
      </c>
      <c r="C249">
        <v>2019</v>
      </c>
      <c r="D249">
        <v>8001</v>
      </c>
      <c r="E249">
        <v>3</v>
      </c>
      <c r="F249" t="s">
        <v>1228</v>
      </c>
      <c r="G249">
        <v>28578455</v>
      </c>
      <c r="J249">
        <v>177.93</v>
      </c>
      <c r="L249">
        <v>44403189</v>
      </c>
      <c r="M249" s="1">
        <v>44029</v>
      </c>
      <c r="N249" t="str">
        <f>"CC200717"</f>
        <v>CC200717</v>
      </c>
      <c r="O249" t="s">
        <v>28</v>
      </c>
      <c r="Q249" t="s">
        <v>29</v>
      </c>
      <c r="R249" t="s">
        <v>28</v>
      </c>
      <c r="S249" t="s">
        <v>1229</v>
      </c>
      <c r="T249" t="s">
        <v>1230</v>
      </c>
      <c r="W249" t="s">
        <v>40</v>
      </c>
      <c r="X249" t="s">
        <v>34</v>
      </c>
      <c r="Y249" t="str">
        <f>"77479"</f>
        <v>77479</v>
      </c>
    </row>
    <row r="250" spans="1:25" x14ac:dyDescent="0.25">
      <c r="A250" t="s">
        <v>1231</v>
      </c>
      <c r="B250" t="s">
        <v>1232</v>
      </c>
      <c r="C250">
        <v>2020</v>
      </c>
      <c r="D250">
        <v>8001</v>
      </c>
      <c r="E250">
        <v>1</v>
      </c>
      <c r="F250" t="s">
        <v>1233</v>
      </c>
      <c r="G250">
        <v>28794716</v>
      </c>
      <c r="J250" s="2">
        <v>3104.5</v>
      </c>
      <c r="L250">
        <v>44928689</v>
      </c>
      <c r="M250" s="1">
        <v>44154</v>
      </c>
      <c r="N250" t="str">
        <f>"O201119BD1"</f>
        <v>O201119BD1</v>
      </c>
      <c r="O250" t="s">
        <v>28</v>
      </c>
      <c r="Q250" t="s">
        <v>29</v>
      </c>
      <c r="R250" t="s">
        <v>28</v>
      </c>
      <c r="S250" t="s">
        <v>1234</v>
      </c>
      <c r="T250" t="s">
        <v>1235</v>
      </c>
      <c r="W250" t="s">
        <v>910</v>
      </c>
      <c r="X250" t="s">
        <v>34</v>
      </c>
      <c r="Y250" t="str">
        <f>"782052329"</f>
        <v>782052329</v>
      </c>
    </row>
    <row r="251" spans="1:25" x14ac:dyDescent="0.25">
      <c r="A251" t="s">
        <v>1236</v>
      </c>
      <c r="B251" t="s">
        <v>1237</v>
      </c>
      <c r="C251">
        <v>2020</v>
      </c>
      <c r="D251">
        <v>8001</v>
      </c>
      <c r="E251">
        <v>2</v>
      </c>
      <c r="F251" t="s">
        <v>1238</v>
      </c>
      <c r="G251">
        <v>203289</v>
      </c>
      <c r="J251">
        <v>194.41</v>
      </c>
      <c r="L251">
        <v>47049996</v>
      </c>
      <c r="M251" s="1">
        <v>44263</v>
      </c>
      <c r="N251" t="str">
        <f>"O210308BD1"</f>
        <v>O210308BD1</v>
      </c>
      <c r="O251" t="s">
        <v>28</v>
      </c>
      <c r="Q251" t="s">
        <v>29</v>
      </c>
      <c r="R251" t="s">
        <v>28</v>
      </c>
      <c r="S251" t="s">
        <v>561</v>
      </c>
      <c r="T251" t="s">
        <v>562</v>
      </c>
      <c r="W251" t="s">
        <v>563</v>
      </c>
      <c r="X251" t="s">
        <v>34</v>
      </c>
      <c r="Y251" t="str">
        <f>"750630156"</f>
        <v>750630156</v>
      </c>
    </row>
    <row r="252" spans="1:25" x14ac:dyDescent="0.25">
      <c r="A252" t="s">
        <v>1239</v>
      </c>
      <c r="B252" t="s">
        <v>1240</v>
      </c>
      <c r="C252">
        <v>2020</v>
      </c>
      <c r="D252">
        <v>8001</v>
      </c>
      <c r="E252">
        <v>2</v>
      </c>
      <c r="F252" t="s">
        <v>1241</v>
      </c>
      <c r="G252">
        <v>29448469</v>
      </c>
      <c r="J252">
        <v>334.92</v>
      </c>
      <c r="L252">
        <v>46879618</v>
      </c>
      <c r="M252" s="1">
        <v>44236</v>
      </c>
      <c r="N252" t="str">
        <f>"RC210304"</f>
        <v>RC210304</v>
      </c>
      <c r="O252" t="s">
        <v>28</v>
      </c>
      <c r="Q252" t="s">
        <v>29</v>
      </c>
      <c r="R252" t="s">
        <v>28</v>
      </c>
      <c r="S252" t="s">
        <v>1033</v>
      </c>
      <c r="T252" t="s">
        <v>1034</v>
      </c>
      <c r="W252" t="s">
        <v>168</v>
      </c>
      <c r="X252" t="s">
        <v>169</v>
      </c>
      <c r="Y252" t="str">
        <f>"801114720"</f>
        <v>801114720</v>
      </c>
    </row>
    <row r="253" spans="1:25" x14ac:dyDescent="0.25">
      <c r="A253" t="s">
        <v>1242</v>
      </c>
      <c r="B253" t="s">
        <v>1243</v>
      </c>
      <c r="C253">
        <v>2020</v>
      </c>
      <c r="D253">
        <v>8001</v>
      </c>
      <c r="E253">
        <v>1</v>
      </c>
      <c r="F253" t="s">
        <v>1244</v>
      </c>
      <c r="G253">
        <v>25497267</v>
      </c>
      <c r="J253">
        <v>62.91</v>
      </c>
      <c r="L253">
        <v>47776037</v>
      </c>
      <c r="M253" s="1">
        <v>44473</v>
      </c>
      <c r="N253" t="str">
        <f>"RC211018"</f>
        <v>RC211018</v>
      </c>
      <c r="O253" t="s">
        <v>28</v>
      </c>
      <c r="Q253" t="s">
        <v>29</v>
      </c>
      <c r="R253" t="s">
        <v>28</v>
      </c>
      <c r="S253" t="s">
        <v>1245</v>
      </c>
      <c r="T253" t="s">
        <v>1246</v>
      </c>
      <c r="W253" t="s">
        <v>1247</v>
      </c>
      <c r="X253" t="s">
        <v>1248</v>
      </c>
      <c r="Y253" t="str">
        <f>"322042945"</f>
        <v>322042945</v>
      </c>
    </row>
    <row r="254" spans="1:25" x14ac:dyDescent="0.25">
      <c r="A254" t="s">
        <v>1249</v>
      </c>
      <c r="B254" t="s">
        <v>1250</v>
      </c>
      <c r="C254">
        <v>2020</v>
      </c>
      <c r="D254">
        <v>8001</v>
      </c>
      <c r="E254">
        <v>1</v>
      </c>
      <c r="F254" t="s">
        <v>1251</v>
      </c>
      <c r="G254">
        <v>29461936</v>
      </c>
      <c r="J254">
        <v>357.69</v>
      </c>
      <c r="L254">
        <v>46728936</v>
      </c>
      <c r="M254" s="1">
        <v>44230</v>
      </c>
      <c r="N254" t="str">
        <f>"EK210203"</f>
        <v>EK210203</v>
      </c>
      <c r="O254" t="s">
        <v>28</v>
      </c>
      <c r="Q254" t="s">
        <v>29</v>
      </c>
      <c r="R254" t="s">
        <v>28</v>
      </c>
      <c r="S254" t="s">
        <v>1252</v>
      </c>
      <c r="T254" t="s">
        <v>1253</v>
      </c>
      <c r="W254" t="s">
        <v>75</v>
      </c>
      <c r="X254" t="s">
        <v>34</v>
      </c>
      <c r="Y254" t="str">
        <f>"77063"</f>
        <v>77063</v>
      </c>
    </row>
    <row r="255" spans="1:25" x14ac:dyDescent="0.25">
      <c r="A255" t="s">
        <v>1254</v>
      </c>
      <c r="B255" t="s">
        <v>1255</v>
      </c>
      <c r="C255">
        <v>2020</v>
      </c>
      <c r="D255">
        <v>8001</v>
      </c>
      <c r="E255">
        <v>1</v>
      </c>
      <c r="F255" t="s">
        <v>1251</v>
      </c>
      <c r="G255">
        <v>29461935</v>
      </c>
      <c r="J255">
        <v>369.23</v>
      </c>
      <c r="L255">
        <v>46728935</v>
      </c>
      <c r="M255" s="1">
        <v>44230</v>
      </c>
      <c r="N255" t="str">
        <f>"EK210203"</f>
        <v>EK210203</v>
      </c>
      <c r="O255" t="s">
        <v>28</v>
      </c>
      <c r="Q255" t="s">
        <v>29</v>
      </c>
      <c r="R255" t="s">
        <v>28</v>
      </c>
      <c r="S255" t="s">
        <v>1252</v>
      </c>
      <c r="T255" t="s">
        <v>1253</v>
      </c>
      <c r="W255" t="s">
        <v>75</v>
      </c>
      <c r="X255" t="s">
        <v>34</v>
      </c>
      <c r="Y255" t="str">
        <f>"77063"</f>
        <v>77063</v>
      </c>
    </row>
    <row r="256" spans="1:25" x14ac:dyDescent="0.25">
      <c r="A256" t="s">
        <v>1256</v>
      </c>
      <c r="B256" t="s">
        <v>1257</v>
      </c>
      <c r="C256">
        <v>2020</v>
      </c>
      <c r="D256">
        <v>8001</v>
      </c>
      <c r="E256">
        <v>2</v>
      </c>
      <c r="F256" t="s">
        <v>1258</v>
      </c>
      <c r="G256">
        <v>23598149</v>
      </c>
      <c r="J256">
        <v>232.15</v>
      </c>
      <c r="L256">
        <v>46301211</v>
      </c>
      <c r="M256" s="1">
        <v>44223</v>
      </c>
      <c r="N256" t="str">
        <f>"T210127F1"</f>
        <v>T210127F1</v>
      </c>
      <c r="O256" t="s">
        <v>28</v>
      </c>
      <c r="Q256" t="s">
        <v>29</v>
      </c>
      <c r="R256" t="s">
        <v>28</v>
      </c>
      <c r="S256" t="s">
        <v>1259</v>
      </c>
      <c r="T256" t="s">
        <v>1260</v>
      </c>
      <c r="W256" t="s">
        <v>40</v>
      </c>
      <c r="X256" t="s">
        <v>34</v>
      </c>
      <c r="Y256" t="str">
        <f>"774781856"</f>
        <v>774781856</v>
      </c>
    </row>
    <row r="257" spans="1:25" x14ac:dyDescent="0.25">
      <c r="A257" t="s">
        <v>1261</v>
      </c>
      <c r="B257" t="s">
        <v>1262</v>
      </c>
      <c r="C257">
        <v>2019</v>
      </c>
      <c r="D257">
        <v>8001</v>
      </c>
      <c r="E257">
        <v>2</v>
      </c>
      <c r="F257" t="s">
        <v>1263</v>
      </c>
      <c r="G257">
        <v>28198276</v>
      </c>
      <c r="J257">
        <v>280</v>
      </c>
      <c r="L257">
        <v>43704576</v>
      </c>
      <c r="M257" s="1">
        <v>43872</v>
      </c>
      <c r="N257" t="str">
        <f>"J200211AW2"</f>
        <v>J200211AW2</v>
      </c>
      <c r="O257" t="s">
        <v>28</v>
      </c>
      <c r="Q257" t="s">
        <v>29</v>
      </c>
      <c r="R257" t="s">
        <v>28</v>
      </c>
      <c r="S257" t="s">
        <v>1264</v>
      </c>
      <c r="T257" t="s">
        <v>1265</v>
      </c>
      <c r="U257" t="s">
        <v>1266</v>
      </c>
      <c r="W257" t="s">
        <v>332</v>
      </c>
      <c r="X257" t="s">
        <v>34</v>
      </c>
      <c r="Y257" t="str">
        <f>"752359788"</f>
        <v>752359788</v>
      </c>
    </row>
    <row r="258" spans="1:25" x14ac:dyDescent="0.25">
      <c r="A258" t="s">
        <v>1267</v>
      </c>
      <c r="B258" t="s">
        <v>1268</v>
      </c>
      <c r="C258">
        <v>2021</v>
      </c>
      <c r="D258">
        <v>8001</v>
      </c>
      <c r="E258">
        <v>2</v>
      </c>
      <c r="F258" t="s">
        <v>1269</v>
      </c>
      <c r="G258">
        <v>30456729</v>
      </c>
      <c r="J258">
        <v>26.04</v>
      </c>
      <c r="L258">
        <v>48937782</v>
      </c>
      <c r="M258" s="1">
        <v>44566</v>
      </c>
      <c r="N258" t="str">
        <f>"CC220102"</f>
        <v>CC220102</v>
      </c>
      <c r="O258" t="s">
        <v>28</v>
      </c>
      <c r="Q258" t="s">
        <v>29</v>
      </c>
      <c r="R258" t="s">
        <v>28</v>
      </c>
      <c r="S258" t="s">
        <v>1270</v>
      </c>
      <c r="T258" t="s">
        <v>1271</v>
      </c>
      <c r="W258" t="s">
        <v>40</v>
      </c>
      <c r="X258" t="s">
        <v>34</v>
      </c>
      <c r="Y258" t="str">
        <f>"77478"</f>
        <v>77478</v>
      </c>
    </row>
    <row r="259" spans="1:25" x14ac:dyDescent="0.25">
      <c r="A259" t="s">
        <v>1272</v>
      </c>
      <c r="B259" t="s">
        <v>1273</v>
      </c>
      <c r="C259">
        <v>2021</v>
      </c>
      <c r="D259">
        <v>8001</v>
      </c>
      <c r="E259">
        <v>1</v>
      </c>
      <c r="F259" t="s">
        <v>1274</v>
      </c>
      <c r="G259">
        <v>30236993</v>
      </c>
      <c r="J259">
        <v>37.14</v>
      </c>
      <c r="L259">
        <v>48158742</v>
      </c>
      <c r="M259" s="1">
        <v>44522</v>
      </c>
      <c r="N259" t="str">
        <f>"RC211222"</f>
        <v>RC211222</v>
      </c>
      <c r="O259" t="s">
        <v>28</v>
      </c>
      <c r="Q259" t="s">
        <v>29</v>
      </c>
      <c r="R259" t="s">
        <v>28</v>
      </c>
      <c r="S259" t="s">
        <v>1275</v>
      </c>
      <c r="T259" t="s">
        <v>1276</v>
      </c>
      <c r="W259" t="s">
        <v>33</v>
      </c>
      <c r="X259" t="s">
        <v>34</v>
      </c>
      <c r="Y259" t="str">
        <f>"75025"</f>
        <v>75025</v>
      </c>
    </row>
    <row r="260" spans="1:25" x14ac:dyDescent="0.25">
      <c r="A260" t="s">
        <v>1277</v>
      </c>
      <c r="B260" t="s">
        <v>1278</v>
      </c>
      <c r="C260">
        <v>2019</v>
      </c>
      <c r="D260">
        <v>8001</v>
      </c>
      <c r="E260">
        <v>2</v>
      </c>
      <c r="F260" t="s">
        <v>1279</v>
      </c>
      <c r="G260">
        <v>22758174</v>
      </c>
      <c r="J260">
        <v>16.18</v>
      </c>
      <c r="L260">
        <v>44285428</v>
      </c>
      <c r="M260" s="1">
        <v>43990</v>
      </c>
      <c r="N260" t="str">
        <f>"J200608K3"</f>
        <v>J200608K3</v>
      </c>
      <c r="O260" t="s">
        <v>28</v>
      </c>
      <c r="Q260" t="s">
        <v>29</v>
      </c>
      <c r="R260" t="s">
        <v>28</v>
      </c>
      <c r="S260" t="s">
        <v>1280</v>
      </c>
      <c r="T260" t="s">
        <v>1281</v>
      </c>
      <c r="U260" t="s">
        <v>203</v>
      </c>
      <c r="V260" t="s">
        <v>1282</v>
      </c>
      <c r="W260" t="s">
        <v>75</v>
      </c>
      <c r="X260" t="s">
        <v>34</v>
      </c>
      <c r="Y260" t="str">
        <f>"770631709"</f>
        <v>770631709</v>
      </c>
    </row>
    <row r="261" spans="1:25" x14ac:dyDescent="0.25">
      <c r="A261" t="s">
        <v>1283</v>
      </c>
      <c r="B261" t="s">
        <v>1284</v>
      </c>
      <c r="C261">
        <v>2018</v>
      </c>
      <c r="D261">
        <v>8001</v>
      </c>
      <c r="E261">
        <v>4</v>
      </c>
      <c r="F261" t="s">
        <v>1285</v>
      </c>
      <c r="G261">
        <v>0</v>
      </c>
      <c r="J261">
        <v>27.11</v>
      </c>
      <c r="L261">
        <v>41065457</v>
      </c>
      <c r="M261" s="1">
        <v>43558</v>
      </c>
      <c r="N261" t="str">
        <f>"J190403K8"</f>
        <v>J190403K8</v>
      </c>
      <c r="O261" t="s">
        <v>28</v>
      </c>
      <c r="Q261" t="s">
        <v>29</v>
      </c>
      <c r="R261" t="s">
        <v>28</v>
      </c>
      <c r="S261" t="s">
        <v>1285</v>
      </c>
      <c r="T261" t="s">
        <v>1286</v>
      </c>
      <c r="U261" t="s">
        <v>60</v>
      </c>
      <c r="V261" t="s">
        <v>60</v>
      </c>
      <c r="W261" t="s">
        <v>649</v>
      </c>
      <c r="X261" t="s">
        <v>34</v>
      </c>
      <c r="Y261" t="str">
        <f>"774716015   "</f>
        <v xml:space="preserve">774716015   </v>
      </c>
    </row>
    <row r="262" spans="1:25" x14ac:dyDescent="0.25">
      <c r="A262" t="s">
        <v>1283</v>
      </c>
      <c r="B262" t="s">
        <v>1284</v>
      </c>
      <c r="C262">
        <v>2019</v>
      </c>
      <c r="D262">
        <v>8001</v>
      </c>
      <c r="E262">
        <v>4</v>
      </c>
      <c r="F262" t="s">
        <v>1285</v>
      </c>
      <c r="G262">
        <v>0</v>
      </c>
      <c r="J262">
        <v>39.25</v>
      </c>
      <c r="L262">
        <v>44195068</v>
      </c>
      <c r="M262" s="1">
        <v>43972</v>
      </c>
      <c r="N262" t="str">
        <f>"J200521U2"</f>
        <v>J200521U2</v>
      </c>
      <c r="O262" t="s">
        <v>28</v>
      </c>
      <c r="Q262" t="s">
        <v>29</v>
      </c>
      <c r="R262" t="s">
        <v>28</v>
      </c>
      <c r="S262" t="s">
        <v>1285</v>
      </c>
      <c r="T262" t="s">
        <v>1286</v>
      </c>
      <c r="U262" t="s">
        <v>60</v>
      </c>
      <c r="V262" t="s">
        <v>60</v>
      </c>
      <c r="W262" t="s">
        <v>649</v>
      </c>
      <c r="X262" t="s">
        <v>34</v>
      </c>
      <c r="Y262" t="str">
        <f>"774716015   "</f>
        <v xml:space="preserve">774716015   </v>
      </c>
    </row>
    <row r="263" spans="1:25" x14ac:dyDescent="0.25">
      <c r="A263" t="s">
        <v>1287</v>
      </c>
      <c r="B263" t="s">
        <v>1288</v>
      </c>
      <c r="C263">
        <v>2021</v>
      </c>
      <c r="D263">
        <v>8001</v>
      </c>
      <c r="E263">
        <v>1</v>
      </c>
      <c r="F263" t="s">
        <v>1289</v>
      </c>
      <c r="G263">
        <v>30987649</v>
      </c>
      <c r="J263">
        <v>500</v>
      </c>
      <c r="L263">
        <v>48892406</v>
      </c>
      <c r="M263" s="1">
        <v>44565</v>
      </c>
      <c r="N263" t="str">
        <f>"RC220208"</f>
        <v>RC220208</v>
      </c>
      <c r="O263" t="s">
        <v>28</v>
      </c>
      <c r="Q263" t="s">
        <v>29</v>
      </c>
      <c r="R263" t="s">
        <v>28</v>
      </c>
      <c r="S263" t="s">
        <v>1290</v>
      </c>
      <c r="T263" t="s">
        <v>1291</v>
      </c>
      <c r="U263" t="s">
        <v>1292</v>
      </c>
      <c r="W263" t="s">
        <v>40</v>
      </c>
      <c r="X263" t="s">
        <v>34</v>
      </c>
      <c r="Y263" t="str">
        <f>"774784733"</f>
        <v>774784733</v>
      </c>
    </row>
    <row r="264" spans="1:25" x14ac:dyDescent="0.25">
      <c r="A264" t="s">
        <v>1293</v>
      </c>
      <c r="B264" t="s">
        <v>1294</v>
      </c>
      <c r="C264">
        <v>2021</v>
      </c>
      <c r="D264">
        <v>8001</v>
      </c>
      <c r="E264">
        <v>1</v>
      </c>
      <c r="F264" t="s">
        <v>1295</v>
      </c>
      <c r="G264">
        <v>30987671</v>
      </c>
      <c r="J264">
        <v>99.36</v>
      </c>
      <c r="L264">
        <v>48849794</v>
      </c>
      <c r="M264" s="1">
        <v>44564</v>
      </c>
      <c r="N264" t="str">
        <f>"RC220208"</f>
        <v>RC220208</v>
      </c>
      <c r="O264" t="s">
        <v>28</v>
      </c>
      <c r="Q264" t="s">
        <v>29</v>
      </c>
      <c r="R264" t="s">
        <v>28</v>
      </c>
      <c r="S264" t="s">
        <v>1296</v>
      </c>
      <c r="T264" t="s">
        <v>1297</v>
      </c>
      <c r="W264" t="s">
        <v>1298</v>
      </c>
      <c r="X264" t="s">
        <v>317</v>
      </c>
      <c r="Y264" t="str">
        <f>"940302102"</f>
        <v>940302102</v>
      </c>
    </row>
    <row r="265" spans="1:25" x14ac:dyDescent="0.25">
      <c r="A265" t="s">
        <v>1299</v>
      </c>
      <c r="B265" t="s">
        <v>1300</v>
      </c>
      <c r="C265">
        <v>2018</v>
      </c>
      <c r="D265">
        <v>8001</v>
      </c>
      <c r="E265">
        <v>1</v>
      </c>
      <c r="F265" t="s">
        <v>1301</v>
      </c>
      <c r="G265">
        <v>26325658</v>
      </c>
      <c r="J265">
        <v>62.39</v>
      </c>
      <c r="L265">
        <v>41540616</v>
      </c>
      <c r="M265" s="1">
        <v>43718</v>
      </c>
      <c r="N265" t="str">
        <f>"J190910AW1"</f>
        <v>J190910AW1</v>
      </c>
      <c r="O265" t="s">
        <v>28</v>
      </c>
      <c r="Q265" t="s">
        <v>29</v>
      </c>
      <c r="R265" t="s">
        <v>28</v>
      </c>
      <c r="S265" t="s">
        <v>1302</v>
      </c>
      <c r="T265" t="s">
        <v>1303</v>
      </c>
      <c r="W265" t="s">
        <v>75</v>
      </c>
      <c r="X265" t="s">
        <v>34</v>
      </c>
      <c r="Y265" t="str">
        <f>"77084"</f>
        <v>77084</v>
      </c>
    </row>
    <row r="266" spans="1:25" x14ac:dyDescent="0.25">
      <c r="A266" t="s">
        <v>1304</v>
      </c>
      <c r="B266" t="s">
        <v>1305</v>
      </c>
      <c r="C266">
        <v>2020</v>
      </c>
      <c r="D266">
        <v>8001</v>
      </c>
      <c r="E266">
        <v>1</v>
      </c>
      <c r="F266" t="s">
        <v>1306</v>
      </c>
      <c r="G266">
        <v>1559718</v>
      </c>
      <c r="J266" s="2">
        <v>2421.37</v>
      </c>
      <c r="L266">
        <v>47716788</v>
      </c>
      <c r="M266" s="1">
        <v>44434</v>
      </c>
      <c r="N266" t="str">
        <f>"RC210830"</f>
        <v>RC210830</v>
      </c>
      <c r="O266" t="s">
        <v>28</v>
      </c>
      <c r="Q266" t="s">
        <v>29</v>
      </c>
      <c r="R266" t="s">
        <v>28</v>
      </c>
      <c r="S266" t="s">
        <v>1307</v>
      </c>
      <c r="T266" t="s">
        <v>1308</v>
      </c>
      <c r="W266" t="s">
        <v>40</v>
      </c>
      <c r="X266" t="s">
        <v>34</v>
      </c>
      <c r="Y266" t="str">
        <f>"77479"</f>
        <v>77479</v>
      </c>
    </row>
    <row r="267" spans="1:25" x14ac:dyDescent="0.25">
      <c r="A267" t="s">
        <v>1309</v>
      </c>
      <c r="B267" t="s">
        <v>1310</v>
      </c>
      <c r="C267">
        <v>2019</v>
      </c>
      <c r="D267">
        <v>8001</v>
      </c>
      <c r="E267">
        <v>1</v>
      </c>
      <c r="F267" t="s">
        <v>1311</v>
      </c>
      <c r="G267">
        <v>0</v>
      </c>
      <c r="J267">
        <v>21.74</v>
      </c>
      <c r="L267">
        <v>43915123</v>
      </c>
      <c r="M267" s="1">
        <v>43900</v>
      </c>
      <c r="N267" t="str">
        <f>"J200310AW3"</f>
        <v>J200310AW3</v>
      </c>
      <c r="O267" t="s">
        <v>28</v>
      </c>
      <c r="Q267" t="s">
        <v>29</v>
      </c>
      <c r="R267" t="s">
        <v>28</v>
      </c>
      <c r="S267" t="s">
        <v>1311</v>
      </c>
      <c r="T267" t="s">
        <v>1312</v>
      </c>
      <c r="U267" t="s">
        <v>60</v>
      </c>
      <c r="V267" t="s">
        <v>60</v>
      </c>
      <c r="W267" t="s">
        <v>135</v>
      </c>
      <c r="X267" t="s">
        <v>34</v>
      </c>
      <c r="Y267" t="str">
        <f>"770635239   "</f>
        <v xml:space="preserve">770635239   </v>
      </c>
    </row>
    <row r="268" spans="1:25" x14ac:dyDescent="0.25">
      <c r="A268" t="s">
        <v>1313</v>
      </c>
      <c r="B268" t="s">
        <v>1314</v>
      </c>
      <c r="C268">
        <v>2020</v>
      </c>
      <c r="D268">
        <v>8001</v>
      </c>
      <c r="E268">
        <v>1</v>
      </c>
      <c r="F268" t="s">
        <v>1315</v>
      </c>
      <c r="G268">
        <v>24401797</v>
      </c>
      <c r="J268">
        <v>810.39</v>
      </c>
      <c r="L268">
        <v>46195077</v>
      </c>
      <c r="M268" s="1">
        <v>44218</v>
      </c>
      <c r="N268" t="str">
        <f>"RC210211"</f>
        <v>RC210211</v>
      </c>
      <c r="O268" t="s">
        <v>28</v>
      </c>
      <c r="Q268" t="s">
        <v>29</v>
      </c>
      <c r="R268" t="s">
        <v>28</v>
      </c>
      <c r="S268" t="s">
        <v>1316</v>
      </c>
      <c r="T268" t="s">
        <v>1317</v>
      </c>
      <c r="W268" t="s">
        <v>75</v>
      </c>
      <c r="X268" t="s">
        <v>34</v>
      </c>
      <c r="Y268" t="str">
        <f>"77099"</f>
        <v>77099</v>
      </c>
    </row>
    <row r="269" spans="1:25" x14ac:dyDescent="0.25">
      <c r="A269" t="s">
        <v>1318</v>
      </c>
      <c r="B269" t="s">
        <v>1319</v>
      </c>
      <c r="C269">
        <v>2020</v>
      </c>
      <c r="D269">
        <v>8001</v>
      </c>
      <c r="E269">
        <v>3</v>
      </c>
      <c r="F269" t="s">
        <v>1320</v>
      </c>
      <c r="G269">
        <v>29855876</v>
      </c>
      <c r="J269">
        <v>20.99</v>
      </c>
      <c r="L269">
        <v>47493673</v>
      </c>
      <c r="M269" s="1">
        <v>44350</v>
      </c>
      <c r="N269" t="str">
        <f>"EK210603"</f>
        <v>EK210603</v>
      </c>
      <c r="O269" t="s">
        <v>28</v>
      </c>
      <c r="Q269" t="s">
        <v>29</v>
      </c>
      <c r="R269" t="s">
        <v>28</v>
      </c>
      <c r="S269" t="s">
        <v>1321</v>
      </c>
      <c r="T269" t="s">
        <v>1322</v>
      </c>
      <c r="W269" t="s">
        <v>81</v>
      </c>
      <c r="X269" t="s">
        <v>34</v>
      </c>
      <c r="Y269" t="str">
        <f>"77406"</f>
        <v>77406</v>
      </c>
    </row>
    <row r="270" spans="1:25" x14ac:dyDescent="0.25">
      <c r="A270" t="s">
        <v>1323</v>
      </c>
      <c r="B270" t="s">
        <v>1324</v>
      </c>
      <c r="C270">
        <v>2018</v>
      </c>
      <c r="D270">
        <v>8001</v>
      </c>
      <c r="E270">
        <v>1</v>
      </c>
      <c r="F270" t="s">
        <v>1325</v>
      </c>
      <c r="G270">
        <v>26513417</v>
      </c>
      <c r="J270">
        <v>74.650000000000006</v>
      </c>
      <c r="L270">
        <v>40928491</v>
      </c>
      <c r="M270" s="1">
        <v>43535</v>
      </c>
      <c r="N270" t="str">
        <f>"J190311AW7"</f>
        <v>J190311AW7</v>
      </c>
      <c r="O270" t="s">
        <v>28</v>
      </c>
      <c r="Q270" t="s">
        <v>29</v>
      </c>
      <c r="R270" t="s">
        <v>28</v>
      </c>
      <c r="S270" t="s">
        <v>1326</v>
      </c>
      <c r="T270" t="s">
        <v>1327</v>
      </c>
      <c r="W270" t="s">
        <v>1328</v>
      </c>
      <c r="X270" t="s">
        <v>162</v>
      </c>
      <c r="Y270" t="str">
        <f>"080541210"</f>
        <v>080541210</v>
      </c>
    </row>
    <row r="271" spans="1:25" x14ac:dyDescent="0.25">
      <c r="A271" t="s">
        <v>1329</v>
      </c>
      <c r="B271" t="s">
        <v>1330</v>
      </c>
      <c r="C271">
        <v>2020</v>
      </c>
      <c r="D271">
        <v>8001</v>
      </c>
      <c r="E271">
        <v>3</v>
      </c>
      <c r="F271" t="s">
        <v>1331</v>
      </c>
      <c r="G271">
        <v>0</v>
      </c>
      <c r="J271">
        <v>146.01</v>
      </c>
      <c r="L271">
        <v>46557914</v>
      </c>
      <c r="M271" s="1">
        <v>44228</v>
      </c>
      <c r="N271" t="str">
        <f>"O210201BK7"</f>
        <v>O210201BK7</v>
      </c>
      <c r="O271" t="s">
        <v>28</v>
      </c>
      <c r="Q271" t="s">
        <v>29</v>
      </c>
      <c r="R271" t="s">
        <v>28</v>
      </c>
      <c r="S271" t="s">
        <v>1331</v>
      </c>
      <c r="T271" t="s">
        <v>1332</v>
      </c>
      <c r="U271" t="s">
        <v>60</v>
      </c>
      <c r="V271" t="s">
        <v>60</v>
      </c>
      <c r="W271" t="s">
        <v>1333</v>
      </c>
      <c r="X271" t="s">
        <v>34</v>
      </c>
      <c r="Y271" t="str">
        <f>"774593751   "</f>
        <v xml:space="preserve">774593751   </v>
      </c>
    </row>
    <row r="272" spans="1:25" x14ac:dyDescent="0.25">
      <c r="A272" t="s">
        <v>1334</v>
      </c>
      <c r="B272" t="s">
        <v>1335</v>
      </c>
      <c r="C272">
        <v>2021</v>
      </c>
      <c r="D272">
        <v>8001</v>
      </c>
      <c r="E272">
        <v>2</v>
      </c>
      <c r="F272" t="s">
        <v>1336</v>
      </c>
      <c r="G272">
        <v>0</v>
      </c>
      <c r="J272">
        <v>42.25</v>
      </c>
      <c r="L272">
        <v>50199632</v>
      </c>
      <c r="M272" s="1">
        <v>44613</v>
      </c>
      <c r="N272" t="str">
        <f>"O220221AO1"</f>
        <v>O220221AO1</v>
      </c>
      <c r="O272" t="s">
        <v>28</v>
      </c>
      <c r="Q272" t="s">
        <v>29</v>
      </c>
      <c r="R272" t="s">
        <v>28</v>
      </c>
      <c r="S272" t="s">
        <v>1336</v>
      </c>
      <c r="T272" t="s">
        <v>1337</v>
      </c>
      <c r="U272" t="s">
        <v>1338</v>
      </c>
      <c r="V272" t="s">
        <v>1339</v>
      </c>
      <c r="W272" t="s">
        <v>135</v>
      </c>
      <c r="X272" t="s">
        <v>34</v>
      </c>
      <c r="Y272" t="str">
        <f>"770772383   "</f>
        <v xml:space="preserve">770772383   </v>
      </c>
    </row>
    <row r="273" spans="1:25" x14ac:dyDescent="0.25">
      <c r="A273" t="s">
        <v>1340</v>
      </c>
      <c r="B273" t="s">
        <v>1341</v>
      </c>
      <c r="C273">
        <v>2020</v>
      </c>
      <c r="D273">
        <v>8001</v>
      </c>
      <c r="E273">
        <v>1</v>
      </c>
      <c r="F273" t="s">
        <v>1342</v>
      </c>
      <c r="G273">
        <v>0</v>
      </c>
      <c r="J273">
        <v>447.88</v>
      </c>
      <c r="L273">
        <v>44967912</v>
      </c>
      <c r="M273" s="1">
        <v>44158</v>
      </c>
      <c r="N273" t="str">
        <f>"J201123U3"</f>
        <v>J201123U3</v>
      </c>
      <c r="O273" t="s">
        <v>28</v>
      </c>
      <c r="Q273" t="s">
        <v>29</v>
      </c>
      <c r="R273" t="s">
        <v>28</v>
      </c>
      <c r="S273" t="s">
        <v>1342</v>
      </c>
      <c r="T273" t="s">
        <v>1343</v>
      </c>
      <c r="U273" t="s">
        <v>60</v>
      </c>
      <c r="V273" t="s">
        <v>60</v>
      </c>
      <c r="W273" t="s">
        <v>214</v>
      </c>
      <c r="X273" t="s">
        <v>34</v>
      </c>
      <c r="Y273" t="str">
        <f>"774692077   "</f>
        <v xml:space="preserve">774692077   </v>
      </c>
    </row>
    <row r="274" spans="1:25" x14ac:dyDescent="0.25">
      <c r="A274" t="s">
        <v>1344</v>
      </c>
      <c r="B274" t="s">
        <v>1345</v>
      </c>
      <c r="C274">
        <v>2021</v>
      </c>
      <c r="D274">
        <v>8001</v>
      </c>
      <c r="E274">
        <v>3</v>
      </c>
      <c r="F274" t="s">
        <v>1346</v>
      </c>
      <c r="G274">
        <v>30951669</v>
      </c>
      <c r="J274">
        <v>210.03</v>
      </c>
      <c r="L274">
        <v>50012406</v>
      </c>
      <c r="M274" s="1">
        <v>44596</v>
      </c>
      <c r="N274" t="str">
        <f>"CC220204"</f>
        <v>CC220204</v>
      </c>
      <c r="O274" t="s">
        <v>28</v>
      </c>
      <c r="Q274" t="s">
        <v>29</v>
      </c>
      <c r="R274" t="s">
        <v>28</v>
      </c>
      <c r="S274" t="s">
        <v>1347</v>
      </c>
      <c r="T274" t="s">
        <v>1348</v>
      </c>
      <c r="W274" t="s">
        <v>81</v>
      </c>
      <c r="X274" t="s">
        <v>34</v>
      </c>
      <c r="Y274" t="str">
        <f>"77469"</f>
        <v>77469</v>
      </c>
    </row>
    <row r="275" spans="1:25" x14ac:dyDescent="0.25">
      <c r="A275" t="s">
        <v>1349</v>
      </c>
      <c r="B275" t="s">
        <v>1350</v>
      </c>
      <c r="C275">
        <v>2020</v>
      </c>
      <c r="D275">
        <v>8001</v>
      </c>
      <c r="E275">
        <v>4</v>
      </c>
      <c r="F275" t="s">
        <v>1351</v>
      </c>
      <c r="G275">
        <v>0</v>
      </c>
      <c r="J275">
        <v>129.66</v>
      </c>
      <c r="L275">
        <v>47646660</v>
      </c>
      <c r="M275" s="1">
        <v>44405</v>
      </c>
      <c r="N275" t="str">
        <f>"J210728K1"</f>
        <v>J210728K1</v>
      </c>
      <c r="O275" t="s">
        <v>28</v>
      </c>
      <c r="Q275" t="s">
        <v>29</v>
      </c>
      <c r="R275" t="s">
        <v>28</v>
      </c>
      <c r="S275" t="s">
        <v>1351</v>
      </c>
      <c r="T275" t="s">
        <v>1352</v>
      </c>
      <c r="U275" t="s">
        <v>60</v>
      </c>
      <c r="V275" t="s">
        <v>60</v>
      </c>
      <c r="W275" t="s">
        <v>649</v>
      </c>
      <c r="X275" t="s">
        <v>34</v>
      </c>
      <c r="Y275" t="str">
        <f>"774692091   "</f>
        <v xml:space="preserve">774692091   </v>
      </c>
    </row>
    <row r="276" spans="1:25" x14ac:dyDescent="0.25">
      <c r="A276" t="s">
        <v>1353</v>
      </c>
      <c r="B276" t="s">
        <v>1354</v>
      </c>
      <c r="C276">
        <v>2019</v>
      </c>
      <c r="D276">
        <v>8001</v>
      </c>
      <c r="E276">
        <v>1</v>
      </c>
      <c r="F276" t="s">
        <v>1355</v>
      </c>
      <c r="G276">
        <v>0</v>
      </c>
      <c r="J276">
        <v>79.510000000000005</v>
      </c>
      <c r="L276">
        <v>43130771</v>
      </c>
      <c r="M276" s="1">
        <v>43854</v>
      </c>
      <c r="N276" t="str">
        <f>"J200124AW1"</f>
        <v>J200124AW1</v>
      </c>
      <c r="O276" t="s">
        <v>28</v>
      </c>
      <c r="Q276" t="s">
        <v>29</v>
      </c>
      <c r="R276" t="s">
        <v>28</v>
      </c>
      <c r="S276" t="s">
        <v>1355</v>
      </c>
      <c r="T276" t="s">
        <v>1356</v>
      </c>
      <c r="U276" t="s">
        <v>60</v>
      </c>
      <c r="V276" t="s">
        <v>60</v>
      </c>
      <c r="W276" t="s">
        <v>214</v>
      </c>
      <c r="X276" t="s">
        <v>34</v>
      </c>
      <c r="Y276" t="str">
        <f>"774692482   "</f>
        <v xml:space="preserve">774692482   </v>
      </c>
    </row>
    <row r="277" spans="1:25" x14ac:dyDescent="0.25">
      <c r="A277" t="s">
        <v>1357</v>
      </c>
      <c r="B277" t="s">
        <v>1358</v>
      </c>
      <c r="C277">
        <v>2020</v>
      </c>
      <c r="D277">
        <v>8001</v>
      </c>
      <c r="E277">
        <v>1</v>
      </c>
      <c r="F277" t="s">
        <v>1359</v>
      </c>
      <c r="G277">
        <v>0</v>
      </c>
      <c r="J277" s="2">
        <v>2780</v>
      </c>
      <c r="L277">
        <v>46887864</v>
      </c>
      <c r="M277" s="1">
        <v>44236</v>
      </c>
      <c r="N277" t="str">
        <f>"L210209"</f>
        <v>L210209</v>
      </c>
      <c r="O277" t="s">
        <v>28</v>
      </c>
      <c r="Q277" t="s">
        <v>29</v>
      </c>
      <c r="R277" t="s">
        <v>28</v>
      </c>
      <c r="S277" t="s">
        <v>1359</v>
      </c>
      <c r="T277" t="s">
        <v>1360</v>
      </c>
      <c r="U277" t="s">
        <v>1361</v>
      </c>
      <c r="V277" t="s">
        <v>60</v>
      </c>
      <c r="W277" t="s">
        <v>135</v>
      </c>
      <c r="X277" t="s">
        <v>34</v>
      </c>
      <c r="Y277" t="str">
        <f>"770403253   "</f>
        <v xml:space="preserve">770403253   </v>
      </c>
    </row>
    <row r="278" spans="1:25" x14ac:dyDescent="0.25">
      <c r="A278" t="s">
        <v>1362</v>
      </c>
      <c r="B278" t="s">
        <v>1363</v>
      </c>
      <c r="C278">
        <v>2020</v>
      </c>
      <c r="D278">
        <v>8001</v>
      </c>
      <c r="E278">
        <v>1</v>
      </c>
      <c r="F278" t="s">
        <v>1364</v>
      </c>
      <c r="G278">
        <v>0</v>
      </c>
      <c r="J278">
        <v>485.47</v>
      </c>
      <c r="L278">
        <v>46463553</v>
      </c>
      <c r="M278" s="1">
        <v>44224</v>
      </c>
      <c r="N278" t="str">
        <f>"EL210128"</f>
        <v>EL210128</v>
      </c>
      <c r="O278" t="s">
        <v>28</v>
      </c>
      <c r="Q278" t="s">
        <v>29</v>
      </c>
      <c r="R278" t="s">
        <v>28</v>
      </c>
      <c r="S278" t="s">
        <v>1364</v>
      </c>
      <c r="T278" t="s">
        <v>1365</v>
      </c>
      <c r="U278" t="s">
        <v>60</v>
      </c>
      <c r="V278" t="s">
        <v>60</v>
      </c>
      <c r="W278" t="s">
        <v>273</v>
      </c>
      <c r="X278" t="s">
        <v>34</v>
      </c>
      <c r="Y278" t="str">
        <f>"774411741   "</f>
        <v xml:space="preserve">774411741   </v>
      </c>
    </row>
    <row r="279" spans="1:25" x14ac:dyDescent="0.25">
      <c r="A279" t="s">
        <v>1366</v>
      </c>
      <c r="B279" t="s">
        <v>1367</v>
      </c>
      <c r="C279">
        <v>2020</v>
      </c>
      <c r="D279">
        <v>8001</v>
      </c>
      <c r="E279">
        <v>5</v>
      </c>
      <c r="F279" t="s">
        <v>1368</v>
      </c>
      <c r="G279">
        <v>28827094</v>
      </c>
      <c r="J279">
        <v>180.06</v>
      </c>
      <c r="L279">
        <v>47154421</v>
      </c>
      <c r="M279" s="1">
        <v>44279</v>
      </c>
      <c r="N279" t="str">
        <f>"RC210401"</f>
        <v>RC210401</v>
      </c>
      <c r="O279" t="s">
        <v>28</v>
      </c>
      <c r="Q279" t="s">
        <v>29</v>
      </c>
      <c r="R279" t="s">
        <v>28</v>
      </c>
      <c r="S279" t="s">
        <v>1369</v>
      </c>
      <c r="T279" t="s">
        <v>1370</v>
      </c>
      <c r="W279" t="s">
        <v>1371</v>
      </c>
      <c r="X279" t="s">
        <v>34</v>
      </c>
      <c r="Y279" t="str">
        <f>"75034"</f>
        <v>75034</v>
      </c>
    </row>
    <row r="280" spans="1:25" x14ac:dyDescent="0.25">
      <c r="A280" t="s">
        <v>1372</v>
      </c>
      <c r="B280" t="s">
        <v>1373</v>
      </c>
      <c r="C280">
        <v>2019</v>
      </c>
      <c r="D280">
        <v>8001</v>
      </c>
      <c r="E280">
        <v>3</v>
      </c>
      <c r="F280" t="s">
        <v>1374</v>
      </c>
      <c r="G280">
        <v>0</v>
      </c>
      <c r="J280">
        <v>10.61</v>
      </c>
      <c r="L280">
        <v>44386378</v>
      </c>
      <c r="M280" s="1">
        <v>44022</v>
      </c>
      <c r="N280" t="str">
        <f>"J200710K1"</f>
        <v>J200710K1</v>
      </c>
      <c r="O280" t="s">
        <v>28</v>
      </c>
      <c r="Q280" t="s">
        <v>29</v>
      </c>
      <c r="R280" t="s">
        <v>28</v>
      </c>
      <c r="S280" t="s">
        <v>1374</v>
      </c>
      <c r="T280" t="s">
        <v>1375</v>
      </c>
      <c r="U280" t="s">
        <v>60</v>
      </c>
      <c r="V280" t="s">
        <v>60</v>
      </c>
      <c r="W280" t="s">
        <v>214</v>
      </c>
      <c r="X280" t="s">
        <v>34</v>
      </c>
      <c r="Y280" t="str">
        <f>"774691504   "</f>
        <v xml:space="preserve">774691504   </v>
      </c>
    </row>
    <row r="281" spans="1:25" x14ac:dyDescent="0.25">
      <c r="A281" t="s">
        <v>1376</v>
      </c>
      <c r="B281" t="s">
        <v>1377</v>
      </c>
      <c r="C281">
        <v>2020</v>
      </c>
      <c r="D281">
        <v>8001</v>
      </c>
      <c r="E281">
        <v>22</v>
      </c>
      <c r="F281" t="s">
        <v>1378</v>
      </c>
      <c r="G281">
        <v>23630242</v>
      </c>
      <c r="J281">
        <v>223.06</v>
      </c>
      <c r="L281">
        <v>44503046</v>
      </c>
      <c r="M281" s="1">
        <v>44147</v>
      </c>
      <c r="N281" t="str">
        <f>"TE201112"</f>
        <v>TE201112</v>
      </c>
      <c r="O281" t="s">
        <v>28</v>
      </c>
      <c r="Q281" t="s">
        <v>29</v>
      </c>
      <c r="R281" t="s">
        <v>28</v>
      </c>
      <c r="S281" t="s">
        <v>1379</v>
      </c>
      <c r="T281" t="s">
        <v>1380</v>
      </c>
      <c r="W281" t="s">
        <v>81</v>
      </c>
      <c r="X281" t="s">
        <v>34</v>
      </c>
      <c r="Y281" t="str">
        <f>"77469"</f>
        <v>77469</v>
      </c>
    </row>
    <row r="282" spans="1:25" x14ac:dyDescent="0.25">
      <c r="A282" t="s">
        <v>1376</v>
      </c>
      <c r="B282" t="s">
        <v>1377</v>
      </c>
      <c r="C282">
        <v>2020</v>
      </c>
      <c r="D282">
        <v>8001</v>
      </c>
      <c r="E282">
        <v>22</v>
      </c>
      <c r="F282" t="s">
        <v>1378</v>
      </c>
      <c r="G282">
        <v>24148889</v>
      </c>
      <c r="J282">
        <v>229.29</v>
      </c>
      <c r="L282">
        <v>44557086</v>
      </c>
      <c r="M282" s="1">
        <v>44147</v>
      </c>
      <c r="N282" t="str">
        <f>"TE201112"</f>
        <v>TE201112</v>
      </c>
      <c r="O282" t="s">
        <v>28</v>
      </c>
      <c r="Q282" t="s">
        <v>29</v>
      </c>
      <c r="R282" t="s">
        <v>28</v>
      </c>
      <c r="S282" t="s">
        <v>1379</v>
      </c>
      <c r="T282" t="s">
        <v>1380</v>
      </c>
      <c r="W282" t="s">
        <v>81</v>
      </c>
      <c r="X282" t="s">
        <v>34</v>
      </c>
      <c r="Y282" t="str">
        <f>"774699261"</f>
        <v>774699261</v>
      </c>
    </row>
    <row r="283" spans="1:25" x14ac:dyDescent="0.25">
      <c r="A283" t="s">
        <v>1381</v>
      </c>
      <c r="B283" t="s">
        <v>1382</v>
      </c>
      <c r="C283">
        <v>2019</v>
      </c>
      <c r="D283">
        <v>8001</v>
      </c>
      <c r="E283">
        <v>1</v>
      </c>
      <c r="F283" t="s">
        <v>1383</v>
      </c>
      <c r="G283">
        <v>26677939</v>
      </c>
      <c r="J283">
        <v>161.30000000000001</v>
      </c>
      <c r="L283">
        <v>44361775</v>
      </c>
      <c r="M283" s="1">
        <v>44014</v>
      </c>
      <c r="N283" t="str">
        <f>"J200702AW1"</f>
        <v>J200702AW1</v>
      </c>
      <c r="O283" t="s">
        <v>28</v>
      </c>
      <c r="Q283" t="s">
        <v>29</v>
      </c>
      <c r="R283" t="s">
        <v>28</v>
      </c>
      <c r="S283" t="s">
        <v>1384</v>
      </c>
      <c r="T283" t="s">
        <v>180</v>
      </c>
      <c r="W283" t="s">
        <v>107</v>
      </c>
      <c r="X283" t="s">
        <v>34</v>
      </c>
      <c r="Y283" t="str">
        <f>"77494"</f>
        <v>77494</v>
      </c>
    </row>
    <row r="284" spans="1:25" x14ac:dyDescent="0.25">
      <c r="A284" t="s">
        <v>1385</v>
      </c>
      <c r="B284" t="s">
        <v>1386</v>
      </c>
      <c r="C284">
        <v>2021</v>
      </c>
      <c r="D284">
        <v>8001</v>
      </c>
      <c r="E284">
        <v>2</v>
      </c>
      <c r="F284" t="s">
        <v>1387</v>
      </c>
      <c r="G284">
        <v>0</v>
      </c>
      <c r="J284">
        <v>10.16</v>
      </c>
      <c r="L284">
        <v>48493496</v>
      </c>
      <c r="M284" s="1">
        <v>44558</v>
      </c>
      <c r="N284" t="str">
        <f>"T211228AZ2"</f>
        <v>T211228AZ2</v>
      </c>
      <c r="O284" t="s">
        <v>260</v>
      </c>
      <c r="Q284" t="s">
        <v>29</v>
      </c>
      <c r="R284" t="s">
        <v>260</v>
      </c>
      <c r="S284" t="s">
        <v>1387</v>
      </c>
      <c r="T284" t="s">
        <v>1388</v>
      </c>
      <c r="U284" t="s">
        <v>60</v>
      </c>
      <c r="V284" t="s">
        <v>60</v>
      </c>
      <c r="W284" t="s">
        <v>1389</v>
      </c>
      <c r="X284" t="s">
        <v>557</v>
      </c>
      <c r="Y284" t="str">
        <f>"068313312   "</f>
        <v xml:space="preserve">068313312   </v>
      </c>
    </row>
    <row r="285" spans="1:25" x14ac:dyDescent="0.25">
      <c r="A285" t="s">
        <v>1390</v>
      </c>
      <c r="B285" t="s">
        <v>1391</v>
      </c>
      <c r="C285">
        <v>2020</v>
      </c>
      <c r="D285">
        <v>8001</v>
      </c>
      <c r="E285">
        <v>1</v>
      </c>
      <c r="F285" t="s">
        <v>1392</v>
      </c>
      <c r="G285">
        <v>28791789</v>
      </c>
      <c r="J285" s="2">
        <v>3501.63</v>
      </c>
      <c r="L285">
        <v>44951771</v>
      </c>
      <c r="M285" s="1">
        <v>44155</v>
      </c>
      <c r="N285" t="str">
        <f>"O201120W1"</f>
        <v>O201120W1</v>
      </c>
      <c r="O285" t="s">
        <v>28</v>
      </c>
      <c r="Q285" t="s">
        <v>29</v>
      </c>
      <c r="R285" t="s">
        <v>28</v>
      </c>
      <c r="S285" t="s">
        <v>1393</v>
      </c>
      <c r="T285" t="s">
        <v>1394</v>
      </c>
      <c r="W285" t="s">
        <v>1075</v>
      </c>
      <c r="X285" t="s">
        <v>34</v>
      </c>
      <c r="Y285" t="str">
        <f>"761771529"</f>
        <v>761771529</v>
      </c>
    </row>
    <row r="286" spans="1:25" x14ac:dyDescent="0.25">
      <c r="A286" t="s">
        <v>1395</v>
      </c>
      <c r="B286" t="s">
        <v>1396</v>
      </c>
      <c r="C286">
        <v>2020</v>
      </c>
      <c r="D286">
        <v>8001</v>
      </c>
      <c r="E286">
        <v>1</v>
      </c>
      <c r="F286" t="s">
        <v>1397</v>
      </c>
      <c r="G286">
        <v>29596038</v>
      </c>
      <c r="J286">
        <v>27.03</v>
      </c>
      <c r="L286">
        <v>47018807</v>
      </c>
      <c r="M286" s="1">
        <v>44258</v>
      </c>
      <c r="N286" t="str">
        <f>"EK210303"</f>
        <v>EK210303</v>
      </c>
      <c r="O286" t="s">
        <v>28</v>
      </c>
      <c r="Q286" t="s">
        <v>29</v>
      </c>
      <c r="R286" t="s">
        <v>28</v>
      </c>
      <c r="S286" t="s">
        <v>1398</v>
      </c>
      <c r="T286" t="s">
        <v>1399</v>
      </c>
      <c r="W286" t="s">
        <v>1400</v>
      </c>
      <c r="X286" t="s">
        <v>34</v>
      </c>
      <c r="Y286" t="str">
        <f>"78520"</f>
        <v>78520</v>
      </c>
    </row>
    <row r="287" spans="1:25" x14ac:dyDescent="0.25">
      <c r="A287" t="s">
        <v>1401</v>
      </c>
      <c r="B287" t="s">
        <v>1402</v>
      </c>
      <c r="C287">
        <v>2020</v>
      </c>
      <c r="D287">
        <v>8001</v>
      </c>
      <c r="E287">
        <v>1</v>
      </c>
      <c r="F287" t="s">
        <v>1403</v>
      </c>
      <c r="G287">
        <v>29859258</v>
      </c>
      <c r="J287">
        <v>9.73</v>
      </c>
      <c r="L287">
        <v>47500757</v>
      </c>
      <c r="M287" s="1">
        <v>44351</v>
      </c>
      <c r="N287" t="str">
        <f>"CC210604"</f>
        <v>CC210604</v>
      </c>
      <c r="O287" t="s">
        <v>28</v>
      </c>
      <c r="Q287" t="s">
        <v>29</v>
      </c>
      <c r="R287" t="s">
        <v>28</v>
      </c>
      <c r="S287" t="s">
        <v>1404</v>
      </c>
      <c r="T287" t="s">
        <v>1405</v>
      </c>
      <c r="W287" t="s">
        <v>430</v>
      </c>
      <c r="X287" t="s">
        <v>34</v>
      </c>
      <c r="Y287" t="str">
        <f>"77485"</f>
        <v>77485</v>
      </c>
    </row>
    <row r="288" spans="1:25" x14ac:dyDescent="0.25">
      <c r="A288" t="s">
        <v>1406</v>
      </c>
      <c r="B288" t="s">
        <v>1407</v>
      </c>
      <c r="C288">
        <v>2020</v>
      </c>
      <c r="D288">
        <v>8001</v>
      </c>
      <c r="E288">
        <v>2</v>
      </c>
      <c r="F288" t="s">
        <v>1408</v>
      </c>
      <c r="G288">
        <v>0</v>
      </c>
      <c r="J288">
        <v>412.14</v>
      </c>
      <c r="L288">
        <v>47319197</v>
      </c>
      <c r="M288" s="1">
        <v>44307</v>
      </c>
      <c r="N288" t="str">
        <f>"J210421AE3"</f>
        <v>J210421AE3</v>
      </c>
      <c r="O288" t="s">
        <v>28</v>
      </c>
      <c r="Q288" t="s">
        <v>29</v>
      </c>
      <c r="R288" t="s">
        <v>28</v>
      </c>
      <c r="S288" t="s">
        <v>1408</v>
      </c>
      <c r="T288" t="s">
        <v>1409</v>
      </c>
      <c r="U288" t="s">
        <v>1410</v>
      </c>
      <c r="V288" t="s">
        <v>60</v>
      </c>
      <c r="W288" t="s">
        <v>1411</v>
      </c>
      <c r="X288" t="s">
        <v>317</v>
      </c>
      <c r="Y288" t="str">
        <f>"928065951   "</f>
        <v xml:space="preserve">928065951   </v>
      </c>
    </row>
    <row r="289" spans="1:25" x14ac:dyDescent="0.25">
      <c r="A289" t="s">
        <v>1412</v>
      </c>
      <c r="B289" t="s">
        <v>1413</v>
      </c>
      <c r="C289">
        <v>2020</v>
      </c>
      <c r="D289">
        <v>8001</v>
      </c>
      <c r="E289">
        <v>1</v>
      </c>
      <c r="F289" t="s">
        <v>1414</v>
      </c>
      <c r="G289">
        <v>21839506</v>
      </c>
      <c r="J289">
        <v>38.020000000000003</v>
      </c>
      <c r="L289">
        <v>46861494</v>
      </c>
      <c r="M289" s="1">
        <v>44235</v>
      </c>
      <c r="N289" t="str">
        <f>"RC210304"</f>
        <v>RC210304</v>
      </c>
      <c r="O289" t="s">
        <v>28</v>
      </c>
      <c r="Q289" t="s">
        <v>29</v>
      </c>
      <c r="R289" t="s">
        <v>28</v>
      </c>
      <c r="S289" t="s">
        <v>1415</v>
      </c>
      <c r="T289" t="s">
        <v>1416</v>
      </c>
      <c r="U289" t="s">
        <v>435</v>
      </c>
      <c r="W289" t="s">
        <v>1417</v>
      </c>
      <c r="X289" t="s">
        <v>34</v>
      </c>
      <c r="Y289" t="str">
        <f>"774640394"</f>
        <v>774640394</v>
      </c>
    </row>
    <row r="290" spans="1:25" x14ac:dyDescent="0.25">
      <c r="A290" t="s">
        <v>1418</v>
      </c>
      <c r="B290" t="s">
        <v>1419</v>
      </c>
      <c r="C290">
        <v>2020</v>
      </c>
      <c r="D290">
        <v>8001</v>
      </c>
      <c r="E290">
        <v>1</v>
      </c>
      <c r="F290" t="s">
        <v>1420</v>
      </c>
      <c r="G290">
        <v>23309068</v>
      </c>
      <c r="J290">
        <v>29.25</v>
      </c>
      <c r="L290">
        <v>45004190</v>
      </c>
      <c r="M290" s="1">
        <v>44165</v>
      </c>
      <c r="N290" t="str">
        <f>"O201130AB1"</f>
        <v>O201130AB1</v>
      </c>
      <c r="O290" t="s">
        <v>28</v>
      </c>
      <c r="Q290" t="s">
        <v>29</v>
      </c>
      <c r="R290" t="s">
        <v>28</v>
      </c>
      <c r="S290" t="s">
        <v>1421</v>
      </c>
      <c r="T290" t="s">
        <v>1422</v>
      </c>
      <c r="W290" t="s">
        <v>75</v>
      </c>
      <c r="X290" t="s">
        <v>34</v>
      </c>
      <c r="Y290" t="str">
        <f>"770556942"</f>
        <v>770556942</v>
      </c>
    </row>
    <row r="291" spans="1:25" x14ac:dyDescent="0.25">
      <c r="A291" t="s">
        <v>1423</v>
      </c>
      <c r="B291" t="s">
        <v>1424</v>
      </c>
      <c r="C291">
        <v>2020</v>
      </c>
      <c r="D291">
        <v>8001</v>
      </c>
      <c r="E291">
        <v>1</v>
      </c>
      <c r="F291" t="s">
        <v>1425</v>
      </c>
      <c r="G291">
        <v>29177236</v>
      </c>
      <c r="J291">
        <v>73.569999999999993</v>
      </c>
      <c r="L291">
        <v>46861477</v>
      </c>
      <c r="M291" s="1">
        <v>44235</v>
      </c>
      <c r="N291" t="str">
        <f>"RC210304"</f>
        <v>RC210304</v>
      </c>
      <c r="O291" t="s">
        <v>28</v>
      </c>
      <c r="Q291" t="s">
        <v>29</v>
      </c>
      <c r="R291" t="s">
        <v>28</v>
      </c>
      <c r="S291" t="s">
        <v>1426</v>
      </c>
      <c r="T291" t="s">
        <v>1427</v>
      </c>
      <c r="W291" t="s">
        <v>193</v>
      </c>
      <c r="X291" t="s">
        <v>34</v>
      </c>
      <c r="Y291" t="str">
        <f>"77441"</f>
        <v>77441</v>
      </c>
    </row>
    <row r="292" spans="1:25" x14ac:dyDescent="0.25">
      <c r="A292" t="s">
        <v>1428</v>
      </c>
      <c r="B292" t="s">
        <v>1429</v>
      </c>
      <c r="C292">
        <v>2020</v>
      </c>
      <c r="D292">
        <v>8001</v>
      </c>
      <c r="E292">
        <v>1</v>
      </c>
      <c r="F292" t="s">
        <v>1430</v>
      </c>
      <c r="G292">
        <v>20097087</v>
      </c>
      <c r="J292">
        <v>157.58000000000001</v>
      </c>
      <c r="L292">
        <v>47055350</v>
      </c>
      <c r="M292" s="1">
        <v>44263</v>
      </c>
      <c r="N292" t="str">
        <f>"RC210317"</f>
        <v>RC210317</v>
      </c>
      <c r="O292" t="s">
        <v>28</v>
      </c>
      <c r="Q292" t="s">
        <v>29</v>
      </c>
      <c r="R292" t="s">
        <v>28</v>
      </c>
      <c r="S292" t="s">
        <v>1431</v>
      </c>
      <c r="T292" t="s">
        <v>1432</v>
      </c>
      <c r="W292" t="s">
        <v>40</v>
      </c>
      <c r="X292" t="s">
        <v>34</v>
      </c>
      <c r="Y292" t="str">
        <f>"77478"</f>
        <v>77478</v>
      </c>
    </row>
    <row r="293" spans="1:25" x14ac:dyDescent="0.25">
      <c r="A293" t="s">
        <v>1433</v>
      </c>
      <c r="B293" t="s">
        <v>1434</v>
      </c>
      <c r="C293">
        <v>2020</v>
      </c>
      <c r="D293">
        <v>8001</v>
      </c>
      <c r="E293">
        <v>1</v>
      </c>
      <c r="F293" t="s">
        <v>1435</v>
      </c>
      <c r="G293">
        <v>25823726</v>
      </c>
      <c r="J293">
        <v>24.06</v>
      </c>
      <c r="L293">
        <v>45681013</v>
      </c>
      <c r="M293" s="1">
        <v>44201</v>
      </c>
      <c r="N293" t="str">
        <f>"RC210119"</f>
        <v>RC210119</v>
      </c>
      <c r="O293" t="s">
        <v>28</v>
      </c>
      <c r="Q293" t="s">
        <v>29</v>
      </c>
      <c r="R293" t="s">
        <v>28</v>
      </c>
      <c r="S293" t="s">
        <v>1436</v>
      </c>
      <c r="T293" t="s">
        <v>203</v>
      </c>
      <c r="U293" t="s">
        <v>1437</v>
      </c>
      <c r="W293" t="s">
        <v>75</v>
      </c>
      <c r="X293" t="s">
        <v>34</v>
      </c>
      <c r="Y293" t="str">
        <f>"770141024"</f>
        <v>770141024</v>
      </c>
    </row>
    <row r="294" spans="1:25" x14ac:dyDescent="0.25">
      <c r="A294" t="s">
        <v>1438</v>
      </c>
      <c r="B294" t="s">
        <v>1439</v>
      </c>
      <c r="C294">
        <v>2020</v>
      </c>
      <c r="D294">
        <v>8001</v>
      </c>
      <c r="E294">
        <v>24</v>
      </c>
      <c r="F294" t="s">
        <v>1440</v>
      </c>
      <c r="G294">
        <v>21173310</v>
      </c>
      <c r="J294">
        <v>19.75</v>
      </c>
      <c r="L294">
        <v>44548209</v>
      </c>
      <c r="M294" s="1">
        <v>44147</v>
      </c>
      <c r="N294" t="str">
        <f>"TE201112"</f>
        <v>TE201112</v>
      </c>
      <c r="O294" t="s">
        <v>28</v>
      </c>
      <c r="Q294" t="s">
        <v>29</v>
      </c>
      <c r="R294" t="s">
        <v>28</v>
      </c>
      <c r="S294" t="s">
        <v>1441</v>
      </c>
      <c r="T294" t="s">
        <v>1442</v>
      </c>
      <c r="W294" t="s">
        <v>154</v>
      </c>
      <c r="X294" t="s">
        <v>34</v>
      </c>
      <c r="Y294" t="str">
        <f>"77471"</f>
        <v>77471</v>
      </c>
    </row>
    <row r="295" spans="1:25" x14ac:dyDescent="0.25">
      <c r="A295" t="s">
        <v>1443</v>
      </c>
      <c r="B295" t="s">
        <v>1444</v>
      </c>
      <c r="C295">
        <v>2020</v>
      </c>
      <c r="D295">
        <v>8001</v>
      </c>
      <c r="E295">
        <v>4</v>
      </c>
      <c r="F295" t="s">
        <v>1445</v>
      </c>
      <c r="G295">
        <v>0</v>
      </c>
      <c r="J295">
        <v>95.06</v>
      </c>
      <c r="L295">
        <v>47614432</v>
      </c>
      <c r="M295" s="1">
        <v>44393</v>
      </c>
      <c r="N295" t="str">
        <f>"J210716K9"</f>
        <v>J210716K9</v>
      </c>
      <c r="O295" t="s">
        <v>28</v>
      </c>
      <c r="Q295" t="s">
        <v>29</v>
      </c>
      <c r="R295" t="s">
        <v>28</v>
      </c>
      <c r="S295" t="s">
        <v>1445</v>
      </c>
      <c r="T295" t="s">
        <v>1446</v>
      </c>
      <c r="U295" t="s">
        <v>60</v>
      </c>
      <c r="V295" t="s">
        <v>60</v>
      </c>
      <c r="W295" t="s">
        <v>1333</v>
      </c>
      <c r="X295" t="s">
        <v>34</v>
      </c>
      <c r="Y295" t="str">
        <f>"774892628   "</f>
        <v xml:space="preserve">774892628   </v>
      </c>
    </row>
    <row r="296" spans="1:25" x14ac:dyDescent="0.25">
      <c r="A296" t="s">
        <v>1447</v>
      </c>
      <c r="B296" t="s">
        <v>1448</v>
      </c>
      <c r="C296">
        <v>2020</v>
      </c>
      <c r="D296">
        <v>8001</v>
      </c>
      <c r="E296">
        <v>1</v>
      </c>
      <c r="F296" t="s">
        <v>1449</v>
      </c>
      <c r="G296">
        <v>29576637</v>
      </c>
      <c r="J296">
        <v>87.24</v>
      </c>
      <c r="L296">
        <v>46685991</v>
      </c>
      <c r="M296" s="1">
        <v>44229</v>
      </c>
      <c r="N296" t="str">
        <f>"RC210301"</f>
        <v>RC210301</v>
      </c>
      <c r="O296" t="s">
        <v>28</v>
      </c>
      <c r="Q296" t="s">
        <v>29</v>
      </c>
      <c r="R296" t="s">
        <v>28</v>
      </c>
      <c r="S296" t="s">
        <v>1393</v>
      </c>
      <c r="T296" t="s">
        <v>1450</v>
      </c>
      <c r="W296" t="s">
        <v>1075</v>
      </c>
      <c r="X296" t="s">
        <v>34</v>
      </c>
      <c r="Y296" t="str">
        <f>"76177"</f>
        <v>76177</v>
      </c>
    </row>
    <row r="297" spans="1:25" x14ac:dyDescent="0.25">
      <c r="A297" t="s">
        <v>1451</v>
      </c>
      <c r="B297" t="s">
        <v>1452</v>
      </c>
      <c r="C297">
        <v>2020</v>
      </c>
      <c r="D297">
        <v>8001</v>
      </c>
      <c r="E297">
        <v>2</v>
      </c>
      <c r="F297" t="s">
        <v>1453</v>
      </c>
      <c r="G297">
        <v>21600983</v>
      </c>
      <c r="J297">
        <v>42.95</v>
      </c>
      <c r="L297">
        <v>47203660</v>
      </c>
      <c r="M297" s="1">
        <v>44285</v>
      </c>
      <c r="N297" t="str">
        <f>"RC210414"</f>
        <v>RC210414</v>
      </c>
      <c r="O297" t="s">
        <v>28</v>
      </c>
      <c r="Q297" t="s">
        <v>29</v>
      </c>
      <c r="R297" t="s">
        <v>28</v>
      </c>
      <c r="S297" t="s">
        <v>1454</v>
      </c>
      <c r="T297" t="s">
        <v>1455</v>
      </c>
      <c r="W297" t="s">
        <v>1456</v>
      </c>
      <c r="X297" t="s">
        <v>1457</v>
      </c>
      <c r="Y297" t="str">
        <f>"234504968"</f>
        <v>234504968</v>
      </c>
    </row>
    <row r="298" spans="1:25" x14ac:dyDescent="0.25">
      <c r="A298" t="s">
        <v>1458</v>
      </c>
      <c r="B298" t="s">
        <v>1459</v>
      </c>
      <c r="C298">
        <v>2020</v>
      </c>
      <c r="D298">
        <v>8001</v>
      </c>
      <c r="E298">
        <v>1</v>
      </c>
      <c r="F298" t="s">
        <v>1460</v>
      </c>
      <c r="G298">
        <v>0</v>
      </c>
      <c r="J298">
        <v>32.93</v>
      </c>
      <c r="L298">
        <v>47506485</v>
      </c>
      <c r="M298" s="1">
        <v>44354</v>
      </c>
      <c r="N298" t="str">
        <f>"J210607BW3"</f>
        <v>J210607BW3</v>
      </c>
      <c r="O298" t="s">
        <v>28</v>
      </c>
      <c r="Q298" t="s">
        <v>29</v>
      </c>
      <c r="R298" t="s">
        <v>28</v>
      </c>
      <c r="S298" t="s">
        <v>1460</v>
      </c>
      <c r="T298" t="s">
        <v>1461</v>
      </c>
      <c r="U298" t="s">
        <v>60</v>
      </c>
      <c r="V298" t="s">
        <v>60</v>
      </c>
      <c r="W298" t="s">
        <v>1333</v>
      </c>
      <c r="X298" t="s">
        <v>34</v>
      </c>
      <c r="Y298" t="str">
        <f>"774892611   "</f>
        <v xml:space="preserve">774892611   </v>
      </c>
    </row>
    <row r="299" spans="1:25" x14ac:dyDescent="0.25">
      <c r="A299" t="s">
        <v>1462</v>
      </c>
      <c r="B299" t="s">
        <v>1463</v>
      </c>
      <c r="C299">
        <v>2019</v>
      </c>
      <c r="D299">
        <v>8001</v>
      </c>
      <c r="E299">
        <v>5</v>
      </c>
      <c r="F299" t="s">
        <v>1464</v>
      </c>
      <c r="G299">
        <v>28034431</v>
      </c>
      <c r="J299">
        <v>16.28</v>
      </c>
      <c r="L299">
        <v>44454920</v>
      </c>
      <c r="M299" s="1">
        <v>44046</v>
      </c>
      <c r="N299" t="str">
        <f>"O200803BF7"</f>
        <v>O200803BF7</v>
      </c>
      <c r="O299" t="s">
        <v>28</v>
      </c>
      <c r="Q299" t="s">
        <v>29</v>
      </c>
      <c r="R299" t="s">
        <v>28</v>
      </c>
      <c r="S299" t="s">
        <v>1465</v>
      </c>
      <c r="T299" t="s">
        <v>1466</v>
      </c>
      <c r="U299" t="s">
        <v>1467</v>
      </c>
      <c r="W299" t="s">
        <v>392</v>
      </c>
      <c r="X299" t="s">
        <v>34</v>
      </c>
      <c r="Y299" t="str">
        <f>"77489"</f>
        <v>77489</v>
      </c>
    </row>
    <row r="300" spans="1:25" x14ac:dyDescent="0.25">
      <c r="A300" t="s">
        <v>1468</v>
      </c>
      <c r="B300" t="s">
        <v>1469</v>
      </c>
      <c r="C300">
        <v>2020</v>
      </c>
      <c r="D300">
        <v>8001</v>
      </c>
      <c r="E300">
        <v>3</v>
      </c>
      <c r="F300" t="s">
        <v>1470</v>
      </c>
      <c r="G300">
        <v>29872999</v>
      </c>
      <c r="J300">
        <v>44.58</v>
      </c>
      <c r="L300">
        <v>47506058</v>
      </c>
      <c r="M300" s="1">
        <v>44354</v>
      </c>
      <c r="N300" t="str">
        <f>"RC210614"</f>
        <v>RC210614</v>
      </c>
      <c r="O300" t="s">
        <v>28</v>
      </c>
      <c r="Q300" t="s">
        <v>29</v>
      </c>
      <c r="R300" t="s">
        <v>28</v>
      </c>
      <c r="S300" t="s">
        <v>249</v>
      </c>
      <c r="T300" t="s">
        <v>250</v>
      </c>
      <c r="W300" t="s">
        <v>75</v>
      </c>
      <c r="X300" t="s">
        <v>34</v>
      </c>
      <c r="Y300" t="str">
        <f>"77021"</f>
        <v>77021</v>
      </c>
    </row>
    <row r="301" spans="1:25" x14ac:dyDescent="0.25">
      <c r="A301" t="s">
        <v>1471</v>
      </c>
      <c r="B301" t="s">
        <v>1472</v>
      </c>
      <c r="C301">
        <v>2020</v>
      </c>
      <c r="D301">
        <v>8001</v>
      </c>
      <c r="E301">
        <v>1</v>
      </c>
      <c r="F301" t="s">
        <v>1473</v>
      </c>
      <c r="G301">
        <v>28406245</v>
      </c>
      <c r="J301">
        <v>56.37</v>
      </c>
      <c r="L301">
        <v>47369627</v>
      </c>
      <c r="M301" s="1">
        <v>44320</v>
      </c>
      <c r="N301" t="str">
        <f>"RC210512"</f>
        <v>RC210512</v>
      </c>
      <c r="O301" t="s">
        <v>28</v>
      </c>
      <c r="Q301" t="s">
        <v>29</v>
      </c>
      <c r="R301" t="s">
        <v>28</v>
      </c>
      <c r="S301" t="s">
        <v>1474</v>
      </c>
      <c r="T301" t="s">
        <v>1475</v>
      </c>
      <c r="W301" t="s">
        <v>33</v>
      </c>
      <c r="X301" t="s">
        <v>34</v>
      </c>
      <c r="Y301" t="str">
        <f>"75093"</f>
        <v>75093</v>
      </c>
    </row>
    <row r="302" spans="1:25" x14ac:dyDescent="0.25">
      <c r="A302" t="s">
        <v>1476</v>
      </c>
      <c r="B302" t="s">
        <v>1477</v>
      </c>
      <c r="C302">
        <v>2020</v>
      </c>
      <c r="D302">
        <v>8001</v>
      </c>
      <c r="E302">
        <v>2</v>
      </c>
      <c r="F302" t="s">
        <v>1478</v>
      </c>
      <c r="G302">
        <v>29135714</v>
      </c>
      <c r="J302">
        <v>8.3699999999999992</v>
      </c>
      <c r="L302">
        <v>47778435</v>
      </c>
      <c r="M302" s="1">
        <v>44474</v>
      </c>
      <c r="N302" t="str">
        <f>"RC211018"</f>
        <v>RC211018</v>
      </c>
      <c r="O302" t="s">
        <v>28</v>
      </c>
      <c r="Q302" t="s">
        <v>29</v>
      </c>
      <c r="R302" t="s">
        <v>28</v>
      </c>
      <c r="S302" t="s">
        <v>1479</v>
      </c>
      <c r="T302" t="s">
        <v>203</v>
      </c>
      <c r="U302" t="s">
        <v>1480</v>
      </c>
      <c r="W302" t="s">
        <v>40</v>
      </c>
      <c r="X302" t="s">
        <v>34</v>
      </c>
      <c r="Y302" t="str">
        <f>"774784399"</f>
        <v>774784399</v>
      </c>
    </row>
    <row r="303" spans="1:25" x14ac:dyDescent="0.25">
      <c r="A303" t="s">
        <v>1481</v>
      </c>
      <c r="B303" t="s">
        <v>1482</v>
      </c>
      <c r="C303">
        <v>2020</v>
      </c>
      <c r="D303">
        <v>8001</v>
      </c>
      <c r="E303">
        <v>1</v>
      </c>
      <c r="F303" t="s">
        <v>1483</v>
      </c>
      <c r="G303">
        <v>29596083</v>
      </c>
      <c r="J303">
        <v>32.01</v>
      </c>
      <c r="L303">
        <v>47018852</v>
      </c>
      <c r="M303" s="1">
        <v>44258</v>
      </c>
      <c r="N303" t="str">
        <f>"EK210303"</f>
        <v>EK210303</v>
      </c>
      <c r="O303" t="s">
        <v>28</v>
      </c>
      <c r="Q303" t="s">
        <v>29</v>
      </c>
      <c r="R303" t="s">
        <v>28</v>
      </c>
      <c r="S303" t="s">
        <v>1484</v>
      </c>
      <c r="T303" t="s">
        <v>1485</v>
      </c>
      <c r="W303" t="s">
        <v>392</v>
      </c>
      <c r="X303" t="s">
        <v>34</v>
      </c>
      <c r="Y303" t="str">
        <f>"77489"</f>
        <v>77489</v>
      </c>
    </row>
    <row r="304" spans="1:25" x14ac:dyDescent="0.25">
      <c r="A304" t="s">
        <v>1486</v>
      </c>
      <c r="B304" t="s">
        <v>1487</v>
      </c>
      <c r="C304">
        <v>2019</v>
      </c>
      <c r="D304">
        <v>8001</v>
      </c>
      <c r="E304">
        <v>1</v>
      </c>
      <c r="F304" t="s">
        <v>1488</v>
      </c>
      <c r="G304">
        <v>25532230</v>
      </c>
      <c r="J304">
        <v>7.48</v>
      </c>
      <c r="L304">
        <v>44554514</v>
      </c>
      <c r="M304" s="1">
        <v>44097</v>
      </c>
      <c r="N304" t="str">
        <f>"J200923AE1"</f>
        <v>J200923AE1</v>
      </c>
      <c r="O304" t="s">
        <v>28</v>
      </c>
      <c r="Q304" t="s">
        <v>29</v>
      </c>
      <c r="R304" t="s">
        <v>28</v>
      </c>
      <c r="S304" t="s">
        <v>1307</v>
      </c>
      <c r="T304" t="s">
        <v>1489</v>
      </c>
      <c r="W304" t="s">
        <v>586</v>
      </c>
      <c r="X304" t="s">
        <v>34</v>
      </c>
      <c r="Y304" t="str">
        <f>"775845137"</f>
        <v>775845137</v>
      </c>
    </row>
    <row r="305" spans="1:25" x14ac:dyDescent="0.25">
      <c r="A305" t="s">
        <v>1490</v>
      </c>
      <c r="B305" t="s">
        <v>1491</v>
      </c>
      <c r="C305">
        <v>2020</v>
      </c>
      <c r="D305">
        <v>8001</v>
      </c>
      <c r="E305">
        <v>4</v>
      </c>
      <c r="F305" t="s">
        <v>1492</v>
      </c>
      <c r="G305">
        <v>1114303</v>
      </c>
      <c r="J305">
        <v>309.2</v>
      </c>
      <c r="L305">
        <v>47441226</v>
      </c>
      <c r="M305" s="1">
        <v>44341</v>
      </c>
      <c r="N305" t="str">
        <f>"RC210607"</f>
        <v>RC210607</v>
      </c>
      <c r="O305" t="s">
        <v>28</v>
      </c>
      <c r="Q305" t="s">
        <v>29</v>
      </c>
      <c r="R305" t="s">
        <v>28</v>
      </c>
      <c r="S305" t="s">
        <v>1493</v>
      </c>
      <c r="T305" t="s">
        <v>1494</v>
      </c>
      <c r="W305" t="s">
        <v>75</v>
      </c>
      <c r="X305" t="s">
        <v>34</v>
      </c>
      <c r="Y305" t="str">
        <f>"770523088"</f>
        <v>770523088</v>
      </c>
    </row>
    <row r="306" spans="1:25" x14ac:dyDescent="0.25">
      <c r="A306" t="s">
        <v>1495</v>
      </c>
      <c r="B306" t="s">
        <v>1496</v>
      </c>
      <c r="C306">
        <v>2019</v>
      </c>
      <c r="D306">
        <v>8001</v>
      </c>
      <c r="E306">
        <v>1</v>
      </c>
      <c r="F306" t="s">
        <v>1497</v>
      </c>
      <c r="G306">
        <v>27918326</v>
      </c>
      <c r="J306">
        <v>100</v>
      </c>
      <c r="L306">
        <v>42888877</v>
      </c>
      <c r="M306" s="1">
        <v>43844</v>
      </c>
      <c r="N306" t="str">
        <f>"J200114AW13"</f>
        <v>J200114AW13</v>
      </c>
      <c r="O306" t="s">
        <v>28</v>
      </c>
      <c r="Q306" t="s">
        <v>29</v>
      </c>
      <c r="R306" t="s">
        <v>28</v>
      </c>
      <c r="S306" t="s">
        <v>1498</v>
      </c>
      <c r="T306" t="s">
        <v>1499</v>
      </c>
      <c r="W306" t="s">
        <v>1500</v>
      </c>
      <c r="X306" t="s">
        <v>34</v>
      </c>
      <c r="Y306" t="str">
        <f>"77413"</f>
        <v>77413</v>
      </c>
    </row>
    <row r="307" spans="1:25" x14ac:dyDescent="0.25">
      <c r="A307" t="s">
        <v>1501</v>
      </c>
      <c r="B307" t="s">
        <v>1502</v>
      </c>
      <c r="C307">
        <v>2020</v>
      </c>
      <c r="D307">
        <v>8001</v>
      </c>
      <c r="E307">
        <v>1</v>
      </c>
      <c r="F307" t="s">
        <v>1503</v>
      </c>
      <c r="G307">
        <v>29881664</v>
      </c>
      <c r="J307">
        <v>6.91</v>
      </c>
      <c r="L307">
        <v>47529313</v>
      </c>
      <c r="M307" s="1">
        <v>44362</v>
      </c>
      <c r="N307" t="str">
        <f>"RC210622"</f>
        <v>RC210622</v>
      </c>
      <c r="O307" t="s">
        <v>28</v>
      </c>
      <c r="Q307" t="s">
        <v>29</v>
      </c>
      <c r="R307" t="s">
        <v>28</v>
      </c>
      <c r="S307" t="s">
        <v>1504</v>
      </c>
      <c r="T307" t="s">
        <v>1505</v>
      </c>
      <c r="W307" t="s">
        <v>40</v>
      </c>
      <c r="X307" t="s">
        <v>34</v>
      </c>
      <c r="Y307" t="str">
        <f>"77479"</f>
        <v>77479</v>
      </c>
    </row>
    <row r="308" spans="1:25" x14ac:dyDescent="0.25">
      <c r="A308" t="s">
        <v>1506</v>
      </c>
      <c r="B308" t="s">
        <v>1507</v>
      </c>
      <c r="C308">
        <v>2019</v>
      </c>
      <c r="D308">
        <v>8001</v>
      </c>
      <c r="E308">
        <v>20</v>
      </c>
      <c r="F308" t="s">
        <v>1508</v>
      </c>
      <c r="G308">
        <v>0</v>
      </c>
      <c r="J308">
        <v>0.04</v>
      </c>
      <c r="L308">
        <v>41555166</v>
      </c>
      <c r="M308" s="1">
        <v>43766</v>
      </c>
      <c r="N308" t="str">
        <f>"TE191028"</f>
        <v>TE191028</v>
      </c>
      <c r="O308" t="s">
        <v>28</v>
      </c>
      <c r="Q308" t="s">
        <v>29</v>
      </c>
      <c r="R308" t="s">
        <v>28</v>
      </c>
      <c r="S308" t="s">
        <v>1508</v>
      </c>
      <c r="T308" t="s">
        <v>1509</v>
      </c>
      <c r="U308" t="s">
        <v>60</v>
      </c>
      <c r="V308" t="s">
        <v>60</v>
      </c>
      <c r="W308" t="s">
        <v>1333</v>
      </c>
      <c r="X308" t="s">
        <v>34</v>
      </c>
      <c r="Y308" t="str">
        <f>"774893456   "</f>
        <v xml:space="preserve">774893456   </v>
      </c>
    </row>
    <row r="309" spans="1:25" x14ac:dyDescent="0.25">
      <c r="A309" t="s">
        <v>1510</v>
      </c>
      <c r="B309" t="s">
        <v>1511</v>
      </c>
      <c r="C309">
        <v>2019</v>
      </c>
      <c r="D309">
        <v>8001</v>
      </c>
      <c r="E309">
        <v>1</v>
      </c>
      <c r="F309" t="s">
        <v>1512</v>
      </c>
      <c r="G309">
        <v>28298305</v>
      </c>
      <c r="J309">
        <v>46.3</v>
      </c>
      <c r="L309">
        <v>43864421</v>
      </c>
      <c r="M309" s="1">
        <v>43893</v>
      </c>
      <c r="N309" t="str">
        <f>"EK400303"</f>
        <v>EK400303</v>
      </c>
      <c r="O309" t="s">
        <v>28</v>
      </c>
      <c r="Q309" t="s">
        <v>29</v>
      </c>
      <c r="R309" t="s">
        <v>28</v>
      </c>
      <c r="S309" t="s">
        <v>1513</v>
      </c>
      <c r="T309" t="s">
        <v>1514</v>
      </c>
      <c r="W309" t="s">
        <v>586</v>
      </c>
      <c r="X309" t="s">
        <v>34</v>
      </c>
      <c r="Y309" t="str">
        <f>"77584"</f>
        <v>77584</v>
      </c>
    </row>
    <row r="310" spans="1:25" x14ac:dyDescent="0.25">
      <c r="A310" t="s">
        <v>1510</v>
      </c>
      <c r="B310" t="s">
        <v>1511</v>
      </c>
      <c r="C310">
        <v>2020</v>
      </c>
      <c r="D310">
        <v>8001</v>
      </c>
      <c r="E310">
        <v>2</v>
      </c>
      <c r="F310" t="s">
        <v>1512</v>
      </c>
      <c r="G310">
        <v>29461607</v>
      </c>
      <c r="J310">
        <v>107.28</v>
      </c>
      <c r="L310">
        <v>46728607</v>
      </c>
      <c r="M310" s="1">
        <v>44230</v>
      </c>
      <c r="N310" t="str">
        <f>"EK210203"</f>
        <v>EK210203</v>
      </c>
      <c r="O310" t="s">
        <v>28</v>
      </c>
      <c r="Q310" t="s">
        <v>29</v>
      </c>
      <c r="R310" t="s">
        <v>28</v>
      </c>
      <c r="S310" t="s">
        <v>1513</v>
      </c>
      <c r="T310" t="s">
        <v>1515</v>
      </c>
      <c r="W310" t="s">
        <v>75</v>
      </c>
      <c r="X310" t="s">
        <v>34</v>
      </c>
      <c r="Y310" t="str">
        <f>"77033"</f>
        <v>77033</v>
      </c>
    </row>
    <row r="311" spans="1:25" x14ac:dyDescent="0.25">
      <c r="A311" t="s">
        <v>1516</v>
      </c>
      <c r="B311" t="s">
        <v>1517</v>
      </c>
      <c r="C311">
        <v>2019</v>
      </c>
      <c r="D311">
        <v>8001</v>
      </c>
      <c r="E311">
        <v>1</v>
      </c>
      <c r="F311" t="s">
        <v>1518</v>
      </c>
      <c r="G311">
        <v>0</v>
      </c>
      <c r="J311">
        <v>7</v>
      </c>
      <c r="L311">
        <v>44091545</v>
      </c>
      <c r="M311" s="1">
        <v>43944</v>
      </c>
      <c r="N311" t="str">
        <f>"J200423F2"</f>
        <v>J200423F2</v>
      </c>
      <c r="O311" t="s">
        <v>28</v>
      </c>
      <c r="Q311" t="s">
        <v>29</v>
      </c>
      <c r="R311" t="s">
        <v>28</v>
      </c>
      <c r="S311" t="s">
        <v>1518</v>
      </c>
      <c r="T311" t="s">
        <v>1519</v>
      </c>
      <c r="U311" t="s">
        <v>60</v>
      </c>
      <c r="V311" t="s">
        <v>60</v>
      </c>
      <c r="W311" t="s">
        <v>1333</v>
      </c>
      <c r="X311" t="s">
        <v>34</v>
      </c>
      <c r="Y311" t="str">
        <f>"774893442   "</f>
        <v xml:space="preserve">774893442   </v>
      </c>
    </row>
    <row r="312" spans="1:25" x14ac:dyDescent="0.25">
      <c r="A312" t="s">
        <v>1520</v>
      </c>
      <c r="B312" t="s">
        <v>1521</v>
      </c>
      <c r="C312">
        <v>2020</v>
      </c>
      <c r="D312">
        <v>8001</v>
      </c>
      <c r="E312">
        <v>1</v>
      </c>
      <c r="F312" t="s">
        <v>1522</v>
      </c>
      <c r="G312">
        <v>29461825</v>
      </c>
      <c r="J312">
        <v>138.82</v>
      </c>
      <c r="L312">
        <v>46728825</v>
      </c>
      <c r="M312" s="1">
        <v>44230</v>
      </c>
      <c r="N312" t="str">
        <f>"EK210203"</f>
        <v>EK210203</v>
      </c>
      <c r="O312" t="s">
        <v>28</v>
      </c>
      <c r="Q312" t="s">
        <v>29</v>
      </c>
      <c r="R312" t="s">
        <v>28</v>
      </c>
      <c r="S312" t="s">
        <v>1523</v>
      </c>
      <c r="T312" t="s">
        <v>1524</v>
      </c>
      <c r="W312" t="s">
        <v>392</v>
      </c>
      <c r="X312" t="s">
        <v>34</v>
      </c>
      <c r="Y312" t="str">
        <f>"77489"</f>
        <v>77489</v>
      </c>
    </row>
    <row r="313" spans="1:25" x14ac:dyDescent="0.25">
      <c r="A313" t="s">
        <v>1525</v>
      </c>
      <c r="B313" t="s">
        <v>1526</v>
      </c>
      <c r="C313">
        <v>2019</v>
      </c>
      <c r="D313">
        <v>8001</v>
      </c>
      <c r="E313">
        <v>20</v>
      </c>
      <c r="F313" t="s">
        <v>1527</v>
      </c>
      <c r="G313">
        <v>0</v>
      </c>
      <c r="J313">
        <v>140</v>
      </c>
      <c r="L313">
        <v>42825377</v>
      </c>
      <c r="M313" s="1">
        <v>43843</v>
      </c>
      <c r="N313" t="str">
        <f>"J200113K1"</f>
        <v>J200113K1</v>
      </c>
      <c r="O313" t="s">
        <v>28</v>
      </c>
      <c r="Q313" t="s">
        <v>29</v>
      </c>
      <c r="R313" t="s">
        <v>28</v>
      </c>
      <c r="S313" t="s">
        <v>1527</v>
      </c>
      <c r="T313" t="s">
        <v>1528</v>
      </c>
      <c r="U313" t="s">
        <v>60</v>
      </c>
      <c r="V313" t="s">
        <v>60</v>
      </c>
      <c r="W313" t="s">
        <v>1333</v>
      </c>
      <c r="X313" t="s">
        <v>34</v>
      </c>
      <c r="Y313" t="str">
        <f>"774893351   "</f>
        <v xml:space="preserve">774893351   </v>
      </c>
    </row>
    <row r="314" spans="1:25" x14ac:dyDescent="0.25">
      <c r="A314" t="s">
        <v>1525</v>
      </c>
      <c r="B314" t="s">
        <v>1526</v>
      </c>
      <c r="C314">
        <v>2020</v>
      </c>
      <c r="D314">
        <v>8001</v>
      </c>
      <c r="E314">
        <v>11</v>
      </c>
      <c r="F314" t="s">
        <v>1527</v>
      </c>
      <c r="G314">
        <v>0</v>
      </c>
      <c r="J314">
        <v>75</v>
      </c>
      <c r="L314">
        <v>45573215</v>
      </c>
      <c r="M314" s="1">
        <v>44195</v>
      </c>
      <c r="N314" t="str">
        <f>"J201230BW14"</f>
        <v>J201230BW14</v>
      </c>
      <c r="O314" t="s">
        <v>28</v>
      </c>
      <c r="Q314" t="s">
        <v>29</v>
      </c>
      <c r="R314" t="s">
        <v>28</v>
      </c>
      <c r="S314" t="s">
        <v>1527</v>
      </c>
      <c r="T314" t="s">
        <v>1528</v>
      </c>
      <c r="U314" t="s">
        <v>60</v>
      </c>
      <c r="V314" t="s">
        <v>60</v>
      </c>
      <c r="W314" t="s">
        <v>1333</v>
      </c>
      <c r="X314" t="s">
        <v>34</v>
      </c>
      <c r="Y314" t="str">
        <f>"774893351   "</f>
        <v xml:space="preserve">774893351   </v>
      </c>
    </row>
    <row r="315" spans="1:25" x14ac:dyDescent="0.25">
      <c r="A315" t="s">
        <v>1529</v>
      </c>
      <c r="B315" t="s">
        <v>1530</v>
      </c>
      <c r="C315">
        <v>2020</v>
      </c>
      <c r="D315">
        <v>8001</v>
      </c>
      <c r="E315">
        <v>1</v>
      </c>
      <c r="F315" t="s">
        <v>1531</v>
      </c>
      <c r="G315">
        <v>0</v>
      </c>
      <c r="J315">
        <v>12.78</v>
      </c>
      <c r="L315">
        <v>45094523</v>
      </c>
      <c r="M315" s="1">
        <v>44168</v>
      </c>
      <c r="N315" t="str">
        <f>"L201203A"</f>
        <v>L201203A</v>
      </c>
      <c r="O315" t="s">
        <v>28</v>
      </c>
      <c r="Q315" t="s">
        <v>29</v>
      </c>
      <c r="R315" t="s">
        <v>28</v>
      </c>
      <c r="S315" t="s">
        <v>1531</v>
      </c>
      <c r="T315" t="s">
        <v>1532</v>
      </c>
      <c r="U315" t="s">
        <v>60</v>
      </c>
      <c r="V315" t="s">
        <v>60</v>
      </c>
      <c r="W315" t="s">
        <v>1333</v>
      </c>
      <c r="X315" t="s">
        <v>34</v>
      </c>
      <c r="Y315" t="str">
        <f>"774892702   "</f>
        <v xml:space="preserve">774892702   </v>
      </c>
    </row>
    <row r="316" spans="1:25" x14ac:dyDescent="0.25">
      <c r="A316" t="s">
        <v>1533</v>
      </c>
      <c r="B316" t="s">
        <v>1534</v>
      </c>
      <c r="C316">
        <v>2018</v>
      </c>
      <c r="D316">
        <v>8001</v>
      </c>
      <c r="E316">
        <v>1</v>
      </c>
      <c r="F316" t="s">
        <v>1535</v>
      </c>
      <c r="G316">
        <v>0</v>
      </c>
      <c r="J316">
        <v>5.25</v>
      </c>
      <c r="L316">
        <v>41433950</v>
      </c>
      <c r="M316" s="1">
        <v>43671</v>
      </c>
      <c r="N316" t="str">
        <f>"O190725U1"</f>
        <v>O190725U1</v>
      </c>
      <c r="O316" t="s">
        <v>28</v>
      </c>
      <c r="Q316" t="s">
        <v>29</v>
      </c>
      <c r="R316" t="s">
        <v>28</v>
      </c>
      <c r="S316" t="s">
        <v>1535</v>
      </c>
      <c r="T316" t="s">
        <v>1536</v>
      </c>
      <c r="U316" t="s">
        <v>60</v>
      </c>
      <c r="V316" t="s">
        <v>60</v>
      </c>
      <c r="W316" t="s">
        <v>1333</v>
      </c>
      <c r="X316" t="s">
        <v>34</v>
      </c>
      <c r="Y316" t="str">
        <f>"774892708   "</f>
        <v xml:space="preserve">774892708   </v>
      </c>
    </row>
    <row r="317" spans="1:25" x14ac:dyDescent="0.25">
      <c r="A317" t="s">
        <v>1537</v>
      </c>
      <c r="B317" t="s">
        <v>1538</v>
      </c>
      <c r="C317">
        <v>2019</v>
      </c>
      <c r="D317">
        <v>8001</v>
      </c>
      <c r="E317">
        <v>2</v>
      </c>
      <c r="F317" t="s">
        <v>1539</v>
      </c>
      <c r="G317">
        <v>0</v>
      </c>
      <c r="J317">
        <v>30.21</v>
      </c>
      <c r="L317">
        <v>44158049</v>
      </c>
      <c r="M317" s="1">
        <v>43963</v>
      </c>
      <c r="N317" t="str">
        <f>"J200512K8"</f>
        <v>J200512K8</v>
      </c>
      <c r="O317" t="s">
        <v>28</v>
      </c>
      <c r="Q317" t="s">
        <v>29</v>
      </c>
      <c r="R317" t="s">
        <v>28</v>
      </c>
      <c r="S317" t="s">
        <v>1539</v>
      </c>
      <c r="T317" t="s">
        <v>1540</v>
      </c>
      <c r="U317" t="s">
        <v>60</v>
      </c>
      <c r="V317" t="s">
        <v>60</v>
      </c>
      <c r="W317" t="s">
        <v>1333</v>
      </c>
      <c r="X317" t="s">
        <v>34</v>
      </c>
      <c r="Y317" t="str">
        <f>"774892801   "</f>
        <v xml:space="preserve">774892801   </v>
      </c>
    </row>
    <row r="318" spans="1:25" x14ac:dyDescent="0.25">
      <c r="A318" t="s">
        <v>1541</v>
      </c>
      <c r="B318" t="s">
        <v>1542</v>
      </c>
      <c r="C318">
        <v>2019</v>
      </c>
      <c r="D318">
        <v>8001</v>
      </c>
      <c r="E318">
        <v>2</v>
      </c>
      <c r="F318" t="s">
        <v>1543</v>
      </c>
      <c r="G318">
        <v>22264017</v>
      </c>
      <c r="J318">
        <v>62.05</v>
      </c>
      <c r="L318">
        <v>42510630</v>
      </c>
      <c r="M318" s="1">
        <v>43830</v>
      </c>
      <c r="N318" t="str">
        <f>"J191231AW1"</f>
        <v>J191231AW1</v>
      </c>
      <c r="O318" t="s">
        <v>28</v>
      </c>
      <c r="Q318" t="s">
        <v>29</v>
      </c>
      <c r="R318" t="s">
        <v>28</v>
      </c>
      <c r="S318" t="s">
        <v>1544</v>
      </c>
      <c r="T318" t="s">
        <v>1545</v>
      </c>
      <c r="W318" t="s">
        <v>392</v>
      </c>
      <c r="X318" t="s">
        <v>34</v>
      </c>
      <c r="Y318" t="str">
        <f>"77489"</f>
        <v>77489</v>
      </c>
    </row>
    <row r="319" spans="1:25" x14ac:dyDescent="0.25">
      <c r="A319" t="s">
        <v>1546</v>
      </c>
      <c r="B319" t="s">
        <v>1547</v>
      </c>
      <c r="C319">
        <v>2021</v>
      </c>
      <c r="D319">
        <v>8001</v>
      </c>
      <c r="E319">
        <v>1</v>
      </c>
      <c r="F319" t="s">
        <v>1548</v>
      </c>
      <c r="G319">
        <v>29218918</v>
      </c>
      <c r="J319">
        <v>402.33</v>
      </c>
      <c r="L319">
        <v>47930671</v>
      </c>
      <c r="M319" s="1">
        <v>44516</v>
      </c>
      <c r="N319" t="str">
        <f>"TE211116"</f>
        <v>TE211116</v>
      </c>
      <c r="O319" t="s">
        <v>28</v>
      </c>
      <c r="Q319" t="s">
        <v>29</v>
      </c>
      <c r="R319" t="s">
        <v>28</v>
      </c>
      <c r="S319" t="s">
        <v>1549</v>
      </c>
      <c r="T319" t="s">
        <v>1550</v>
      </c>
      <c r="U319" t="s">
        <v>1551</v>
      </c>
      <c r="W319" t="s">
        <v>1371</v>
      </c>
      <c r="X319" t="s">
        <v>34</v>
      </c>
      <c r="Y319" t="str">
        <f>"750348180"</f>
        <v>750348180</v>
      </c>
    </row>
    <row r="320" spans="1:25" x14ac:dyDescent="0.25">
      <c r="A320" t="s">
        <v>1552</v>
      </c>
      <c r="B320" t="s">
        <v>1553</v>
      </c>
      <c r="C320">
        <v>2021</v>
      </c>
      <c r="D320">
        <v>8001</v>
      </c>
      <c r="E320">
        <v>1</v>
      </c>
      <c r="F320" t="s">
        <v>1554</v>
      </c>
      <c r="G320">
        <v>22129252</v>
      </c>
      <c r="J320">
        <v>12.69</v>
      </c>
      <c r="L320">
        <v>50017809</v>
      </c>
      <c r="M320" s="1">
        <v>44596</v>
      </c>
      <c r="N320" t="str">
        <f>"RC220303"</f>
        <v>RC220303</v>
      </c>
      <c r="O320" t="s">
        <v>28</v>
      </c>
      <c r="Q320" t="s">
        <v>29</v>
      </c>
      <c r="R320" t="s">
        <v>28</v>
      </c>
      <c r="S320" t="s">
        <v>1555</v>
      </c>
      <c r="T320" t="s">
        <v>1556</v>
      </c>
      <c r="W320" t="s">
        <v>75</v>
      </c>
      <c r="X320" t="s">
        <v>34</v>
      </c>
      <c r="Y320" t="str">
        <f>"770941715"</f>
        <v>770941715</v>
      </c>
    </row>
    <row r="321" spans="1:25" x14ac:dyDescent="0.25">
      <c r="A321" t="s">
        <v>1557</v>
      </c>
      <c r="B321" t="s">
        <v>1558</v>
      </c>
      <c r="C321">
        <v>2018</v>
      </c>
      <c r="D321">
        <v>8001</v>
      </c>
      <c r="E321">
        <v>2</v>
      </c>
      <c r="F321" t="s">
        <v>1559</v>
      </c>
      <c r="G321">
        <v>26536359</v>
      </c>
      <c r="J321">
        <v>91.04</v>
      </c>
      <c r="L321">
        <v>41475146</v>
      </c>
      <c r="M321" s="1">
        <v>43683</v>
      </c>
      <c r="N321" t="str">
        <f>"J190806K2"</f>
        <v>J190806K2</v>
      </c>
      <c r="O321" t="s">
        <v>28</v>
      </c>
      <c r="Q321" t="s">
        <v>29</v>
      </c>
      <c r="R321" t="s">
        <v>28</v>
      </c>
      <c r="S321" t="s">
        <v>1033</v>
      </c>
      <c r="T321" t="s">
        <v>1560</v>
      </c>
      <c r="W321" t="s">
        <v>1561</v>
      </c>
      <c r="X321" t="s">
        <v>169</v>
      </c>
      <c r="Y321" t="str">
        <f>"801292386"</f>
        <v>801292386</v>
      </c>
    </row>
    <row r="322" spans="1:25" x14ac:dyDescent="0.25">
      <c r="A322" t="s">
        <v>1562</v>
      </c>
      <c r="B322" t="s">
        <v>1563</v>
      </c>
      <c r="C322">
        <v>2020</v>
      </c>
      <c r="D322">
        <v>8001</v>
      </c>
      <c r="E322">
        <v>9</v>
      </c>
      <c r="F322" t="s">
        <v>1564</v>
      </c>
      <c r="G322">
        <v>23079154</v>
      </c>
      <c r="J322">
        <v>92.44</v>
      </c>
      <c r="L322">
        <v>44543596</v>
      </c>
      <c r="M322" s="1">
        <v>44147</v>
      </c>
      <c r="N322" t="str">
        <f>"TE201112"</f>
        <v>TE201112</v>
      </c>
      <c r="O322" t="s">
        <v>28</v>
      </c>
      <c r="Q322" t="s">
        <v>29</v>
      </c>
      <c r="R322" t="s">
        <v>28</v>
      </c>
      <c r="S322" t="s">
        <v>1565</v>
      </c>
      <c r="T322" t="s">
        <v>1566</v>
      </c>
      <c r="W322" t="s">
        <v>81</v>
      </c>
      <c r="X322" t="s">
        <v>34</v>
      </c>
      <c r="Y322" t="str">
        <f>"774699873"</f>
        <v>774699873</v>
      </c>
    </row>
    <row r="323" spans="1:25" x14ac:dyDescent="0.25">
      <c r="A323" t="s">
        <v>1567</v>
      </c>
      <c r="B323" t="s">
        <v>1568</v>
      </c>
      <c r="C323">
        <v>2018</v>
      </c>
      <c r="D323">
        <v>8001</v>
      </c>
      <c r="E323">
        <v>1</v>
      </c>
      <c r="F323" t="s">
        <v>1569</v>
      </c>
      <c r="G323">
        <v>27328768</v>
      </c>
      <c r="J323">
        <v>22.32</v>
      </c>
      <c r="L323">
        <v>41063809</v>
      </c>
      <c r="M323" s="1">
        <v>43558</v>
      </c>
      <c r="N323" t="str">
        <f>"EK190403"</f>
        <v>EK190403</v>
      </c>
      <c r="O323" t="s">
        <v>28</v>
      </c>
      <c r="Q323" t="s">
        <v>29</v>
      </c>
      <c r="R323" t="s">
        <v>28</v>
      </c>
      <c r="S323" t="s">
        <v>1570</v>
      </c>
      <c r="T323" t="s">
        <v>1571</v>
      </c>
      <c r="W323" t="s">
        <v>81</v>
      </c>
      <c r="X323" t="s">
        <v>34</v>
      </c>
      <c r="Y323" t="str">
        <f>"77469"</f>
        <v>77469</v>
      </c>
    </row>
    <row r="324" spans="1:25" x14ac:dyDescent="0.25">
      <c r="A324" t="s">
        <v>1572</v>
      </c>
      <c r="B324" t="s">
        <v>1573</v>
      </c>
      <c r="C324">
        <v>2019</v>
      </c>
      <c r="D324">
        <v>8001</v>
      </c>
      <c r="E324">
        <v>1</v>
      </c>
      <c r="F324" t="s">
        <v>1574</v>
      </c>
      <c r="G324">
        <v>0</v>
      </c>
      <c r="J324">
        <v>6.06</v>
      </c>
      <c r="L324">
        <v>44381515</v>
      </c>
      <c r="M324" s="1">
        <v>44021</v>
      </c>
      <c r="N324" t="str">
        <f>"J200709U1"</f>
        <v>J200709U1</v>
      </c>
      <c r="O324" t="s">
        <v>28</v>
      </c>
      <c r="Q324" t="s">
        <v>29</v>
      </c>
      <c r="R324" t="s">
        <v>28</v>
      </c>
      <c r="S324" t="s">
        <v>1574</v>
      </c>
      <c r="T324" t="s">
        <v>1575</v>
      </c>
      <c r="U324" t="s">
        <v>60</v>
      </c>
      <c r="V324" t="s">
        <v>60</v>
      </c>
      <c r="W324" t="s">
        <v>1137</v>
      </c>
      <c r="X324" t="s">
        <v>34</v>
      </c>
      <c r="Y324" t="str">
        <f>"774501789   "</f>
        <v xml:space="preserve">774501789   </v>
      </c>
    </row>
    <row r="325" spans="1:25" x14ac:dyDescent="0.25">
      <c r="A325" t="s">
        <v>1576</v>
      </c>
      <c r="B325" t="s">
        <v>1577</v>
      </c>
      <c r="C325">
        <v>2021</v>
      </c>
      <c r="D325">
        <v>8001</v>
      </c>
      <c r="E325">
        <v>1</v>
      </c>
      <c r="F325" t="s">
        <v>1578</v>
      </c>
      <c r="G325">
        <v>30792780</v>
      </c>
      <c r="J325">
        <v>17.39</v>
      </c>
      <c r="L325">
        <v>49743464</v>
      </c>
      <c r="M325" s="1">
        <v>44592</v>
      </c>
      <c r="N325" t="str">
        <f>"O220131C7"</f>
        <v>O220131C7</v>
      </c>
      <c r="O325" t="s">
        <v>28</v>
      </c>
      <c r="Q325" t="s">
        <v>29</v>
      </c>
      <c r="R325" t="s">
        <v>28</v>
      </c>
      <c r="S325" t="s">
        <v>1579</v>
      </c>
      <c r="T325" t="s">
        <v>1580</v>
      </c>
      <c r="W325" t="s">
        <v>75</v>
      </c>
      <c r="X325" t="s">
        <v>34</v>
      </c>
      <c r="Y325" t="str">
        <f>"770533576"</f>
        <v>770533576</v>
      </c>
    </row>
    <row r="326" spans="1:25" x14ac:dyDescent="0.25">
      <c r="A326" t="s">
        <v>1581</v>
      </c>
      <c r="B326" t="s">
        <v>1582</v>
      </c>
      <c r="C326">
        <v>2020</v>
      </c>
      <c r="D326">
        <v>8001</v>
      </c>
      <c r="E326">
        <v>4</v>
      </c>
      <c r="F326" t="s">
        <v>1583</v>
      </c>
      <c r="G326">
        <v>29955096</v>
      </c>
      <c r="J326">
        <v>13.78</v>
      </c>
      <c r="L326">
        <v>47678389</v>
      </c>
      <c r="M326" s="1">
        <v>44412</v>
      </c>
      <c r="N326" t="str">
        <f>"CC410804"</f>
        <v>CC410804</v>
      </c>
      <c r="O326" t="s">
        <v>28</v>
      </c>
      <c r="Q326" t="s">
        <v>29</v>
      </c>
      <c r="R326" t="s">
        <v>28</v>
      </c>
      <c r="S326" t="s">
        <v>1584</v>
      </c>
      <c r="T326" t="s">
        <v>1585</v>
      </c>
      <c r="W326" t="s">
        <v>75</v>
      </c>
      <c r="X326" t="s">
        <v>34</v>
      </c>
      <c r="Y326" t="str">
        <f>"77053"</f>
        <v>77053</v>
      </c>
    </row>
    <row r="327" spans="1:25" x14ac:dyDescent="0.25">
      <c r="A327" t="s">
        <v>1586</v>
      </c>
      <c r="B327" t="s">
        <v>1587</v>
      </c>
      <c r="C327">
        <v>2020</v>
      </c>
      <c r="D327">
        <v>8001</v>
      </c>
      <c r="E327">
        <v>1</v>
      </c>
      <c r="F327" t="s">
        <v>1588</v>
      </c>
      <c r="G327">
        <v>29489579</v>
      </c>
      <c r="J327">
        <v>121.3</v>
      </c>
      <c r="L327">
        <v>46782279</v>
      </c>
      <c r="M327" s="1">
        <v>44231</v>
      </c>
      <c r="N327" t="str">
        <f>"CC210204"</f>
        <v>CC210204</v>
      </c>
      <c r="O327" t="s">
        <v>28</v>
      </c>
      <c r="Q327" t="s">
        <v>29</v>
      </c>
      <c r="R327" t="s">
        <v>28</v>
      </c>
      <c r="S327" t="s">
        <v>1589</v>
      </c>
      <c r="T327" t="s">
        <v>1590</v>
      </c>
      <c r="W327" t="s">
        <v>75</v>
      </c>
      <c r="X327" t="s">
        <v>34</v>
      </c>
      <c r="Y327" t="str">
        <f>"77053"</f>
        <v>77053</v>
      </c>
    </row>
    <row r="328" spans="1:25" x14ac:dyDescent="0.25">
      <c r="A328" t="s">
        <v>1591</v>
      </c>
      <c r="B328" t="s">
        <v>1592</v>
      </c>
      <c r="C328">
        <v>2021</v>
      </c>
      <c r="D328">
        <v>8001</v>
      </c>
      <c r="E328">
        <v>1</v>
      </c>
      <c r="F328" t="s">
        <v>1593</v>
      </c>
      <c r="G328">
        <v>0</v>
      </c>
      <c r="J328">
        <v>16.34</v>
      </c>
      <c r="L328">
        <v>50202397</v>
      </c>
      <c r="M328" s="1">
        <v>44614</v>
      </c>
      <c r="N328" t="str">
        <f>"J220222K1"</f>
        <v>J220222K1</v>
      </c>
      <c r="O328" t="s">
        <v>28</v>
      </c>
      <c r="Q328" t="s">
        <v>29</v>
      </c>
      <c r="R328" t="s">
        <v>28</v>
      </c>
      <c r="S328" t="s">
        <v>1593</v>
      </c>
      <c r="T328" t="s">
        <v>1594</v>
      </c>
      <c r="U328" t="s">
        <v>60</v>
      </c>
      <c r="V328" t="s">
        <v>60</v>
      </c>
      <c r="W328" t="s">
        <v>135</v>
      </c>
      <c r="X328" t="s">
        <v>34</v>
      </c>
      <c r="Y328" t="str">
        <f>"770534318   "</f>
        <v xml:space="preserve">770534318   </v>
      </c>
    </row>
    <row r="329" spans="1:25" x14ac:dyDescent="0.25">
      <c r="A329" t="s">
        <v>1595</v>
      </c>
      <c r="B329" t="s">
        <v>1596</v>
      </c>
      <c r="C329">
        <v>2019</v>
      </c>
      <c r="D329">
        <v>8001</v>
      </c>
      <c r="E329">
        <v>3</v>
      </c>
      <c r="F329" t="s">
        <v>1597</v>
      </c>
      <c r="G329">
        <v>0</v>
      </c>
      <c r="J329">
        <v>6.71</v>
      </c>
      <c r="L329">
        <v>41711504</v>
      </c>
      <c r="M329" s="1">
        <v>43768</v>
      </c>
      <c r="N329" t="str">
        <f>"J191030AW2"</f>
        <v>J191030AW2</v>
      </c>
      <c r="O329" t="s">
        <v>28</v>
      </c>
      <c r="Q329" t="s">
        <v>29</v>
      </c>
      <c r="R329" t="s">
        <v>28</v>
      </c>
      <c r="S329" t="s">
        <v>1597</v>
      </c>
      <c r="T329" t="s">
        <v>1598</v>
      </c>
      <c r="U329" t="s">
        <v>60</v>
      </c>
      <c r="V329" t="s">
        <v>60</v>
      </c>
      <c r="W329" t="s">
        <v>135</v>
      </c>
      <c r="X329" t="s">
        <v>34</v>
      </c>
      <c r="Y329" t="str">
        <f>"770534322   "</f>
        <v xml:space="preserve">770534322   </v>
      </c>
    </row>
    <row r="330" spans="1:25" x14ac:dyDescent="0.25">
      <c r="A330" t="s">
        <v>1599</v>
      </c>
      <c r="B330" t="s">
        <v>1600</v>
      </c>
      <c r="C330">
        <v>2020</v>
      </c>
      <c r="D330">
        <v>8001</v>
      </c>
      <c r="E330">
        <v>13</v>
      </c>
      <c r="F330" t="s">
        <v>1601</v>
      </c>
      <c r="G330">
        <v>27268118</v>
      </c>
      <c r="J330">
        <v>225.89</v>
      </c>
      <c r="L330">
        <v>44386399</v>
      </c>
      <c r="M330" s="1">
        <v>44147</v>
      </c>
      <c r="N330" t="str">
        <f>"TE201112"</f>
        <v>TE201112</v>
      </c>
      <c r="O330" t="s">
        <v>28</v>
      </c>
      <c r="Q330" t="s">
        <v>29</v>
      </c>
      <c r="R330" t="s">
        <v>28</v>
      </c>
      <c r="S330" t="s">
        <v>1602</v>
      </c>
      <c r="T330" t="s">
        <v>1603</v>
      </c>
      <c r="W330" t="s">
        <v>75</v>
      </c>
      <c r="X330" t="s">
        <v>34</v>
      </c>
      <c r="Y330" t="str">
        <f>"770534347"</f>
        <v>770534347</v>
      </c>
    </row>
    <row r="331" spans="1:25" x14ac:dyDescent="0.25">
      <c r="A331" t="s">
        <v>1599</v>
      </c>
      <c r="B331" t="s">
        <v>1600</v>
      </c>
      <c r="C331">
        <v>2020</v>
      </c>
      <c r="D331">
        <v>8001</v>
      </c>
      <c r="E331">
        <v>13</v>
      </c>
      <c r="F331" t="s">
        <v>1601</v>
      </c>
      <c r="G331">
        <v>27268118</v>
      </c>
      <c r="J331">
        <v>300</v>
      </c>
      <c r="L331">
        <v>44485830</v>
      </c>
      <c r="M331" s="1">
        <v>44147</v>
      </c>
      <c r="N331" t="str">
        <f>"TE201112"</f>
        <v>TE201112</v>
      </c>
      <c r="O331" t="s">
        <v>28</v>
      </c>
      <c r="Q331" t="s">
        <v>29</v>
      </c>
      <c r="R331" t="s">
        <v>28</v>
      </c>
      <c r="S331" t="s">
        <v>1602</v>
      </c>
      <c r="T331" t="s">
        <v>1603</v>
      </c>
      <c r="W331" t="s">
        <v>75</v>
      </c>
      <c r="X331" t="s">
        <v>34</v>
      </c>
      <c r="Y331" t="str">
        <f>"770534347"</f>
        <v>770534347</v>
      </c>
    </row>
    <row r="332" spans="1:25" x14ac:dyDescent="0.25">
      <c r="A332" t="s">
        <v>1599</v>
      </c>
      <c r="B332" t="s">
        <v>1600</v>
      </c>
      <c r="C332">
        <v>2020</v>
      </c>
      <c r="D332">
        <v>8001</v>
      </c>
      <c r="E332">
        <v>13</v>
      </c>
      <c r="F332" t="s">
        <v>1601</v>
      </c>
      <c r="G332">
        <v>27268118</v>
      </c>
      <c r="J332">
        <v>200</v>
      </c>
      <c r="L332">
        <v>44536002</v>
      </c>
      <c r="M332" s="1">
        <v>44147</v>
      </c>
      <c r="N332" t="str">
        <f>"TE201112"</f>
        <v>TE201112</v>
      </c>
      <c r="O332" t="s">
        <v>28</v>
      </c>
      <c r="Q332" t="s">
        <v>29</v>
      </c>
      <c r="R332" t="s">
        <v>28</v>
      </c>
      <c r="S332" t="s">
        <v>1602</v>
      </c>
      <c r="T332" t="s">
        <v>1603</v>
      </c>
      <c r="W332" t="s">
        <v>75</v>
      </c>
      <c r="X332" t="s">
        <v>34</v>
      </c>
      <c r="Y332" t="str">
        <f>"770534347"</f>
        <v>770534347</v>
      </c>
    </row>
    <row r="333" spans="1:25" x14ac:dyDescent="0.25">
      <c r="A333" t="s">
        <v>1604</v>
      </c>
      <c r="B333" t="s">
        <v>1605</v>
      </c>
      <c r="C333">
        <v>2021</v>
      </c>
      <c r="D333">
        <v>8001</v>
      </c>
      <c r="E333">
        <v>1</v>
      </c>
      <c r="F333" t="s">
        <v>1606</v>
      </c>
      <c r="G333">
        <v>31036080</v>
      </c>
      <c r="J333">
        <v>604.6</v>
      </c>
      <c r="L333">
        <v>49604388</v>
      </c>
      <c r="M333" s="1">
        <v>44588</v>
      </c>
      <c r="N333" t="str">
        <f>"RC220309"</f>
        <v>RC220309</v>
      </c>
      <c r="O333" t="s">
        <v>28</v>
      </c>
      <c r="Q333" t="s">
        <v>29</v>
      </c>
      <c r="R333" t="s">
        <v>28</v>
      </c>
      <c r="S333" t="s">
        <v>1607</v>
      </c>
      <c r="T333" t="s">
        <v>1608</v>
      </c>
      <c r="W333" t="s">
        <v>75</v>
      </c>
      <c r="X333" t="s">
        <v>34</v>
      </c>
      <c r="Y333" t="str">
        <f>"77082"</f>
        <v>77082</v>
      </c>
    </row>
    <row r="334" spans="1:25" x14ac:dyDescent="0.25">
      <c r="A334" t="s">
        <v>1609</v>
      </c>
      <c r="B334" t="s">
        <v>1610</v>
      </c>
      <c r="C334">
        <v>2020</v>
      </c>
      <c r="D334">
        <v>8001</v>
      </c>
      <c r="E334">
        <v>1</v>
      </c>
      <c r="F334" t="s">
        <v>1611</v>
      </c>
      <c r="G334">
        <v>29896683</v>
      </c>
      <c r="J334">
        <v>237.48</v>
      </c>
      <c r="L334">
        <v>47568755</v>
      </c>
      <c r="M334" s="1">
        <v>44377</v>
      </c>
      <c r="N334" t="str">
        <f>"O210630V1"</f>
        <v>O210630V1</v>
      </c>
      <c r="O334" t="s">
        <v>28</v>
      </c>
      <c r="Q334" t="s">
        <v>29</v>
      </c>
      <c r="R334" t="s">
        <v>28</v>
      </c>
      <c r="S334" t="s">
        <v>1612</v>
      </c>
      <c r="T334" t="s">
        <v>1613</v>
      </c>
      <c r="U334" t="s">
        <v>1614</v>
      </c>
      <c r="W334" t="s">
        <v>1615</v>
      </c>
      <c r="X334" t="s">
        <v>143</v>
      </c>
      <c r="Y334" t="str">
        <f>"191156320"</f>
        <v>191156320</v>
      </c>
    </row>
    <row r="335" spans="1:25" x14ac:dyDescent="0.25">
      <c r="A335" t="s">
        <v>1616</v>
      </c>
      <c r="B335" t="s">
        <v>1617</v>
      </c>
      <c r="C335">
        <v>2018</v>
      </c>
      <c r="D335">
        <v>8001</v>
      </c>
      <c r="E335">
        <v>1</v>
      </c>
      <c r="F335" t="s">
        <v>1618</v>
      </c>
      <c r="G335">
        <v>27328775</v>
      </c>
      <c r="J335">
        <v>48.03</v>
      </c>
      <c r="L335">
        <v>41063816</v>
      </c>
      <c r="M335" s="1">
        <v>43558</v>
      </c>
      <c r="N335" t="str">
        <f>"EK190403"</f>
        <v>EK190403</v>
      </c>
      <c r="O335" t="s">
        <v>28</v>
      </c>
      <c r="Q335" t="s">
        <v>29</v>
      </c>
      <c r="R335" t="s">
        <v>28</v>
      </c>
      <c r="S335" t="s">
        <v>1619</v>
      </c>
      <c r="T335" t="s">
        <v>1620</v>
      </c>
      <c r="W335" t="s">
        <v>75</v>
      </c>
      <c r="X335" t="s">
        <v>34</v>
      </c>
      <c r="Y335" t="str">
        <f>"77083"</f>
        <v>77083</v>
      </c>
    </row>
    <row r="336" spans="1:25" x14ac:dyDescent="0.25">
      <c r="A336" t="s">
        <v>1621</v>
      </c>
      <c r="B336" t="s">
        <v>1622</v>
      </c>
      <c r="C336">
        <v>2018</v>
      </c>
      <c r="D336">
        <v>8001</v>
      </c>
      <c r="E336">
        <v>1</v>
      </c>
      <c r="F336" t="s">
        <v>1623</v>
      </c>
      <c r="G336">
        <v>27409607</v>
      </c>
      <c r="J336">
        <v>50</v>
      </c>
      <c r="L336">
        <v>41239223</v>
      </c>
      <c r="M336" s="1">
        <v>43613</v>
      </c>
      <c r="N336" t="str">
        <f>"O190528BT1"</f>
        <v>O190528BT1</v>
      </c>
      <c r="O336" t="s">
        <v>28</v>
      </c>
      <c r="Q336" t="s">
        <v>29</v>
      </c>
      <c r="R336" t="s">
        <v>28</v>
      </c>
      <c r="S336" t="s">
        <v>1624</v>
      </c>
      <c r="T336" t="s">
        <v>1625</v>
      </c>
      <c r="W336" t="s">
        <v>40</v>
      </c>
      <c r="X336" t="s">
        <v>34</v>
      </c>
      <c r="Y336" t="str">
        <f>"774987598"</f>
        <v>774987598</v>
      </c>
    </row>
    <row r="337" spans="1:25" x14ac:dyDescent="0.25">
      <c r="A337" t="s">
        <v>1626</v>
      </c>
      <c r="B337" t="s">
        <v>1627</v>
      </c>
      <c r="C337">
        <v>2021</v>
      </c>
      <c r="D337">
        <v>8001</v>
      </c>
      <c r="E337">
        <v>1</v>
      </c>
      <c r="F337" t="s">
        <v>1628</v>
      </c>
      <c r="G337">
        <v>30818821</v>
      </c>
      <c r="J337">
        <v>398.22</v>
      </c>
      <c r="L337">
        <v>49798421</v>
      </c>
      <c r="M337" s="1">
        <v>44593</v>
      </c>
      <c r="N337" t="str">
        <f>"O220201AG5"</f>
        <v>O220201AG5</v>
      </c>
      <c r="O337" t="s">
        <v>28</v>
      </c>
      <c r="Q337" t="s">
        <v>29</v>
      </c>
      <c r="R337" t="s">
        <v>28</v>
      </c>
      <c r="S337" t="s">
        <v>1629</v>
      </c>
      <c r="T337" t="s">
        <v>1630</v>
      </c>
      <c r="W337" t="s">
        <v>392</v>
      </c>
      <c r="X337" t="s">
        <v>34</v>
      </c>
      <c r="Y337" t="str">
        <f>"77459"</f>
        <v>77459</v>
      </c>
    </row>
    <row r="338" spans="1:25" x14ac:dyDescent="0.25">
      <c r="A338" t="s">
        <v>1631</v>
      </c>
      <c r="B338" t="s">
        <v>1632</v>
      </c>
      <c r="C338">
        <v>2020</v>
      </c>
      <c r="D338">
        <v>8001</v>
      </c>
      <c r="E338">
        <v>1</v>
      </c>
      <c r="F338" t="s">
        <v>1633</v>
      </c>
      <c r="G338">
        <v>29576642</v>
      </c>
      <c r="J338">
        <v>349.07</v>
      </c>
      <c r="L338">
        <v>46673584</v>
      </c>
      <c r="M338" s="1">
        <v>44229</v>
      </c>
      <c r="N338" t="str">
        <f>"RC210301"</f>
        <v>RC210301</v>
      </c>
      <c r="O338" t="s">
        <v>28</v>
      </c>
      <c r="Q338" t="s">
        <v>29</v>
      </c>
      <c r="R338" t="s">
        <v>28</v>
      </c>
      <c r="S338" t="s">
        <v>1634</v>
      </c>
      <c r="T338" t="s">
        <v>1635</v>
      </c>
      <c r="U338" t="s">
        <v>1636</v>
      </c>
      <c r="W338" t="s">
        <v>75</v>
      </c>
      <c r="X338" t="s">
        <v>34</v>
      </c>
      <c r="Y338" t="str">
        <f>"77089"</f>
        <v>77089</v>
      </c>
    </row>
    <row r="339" spans="1:25" x14ac:dyDescent="0.25">
      <c r="A339" t="s">
        <v>1637</v>
      </c>
      <c r="B339" t="s">
        <v>1638</v>
      </c>
      <c r="C339">
        <v>2020</v>
      </c>
      <c r="D339">
        <v>8001</v>
      </c>
      <c r="E339">
        <v>1</v>
      </c>
      <c r="F339" t="s">
        <v>1639</v>
      </c>
      <c r="G339">
        <v>29461851</v>
      </c>
      <c r="J339">
        <v>247.47</v>
      </c>
      <c r="L339">
        <v>46728851</v>
      </c>
      <c r="M339" s="1">
        <v>44230</v>
      </c>
      <c r="N339" t="str">
        <f>"EK210203"</f>
        <v>EK210203</v>
      </c>
      <c r="O339" t="s">
        <v>28</v>
      </c>
      <c r="Q339" t="s">
        <v>29</v>
      </c>
      <c r="R339" t="s">
        <v>28</v>
      </c>
      <c r="S339" t="s">
        <v>1640</v>
      </c>
      <c r="T339" t="s">
        <v>1641</v>
      </c>
      <c r="W339" t="s">
        <v>81</v>
      </c>
      <c r="X339" t="s">
        <v>34</v>
      </c>
      <c r="Y339" t="str">
        <f>"77469"</f>
        <v>77469</v>
      </c>
    </row>
    <row r="340" spans="1:25" x14ac:dyDescent="0.25">
      <c r="A340" t="s">
        <v>1642</v>
      </c>
      <c r="B340" t="s">
        <v>1643</v>
      </c>
      <c r="C340">
        <v>2020</v>
      </c>
      <c r="D340">
        <v>8001</v>
      </c>
      <c r="E340">
        <v>2</v>
      </c>
      <c r="F340" t="s">
        <v>1644</v>
      </c>
      <c r="G340">
        <v>0</v>
      </c>
      <c r="J340">
        <v>23.52</v>
      </c>
      <c r="L340">
        <v>47046493</v>
      </c>
      <c r="M340" s="1">
        <v>44260</v>
      </c>
      <c r="N340" t="str">
        <f>"J210305BW6"</f>
        <v>J210305BW6</v>
      </c>
      <c r="O340" t="s">
        <v>28</v>
      </c>
      <c r="Q340" t="s">
        <v>29</v>
      </c>
      <c r="R340" t="s">
        <v>28</v>
      </c>
      <c r="S340" t="s">
        <v>1644</v>
      </c>
      <c r="T340" t="s">
        <v>1645</v>
      </c>
      <c r="U340" t="s">
        <v>60</v>
      </c>
      <c r="V340" t="s">
        <v>60</v>
      </c>
      <c r="W340" t="s">
        <v>214</v>
      </c>
      <c r="X340" t="s">
        <v>34</v>
      </c>
      <c r="Y340" t="str">
        <f>"774696223   "</f>
        <v xml:space="preserve">774696223   </v>
      </c>
    </row>
    <row r="341" spans="1:25" x14ac:dyDescent="0.25">
      <c r="A341" t="s">
        <v>1646</v>
      </c>
      <c r="B341" t="s">
        <v>1647</v>
      </c>
      <c r="C341">
        <v>2020</v>
      </c>
      <c r="D341">
        <v>8001</v>
      </c>
      <c r="E341">
        <v>1</v>
      </c>
      <c r="F341" t="s">
        <v>1648</v>
      </c>
      <c r="G341">
        <v>29489543</v>
      </c>
      <c r="J341">
        <v>95.04</v>
      </c>
      <c r="L341">
        <v>46782242</v>
      </c>
      <c r="M341" s="1">
        <v>44231</v>
      </c>
      <c r="N341" t="str">
        <f>"CC210204"</f>
        <v>CC210204</v>
      </c>
      <c r="O341" t="s">
        <v>28</v>
      </c>
      <c r="Q341" t="s">
        <v>29</v>
      </c>
      <c r="R341" t="s">
        <v>28</v>
      </c>
      <c r="S341" t="s">
        <v>1649</v>
      </c>
      <c r="T341" t="s">
        <v>1650</v>
      </c>
      <c r="W341" t="s">
        <v>81</v>
      </c>
      <c r="X341" t="s">
        <v>34</v>
      </c>
      <c r="Y341" t="str">
        <f>"77469"</f>
        <v>77469</v>
      </c>
    </row>
    <row r="342" spans="1:25" x14ac:dyDescent="0.25">
      <c r="A342" t="s">
        <v>1651</v>
      </c>
      <c r="B342" t="s">
        <v>1652</v>
      </c>
      <c r="C342">
        <v>2020</v>
      </c>
      <c r="D342">
        <v>8001</v>
      </c>
      <c r="E342">
        <v>1</v>
      </c>
      <c r="F342" t="s">
        <v>1653</v>
      </c>
      <c r="G342">
        <v>29489544</v>
      </c>
      <c r="J342">
        <v>95.02</v>
      </c>
      <c r="L342">
        <v>46782243</v>
      </c>
      <c r="M342" s="1">
        <v>44231</v>
      </c>
      <c r="N342" t="str">
        <f>"CC210204"</f>
        <v>CC210204</v>
      </c>
      <c r="O342" t="s">
        <v>28</v>
      </c>
      <c r="Q342" t="s">
        <v>29</v>
      </c>
      <c r="R342" t="s">
        <v>28</v>
      </c>
      <c r="S342" t="s">
        <v>1649</v>
      </c>
      <c r="T342" t="s">
        <v>1650</v>
      </c>
      <c r="W342" t="s">
        <v>81</v>
      </c>
      <c r="X342" t="s">
        <v>34</v>
      </c>
      <c r="Y342" t="str">
        <f>"77469"</f>
        <v>77469</v>
      </c>
    </row>
    <row r="343" spans="1:25" x14ac:dyDescent="0.25">
      <c r="A343" t="s">
        <v>1654</v>
      </c>
      <c r="B343" t="s">
        <v>1655</v>
      </c>
      <c r="C343">
        <v>2020</v>
      </c>
      <c r="D343">
        <v>8001</v>
      </c>
      <c r="E343">
        <v>1</v>
      </c>
      <c r="F343" t="s">
        <v>1656</v>
      </c>
      <c r="G343">
        <v>29489545</v>
      </c>
      <c r="J343">
        <v>108.11</v>
      </c>
      <c r="L343">
        <v>46782244</v>
      </c>
      <c r="M343" s="1">
        <v>44231</v>
      </c>
      <c r="N343" t="str">
        <f>"CC210204"</f>
        <v>CC210204</v>
      </c>
      <c r="O343" t="s">
        <v>28</v>
      </c>
      <c r="Q343" t="s">
        <v>29</v>
      </c>
      <c r="R343" t="s">
        <v>28</v>
      </c>
      <c r="S343" t="s">
        <v>1649</v>
      </c>
      <c r="T343" t="s">
        <v>1650</v>
      </c>
      <c r="W343" t="s">
        <v>81</v>
      </c>
      <c r="X343" t="s">
        <v>34</v>
      </c>
      <c r="Y343" t="str">
        <f>"77469"</f>
        <v>77469</v>
      </c>
    </row>
    <row r="344" spans="1:25" x14ac:dyDescent="0.25">
      <c r="A344" t="s">
        <v>1657</v>
      </c>
      <c r="B344" t="s">
        <v>1658</v>
      </c>
      <c r="C344">
        <v>2020</v>
      </c>
      <c r="D344">
        <v>8001</v>
      </c>
      <c r="E344">
        <v>1</v>
      </c>
      <c r="F344" t="s">
        <v>1659</v>
      </c>
      <c r="G344">
        <v>29095552</v>
      </c>
      <c r="J344">
        <v>182.63</v>
      </c>
      <c r="L344">
        <v>45519523</v>
      </c>
      <c r="M344" s="1">
        <v>44194</v>
      </c>
      <c r="N344" t="str">
        <f>"RC210115"</f>
        <v>RC210115</v>
      </c>
      <c r="O344" t="s">
        <v>28</v>
      </c>
      <c r="Q344" t="s">
        <v>29</v>
      </c>
      <c r="R344" t="s">
        <v>28</v>
      </c>
      <c r="S344" t="s">
        <v>1660</v>
      </c>
      <c r="T344" t="s">
        <v>1661</v>
      </c>
      <c r="U344" t="s">
        <v>1662</v>
      </c>
      <c r="W344" t="s">
        <v>81</v>
      </c>
      <c r="X344" t="s">
        <v>34</v>
      </c>
      <c r="Y344" t="str">
        <f>"77469"</f>
        <v>77469</v>
      </c>
    </row>
    <row r="345" spans="1:25" x14ac:dyDescent="0.25">
      <c r="A345" t="s">
        <v>1663</v>
      </c>
      <c r="B345" t="s">
        <v>1664</v>
      </c>
      <c r="C345">
        <v>2019</v>
      </c>
      <c r="D345">
        <v>8001</v>
      </c>
      <c r="E345">
        <v>1</v>
      </c>
      <c r="F345" t="s">
        <v>1665</v>
      </c>
      <c r="G345">
        <v>0</v>
      </c>
      <c r="J345">
        <v>67.400000000000006</v>
      </c>
      <c r="L345">
        <v>44049844</v>
      </c>
      <c r="M345" s="1">
        <v>43930</v>
      </c>
      <c r="N345" t="str">
        <f>"J200409F16"</f>
        <v>J200409F16</v>
      </c>
      <c r="O345" t="s">
        <v>28</v>
      </c>
      <c r="Q345" t="s">
        <v>29</v>
      </c>
      <c r="R345" t="s">
        <v>28</v>
      </c>
      <c r="S345" t="s">
        <v>1665</v>
      </c>
      <c r="T345" t="s">
        <v>1666</v>
      </c>
      <c r="U345" t="s">
        <v>60</v>
      </c>
      <c r="V345" t="s">
        <v>60</v>
      </c>
      <c r="W345" t="s">
        <v>214</v>
      </c>
      <c r="X345" t="s">
        <v>34</v>
      </c>
      <c r="Y345" t="str">
        <f>"774067264   "</f>
        <v xml:space="preserve">774067264   </v>
      </c>
    </row>
    <row r="346" spans="1:25" x14ac:dyDescent="0.25">
      <c r="A346" t="s">
        <v>1667</v>
      </c>
      <c r="B346" t="s">
        <v>1668</v>
      </c>
      <c r="C346">
        <v>2020</v>
      </c>
      <c r="D346">
        <v>8001</v>
      </c>
      <c r="E346">
        <v>2</v>
      </c>
      <c r="F346" t="s">
        <v>1669</v>
      </c>
      <c r="G346">
        <v>29448469</v>
      </c>
      <c r="J346">
        <v>48.07</v>
      </c>
      <c r="L346">
        <v>47194453</v>
      </c>
      <c r="M346" s="1">
        <v>44284</v>
      </c>
      <c r="N346" t="str">
        <f>"RC210414"</f>
        <v>RC210414</v>
      </c>
      <c r="O346" t="s">
        <v>28</v>
      </c>
      <c r="Q346" t="s">
        <v>29</v>
      </c>
      <c r="R346" t="s">
        <v>28</v>
      </c>
      <c r="S346" t="s">
        <v>1033</v>
      </c>
      <c r="T346" t="s">
        <v>1034</v>
      </c>
      <c r="W346" t="s">
        <v>168</v>
      </c>
      <c r="X346" t="s">
        <v>169</v>
      </c>
      <c r="Y346" t="str">
        <f>"801114720"</f>
        <v>801114720</v>
      </c>
    </row>
    <row r="347" spans="1:25" x14ac:dyDescent="0.25">
      <c r="A347" t="s">
        <v>1667</v>
      </c>
      <c r="B347" t="s">
        <v>1668</v>
      </c>
      <c r="C347">
        <v>2020</v>
      </c>
      <c r="D347">
        <v>8001</v>
      </c>
      <c r="E347">
        <v>2</v>
      </c>
      <c r="F347" t="s">
        <v>1669</v>
      </c>
      <c r="G347">
        <v>29608112</v>
      </c>
      <c r="J347">
        <v>756.96</v>
      </c>
      <c r="L347">
        <v>47194454</v>
      </c>
      <c r="M347" s="1">
        <v>44284</v>
      </c>
      <c r="N347" t="str">
        <f>"RC210414"</f>
        <v>RC210414</v>
      </c>
      <c r="O347" t="s">
        <v>28</v>
      </c>
      <c r="Q347" t="s">
        <v>29</v>
      </c>
      <c r="R347" t="s">
        <v>28</v>
      </c>
      <c r="S347" t="s">
        <v>1670</v>
      </c>
      <c r="T347" t="s">
        <v>1015</v>
      </c>
      <c r="W347" t="s">
        <v>563</v>
      </c>
      <c r="X347" t="s">
        <v>34</v>
      </c>
      <c r="Y347" t="str">
        <f>"750630156"</f>
        <v>750630156</v>
      </c>
    </row>
    <row r="348" spans="1:25" x14ac:dyDescent="0.25">
      <c r="A348" t="s">
        <v>1671</v>
      </c>
      <c r="B348" t="s">
        <v>1672</v>
      </c>
      <c r="C348">
        <v>2019</v>
      </c>
      <c r="D348">
        <v>8001</v>
      </c>
      <c r="E348">
        <v>1</v>
      </c>
      <c r="F348" t="s">
        <v>1673</v>
      </c>
      <c r="G348">
        <v>0</v>
      </c>
      <c r="J348">
        <v>21.71</v>
      </c>
      <c r="L348">
        <v>44048621</v>
      </c>
      <c r="M348" s="1">
        <v>43930</v>
      </c>
      <c r="N348" t="str">
        <f>"J200409F12"</f>
        <v>J200409F12</v>
      </c>
      <c r="O348" t="s">
        <v>28</v>
      </c>
      <c r="Q348" t="s">
        <v>29</v>
      </c>
      <c r="R348" t="s">
        <v>28</v>
      </c>
      <c r="S348" t="s">
        <v>1673</v>
      </c>
      <c r="T348" t="s">
        <v>1674</v>
      </c>
      <c r="U348" t="s">
        <v>1675</v>
      </c>
      <c r="V348" t="s">
        <v>60</v>
      </c>
      <c r="W348" t="s">
        <v>1137</v>
      </c>
      <c r="X348" t="s">
        <v>34</v>
      </c>
      <c r="Y348" t="str">
        <f>"774506233   "</f>
        <v xml:space="preserve">774506233   </v>
      </c>
    </row>
    <row r="349" spans="1:25" x14ac:dyDescent="0.25">
      <c r="A349" t="s">
        <v>1676</v>
      </c>
      <c r="B349" t="s">
        <v>1677</v>
      </c>
      <c r="C349">
        <v>2020</v>
      </c>
      <c r="D349">
        <v>8001</v>
      </c>
      <c r="E349">
        <v>1</v>
      </c>
      <c r="F349" t="s">
        <v>1678</v>
      </c>
      <c r="G349">
        <v>29974054</v>
      </c>
      <c r="J349">
        <v>75.209999999999994</v>
      </c>
      <c r="L349">
        <v>47692939</v>
      </c>
      <c r="M349" s="1">
        <v>44419</v>
      </c>
      <c r="N349" t="str">
        <f>"RC210820"</f>
        <v>RC210820</v>
      </c>
      <c r="O349" t="s">
        <v>28</v>
      </c>
      <c r="Q349" t="s">
        <v>29</v>
      </c>
      <c r="R349" t="s">
        <v>28</v>
      </c>
      <c r="S349" t="s">
        <v>1679</v>
      </c>
      <c r="T349" t="s">
        <v>203</v>
      </c>
      <c r="U349" t="s">
        <v>1680</v>
      </c>
      <c r="V349" t="s">
        <v>1681</v>
      </c>
      <c r="W349" t="s">
        <v>75</v>
      </c>
      <c r="X349" t="s">
        <v>34</v>
      </c>
      <c r="Y349" t="str">
        <f>"77056"</f>
        <v>77056</v>
      </c>
    </row>
    <row r="350" spans="1:25" x14ac:dyDescent="0.25">
      <c r="A350" t="s">
        <v>1682</v>
      </c>
      <c r="B350" t="s">
        <v>1683</v>
      </c>
      <c r="C350">
        <v>2019</v>
      </c>
      <c r="D350">
        <v>8001</v>
      </c>
      <c r="E350">
        <v>2</v>
      </c>
      <c r="F350" t="s">
        <v>1684</v>
      </c>
      <c r="G350">
        <v>28021741</v>
      </c>
      <c r="J350">
        <v>179.82</v>
      </c>
      <c r="L350">
        <v>43226555</v>
      </c>
      <c r="M350" s="1">
        <v>43858</v>
      </c>
      <c r="N350" t="str">
        <f>"J200128AW2"</f>
        <v>J200128AW2</v>
      </c>
      <c r="O350" t="s">
        <v>28</v>
      </c>
      <c r="Q350" t="s">
        <v>29</v>
      </c>
      <c r="R350" t="s">
        <v>28</v>
      </c>
      <c r="S350" t="s">
        <v>1326</v>
      </c>
      <c r="T350" t="s">
        <v>1685</v>
      </c>
      <c r="U350" t="s">
        <v>1327</v>
      </c>
      <c r="W350" t="s">
        <v>1328</v>
      </c>
      <c r="X350" t="s">
        <v>162</v>
      </c>
      <c r="Y350" t="str">
        <f>"08054"</f>
        <v>08054</v>
      </c>
    </row>
    <row r="351" spans="1:25" x14ac:dyDescent="0.25">
      <c r="A351" t="s">
        <v>1686</v>
      </c>
      <c r="B351" t="s">
        <v>1687</v>
      </c>
      <c r="C351">
        <v>2020</v>
      </c>
      <c r="D351">
        <v>8001</v>
      </c>
      <c r="E351">
        <v>1</v>
      </c>
      <c r="F351" t="s">
        <v>1688</v>
      </c>
      <c r="G351">
        <v>29461649</v>
      </c>
      <c r="J351">
        <v>416.18</v>
      </c>
      <c r="L351">
        <v>46728649</v>
      </c>
      <c r="M351" s="1">
        <v>44230</v>
      </c>
      <c r="N351" t="str">
        <f>"EK210203"</f>
        <v>EK210203</v>
      </c>
      <c r="O351" t="s">
        <v>28</v>
      </c>
      <c r="Q351" t="s">
        <v>29</v>
      </c>
      <c r="R351" t="s">
        <v>28</v>
      </c>
      <c r="S351" t="s">
        <v>1689</v>
      </c>
      <c r="T351" t="s">
        <v>1690</v>
      </c>
      <c r="W351" t="s">
        <v>107</v>
      </c>
      <c r="X351" t="s">
        <v>34</v>
      </c>
      <c r="Y351" t="str">
        <f>"77450"</f>
        <v>77450</v>
      </c>
    </row>
    <row r="352" spans="1:25" x14ac:dyDescent="0.25">
      <c r="A352" t="s">
        <v>1691</v>
      </c>
      <c r="B352" t="s">
        <v>1692</v>
      </c>
      <c r="C352">
        <v>2019</v>
      </c>
      <c r="D352">
        <v>8001</v>
      </c>
      <c r="E352">
        <v>1</v>
      </c>
      <c r="F352" t="s">
        <v>1693</v>
      </c>
      <c r="G352">
        <v>28305729</v>
      </c>
      <c r="J352">
        <v>139.38</v>
      </c>
      <c r="L352">
        <v>43875784</v>
      </c>
      <c r="M352" s="1">
        <v>43894</v>
      </c>
      <c r="N352" t="str">
        <f>"EK200304"</f>
        <v>EK200304</v>
      </c>
      <c r="O352" t="s">
        <v>28</v>
      </c>
      <c r="Q352" t="s">
        <v>29</v>
      </c>
      <c r="R352" t="s">
        <v>28</v>
      </c>
      <c r="S352" t="s">
        <v>1694</v>
      </c>
      <c r="T352" t="s">
        <v>1695</v>
      </c>
      <c r="W352" t="s">
        <v>107</v>
      </c>
      <c r="X352" t="s">
        <v>34</v>
      </c>
      <c r="Y352" t="str">
        <f>"77494"</f>
        <v>77494</v>
      </c>
    </row>
    <row r="353" spans="1:25" x14ac:dyDescent="0.25">
      <c r="A353" t="s">
        <v>1696</v>
      </c>
      <c r="B353" t="s">
        <v>1697</v>
      </c>
      <c r="C353">
        <v>2020</v>
      </c>
      <c r="D353">
        <v>8001</v>
      </c>
      <c r="E353">
        <v>2</v>
      </c>
      <c r="F353" t="s">
        <v>1698</v>
      </c>
      <c r="G353">
        <v>25586306</v>
      </c>
      <c r="J353">
        <v>20.8</v>
      </c>
      <c r="L353">
        <v>47728763</v>
      </c>
      <c r="M353" s="1">
        <v>44440</v>
      </c>
      <c r="N353" t="str">
        <f>"RC210915"</f>
        <v>RC210915</v>
      </c>
      <c r="O353" t="s">
        <v>28</v>
      </c>
      <c r="Q353" t="s">
        <v>29</v>
      </c>
      <c r="R353" t="s">
        <v>28</v>
      </c>
      <c r="S353" t="s">
        <v>1699</v>
      </c>
      <c r="U353" t="s">
        <v>1700</v>
      </c>
      <c r="V353" t="s">
        <v>562</v>
      </c>
      <c r="W353" t="s">
        <v>563</v>
      </c>
      <c r="X353" t="s">
        <v>34</v>
      </c>
      <c r="Y353" t="str">
        <f>"750630156"</f>
        <v>750630156</v>
      </c>
    </row>
    <row r="354" spans="1:25" x14ac:dyDescent="0.25">
      <c r="A354" t="s">
        <v>1701</v>
      </c>
      <c r="B354" t="s">
        <v>1702</v>
      </c>
      <c r="C354">
        <v>2020</v>
      </c>
      <c r="D354">
        <v>8001</v>
      </c>
      <c r="E354">
        <v>1</v>
      </c>
      <c r="F354" t="s">
        <v>1703</v>
      </c>
      <c r="G354">
        <v>29489548</v>
      </c>
      <c r="J354">
        <v>145.41</v>
      </c>
      <c r="L354">
        <v>46782247</v>
      </c>
      <c r="M354" s="1">
        <v>44231</v>
      </c>
      <c r="N354" t="str">
        <f>"CC210204"</f>
        <v>CC210204</v>
      </c>
      <c r="O354" t="s">
        <v>28</v>
      </c>
      <c r="Q354" t="s">
        <v>29</v>
      </c>
      <c r="R354" t="s">
        <v>28</v>
      </c>
      <c r="S354" t="s">
        <v>1649</v>
      </c>
      <c r="T354" t="s">
        <v>1650</v>
      </c>
      <c r="W354" t="s">
        <v>81</v>
      </c>
      <c r="X354" t="s">
        <v>34</v>
      </c>
      <c r="Y354" t="str">
        <f>"77469"</f>
        <v>77469</v>
      </c>
    </row>
    <row r="355" spans="1:25" x14ac:dyDescent="0.25">
      <c r="A355" t="s">
        <v>1704</v>
      </c>
      <c r="B355" t="s">
        <v>1705</v>
      </c>
      <c r="C355">
        <v>2020</v>
      </c>
      <c r="D355">
        <v>8001</v>
      </c>
      <c r="E355">
        <v>1</v>
      </c>
      <c r="F355" t="s">
        <v>1706</v>
      </c>
      <c r="G355">
        <v>29489549</v>
      </c>
      <c r="J355">
        <v>84.55</v>
      </c>
      <c r="L355">
        <v>46782248</v>
      </c>
      <c r="M355" s="1">
        <v>44231</v>
      </c>
      <c r="N355" t="str">
        <f>"CC210204"</f>
        <v>CC210204</v>
      </c>
      <c r="O355" t="s">
        <v>28</v>
      </c>
      <c r="Q355" t="s">
        <v>29</v>
      </c>
      <c r="R355" t="s">
        <v>28</v>
      </c>
      <c r="S355" t="s">
        <v>1649</v>
      </c>
      <c r="T355" t="s">
        <v>1650</v>
      </c>
      <c r="W355" t="s">
        <v>81</v>
      </c>
      <c r="X355" t="s">
        <v>34</v>
      </c>
      <c r="Y355" t="str">
        <f>"77469"</f>
        <v>77469</v>
      </c>
    </row>
    <row r="356" spans="1:25" x14ac:dyDescent="0.25">
      <c r="A356" t="s">
        <v>1707</v>
      </c>
      <c r="B356" t="s">
        <v>1708</v>
      </c>
      <c r="C356">
        <v>2020</v>
      </c>
      <c r="D356">
        <v>8001</v>
      </c>
      <c r="E356">
        <v>2</v>
      </c>
      <c r="F356" t="s">
        <v>1709</v>
      </c>
      <c r="G356">
        <v>0</v>
      </c>
      <c r="J356">
        <v>9.99</v>
      </c>
      <c r="L356">
        <v>47519904</v>
      </c>
      <c r="M356" s="1">
        <v>44357</v>
      </c>
      <c r="N356" t="str">
        <f>"J210610BW2"</f>
        <v>J210610BW2</v>
      </c>
      <c r="O356" t="s">
        <v>28</v>
      </c>
      <c r="Q356" t="s">
        <v>29</v>
      </c>
      <c r="R356" t="s">
        <v>28</v>
      </c>
      <c r="S356" t="s">
        <v>1709</v>
      </c>
      <c r="T356" t="s">
        <v>1710</v>
      </c>
      <c r="U356" t="s">
        <v>60</v>
      </c>
      <c r="V356" t="s">
        <v>60</v>
      </c>
      <c r="W356" t="s">
        <v>214</v>
      </c>
      <c r="X356" t="s">
        <v>34</v>
      </c>
      <c r="Y356" t="str">
        <f>"774696266   "</f>
        <v xml:space="preserve">774696266   </v>
      </c>
    </row>
    <row r="357" spans="1:25" x14ac:dyDescent="0.25">
      <c r="A357" t="s">
        <v>1711</v>
      </c>
      <c r="B357" t="s">
        <v>1712</v>
      </c>
      <c r="C357">
        <v>2020</v>
      </c>
      <c r="D357">
        <v>8001</v>
      </c>
      <c r="E357">
        <v>1</v>
      </c>
      <c r="F357" t="s">
        <v>1713</v>
      </c>
      <c r="G357">
        <v>29461892</v>
      </c>
      <c r="J357">
        <v>329.6</v>
      </c>
      <c r="L357">
        <v>46728892</v>
      </c>
      <c r="M357" s="1">
        <v>44230</v>
      </c>
      <c r="N357" t="str">
        <f>"EK210203"</f>
        <v>EK210203</v>
      </c>
      <c r="O357" t="s">
        <v>28</v>
      </c>
      <c r="Q357" t="s">
        <v>29</v>
      </c>
      <c r="R357" t="s">
        <v>28</v>
      </c>
      <c r="S357" t="s">
        <v>1714</v>
      </c>
      <c r="T357" t="s">
        <v>1715</v>
      </c>
      <c r="W357" t="s">
        <v>1716</v>
      </c>
      <c r="X357" t="s">
        <v>34</v>
      </c>
      <c r="Y357" t="str">
        <f>"79911"</f>
        <v>79911</v>
      </c>
    </row>
    <row r="358" spans="1:25" x14ac:dyDescent="0.25">
      <c r="A358" t="s">
        <v>1717</v>
      </c>
      <c r="B358" t="s">
        <v>1718</v>
      </c>
      <c r="C358">
        <v>2018</v>
      </c>
      <c r="D358">
        <v>8001</v>
      </c>
      <c r="E358">
        <v>1</v>
      </c>
      <c r="F358" t="s">
        <v>1719</v>
      </c>
      <c r="G358">
        <v>0</v>
      </c>
      <c r="J358">
        <v>47.42</v>
      </c>
      <c r="L358">
        <v>41537736</v>
      </c>
      <c r="M358" s="1">
        <v>43717</v>
      </c>
      <c r="N358" t="str">
        <f>"J190909B2"</f>
        <v>J190909B2</v>
      </c>
      <c r="O358" t="s">
        <v>28</v>
      </c>
      <c r="Q358" t="s">
        <v>29</v>
      </c>
      <c r="R358" t="s">
        <v>28</v>
      </c>
      <c r="S358" t="s">
        <v>1719</v>
      </c>
      <c r="T358" t="s">
        <v>1720</v>
      </c>
      <c r="U358" t="s">
        <v>60</v>
      </c>
      <c r="V358" t="s">
        <v>60</v>
      </c>
      <c r="W358" t="s">
        <v>135</v>
      </c>
      <c r="X358" t="s">
        <v>34</v>
      </c>
      <c r="Y358" t="str">
        <f>"770692754   "</f>
        <v xml:space="preserve">770692754   </v>
      </c>
    </row>
    <row r="359" spans="1:25" x14ac:dyDescent="0.25">
      <c r="A359" t="s">
        <v>1721</v>
      </c>
      <c r="B359" t="s">
        <v>1722</v>
      </c>
      <c r="C359">
        <v>2021</v>
      </c>
      <c r="D359">
        <v>8001</v>
      </c>
      <c r="E359">
        <v>1</v>
      </c>
      <c r="F359" t="s">
        <v>1723</v>
      </c>
      <c r="G359">
        <v>30508988</v>
      </c>
      <c r="J359">
        <v>5.51</v>
      </c>
      <c r="L359">
        <v>48540258</v>
      </c>
      <c r="M359" s="1">
        <v>44547</v>
      </c>
      <c r="N359" t="str">
        <f>"RC220114"</f>
        <v>RC220114</v>
      </c>
      <c r="O359" t="s">
        <v>28</v>
      </c>
      <c r="Q359" t="s">
        <v>29</v>
      </c>
      <c r="R359" t="s">
        <v>28</v>
      </c>
      <c r="S359" t="s">
        <v>1724</v>
      </c>
      <c r="T359" t="s">
        <v>1725</v>
      </c>
      <c r="W359" t="s">
        <v>81</v>
      </c>
      <c r="X359" t="s">
        <v>34</v>
      </c>
      <c r="Y359" t="str">
        <f>"77406"</f>
        <v>77406</v>
      </c>
    </row>
    <row r="360" spans="1:25" x14ac:dyDescent="0.25">
      <c r="A360" t="s">
        <v>1726</v>
      </c>
      <c r="B360" t="s">
        <v>1727</v>
      </c>
      <c r="C360">
        <v>2019</v>
      </c>
      <c r="D360">
        <v>8001</v>
      </c>
      <c r="E360">
        <v>1</v>
      </c>
      <c r="F360" t="s">
        <v>1728</v>
      </c>
      <c r="G360">
        <v>26479108</v>
      </c>
      <c r="J360">
        <v>84.32</v>
      </c>
      <c r="L360">
        <v>44140470</v>
      </c>
      <c r="M360" s="1">
        <v>43958</v>
      </c>
      <c r="N360" t="str">
        <f>"J200507AW4"</f>
        <v>J200507AW4</v>
      </c>
      <c r="O360" t="s">
        <v>28</v>
      </c>
      <c r="Q360" t="s">
        <v>29</v>
      </c>
      <c r="R360" t="s">
        <v>28</v>
      </c>
      <c r="S360" t="s">
        <v>1033</v>
      </c>
      <c r="T360" t="s">
        <v>1560</v>
      </c>
      <c r="W360" t="s">
        <v>1729</v>
      </c>
      <c r="X360" t="s">
        <v>169</v>
      </c>
      <c r="Y360" t="str">
        <f>"80129"</f>
        <v>80129</v>
      </c>
    </row>
    <row r="361" spans="1:25" x14ac:dyDescent="0.25">
      <c r="A361" t="s">
        <v>1730</v>
      </c>
      <c r="B361" t="s">
        <v>1731</v>
      </c>
      <c r="C361">
        <v>2020</v>
      </c>
      <c r="D361">
        <v>8001</v>
      </c>
      <c r="E361">
        <v>1</v>
      </c>
      <c r="F361" t="s">
        <v>1732</v>
      </c>
      <c r="G361">
        <v>0</v>
      </c>
      <c r="J361" s="2">
        <v>4190.8599999999997</v>
      </c>
      <c r="L361">
        <v>44640919</v>
      </c>
      <c r="M361" s="1">
        <v>44147</v>
      </c>
      <c r="N361" t="str">
        <f>"TE201112"</f>
        <v>TE201112</v>
      </c>
      <c r="O361" t="s">
        <v>28</v>
      </c>
      <c r="Q361" t="s">
        <v>29</v>
      </c>
      <c r="R361" t="s">
        <v>28</v>
      </c>
      <c r="S361" t="s">
        <v>1732</v>
      </c>
      <c r="T361" t="s">
        <v>1733</v>
      </c>
      <c r="U361" t="s">
        <v>60</v>
      </c>
      <c r="V361" t="s">
        <v>60</v>
      </c>
      <c r="W361" t="s">
        <v>1137</v>
      </c>
      <c r="X361" t="s">
        <v>34</v>
      </c>
      <c r="Y361" t="str">
        <f>"774508253   "</f>
        <v xml:space="preserve">774508253   </v>
      </c>
    </row>
    <row r="362" spans="1:25" x14ac:dyDescent="0.25">
      <c r="A362" t="s">
        <v>1734</v>
      </c>
      <c r="B362" t="s">
        <v>1735</v>
      </c>
      <c r="C362">
        <v>2020</v>
      </c>
      <c r="D362">
        <v>8001</v>
      </c>
      <c r="E362">
        <v>1</v>
      </c>
      <c r="F362" t="s">
        <v>1736</v>
      </c>
      <c r="G362">
        <v>0</v>
      </c>
      <c r="J362">
        <v>36</v>
      </c>
      <c r="L362">
        <v>45341513</v>
      </c>
      <c r="M362" s="1">
        <v>44182</v>
      </c>
      <c r="N362" t="str">
        <f>"EL201217"</f>
        <v>EL201217</v>
      </c>
      <c r="O362" t="s">
        <v>28</v>
      </c>
      <c r="Q362" t="s">
        <v>29</v>
      </c>
      <c r="R362" t="s">
        <v>28</v>
      </c>
      <c r="S362" t="s">
        <v>1736</v>
      </c>
      <c r="T362" t="s">
        <v>1737</v>
      </c>
      <c r="U362" t="s">
        <v>60</v>
      </c>
      <c r="V362" t="s">
        <v>60</v>
      </c>
      <c r="W362" t="s">
        <v>1137</v>
      </c>
      <c r="X362" t="s">
        <v>34</v>
      </c>
      <c r="Y362" t="str">
        <f>"774944448   "</f>
        <v xml:space="preserve">774944448   </v>
      </c>
    </row>
    <row r="363" spans="1:25" x14ac:dyDescent="0.25">
      <c r="A363" t="s">
        <v>1738</v>
      </c>
      <c r="B363" t="s">
        <v>1739</v>
      </c>
      <c r="C363">
        <v>2018</v>
      </c>
      <c r="D363">
        <v>8001</v>
      </c>
      <c r="E363">
        <v>3</v>
      </c>
      <c r="F363" t="s">
        <v>1740</v>
      </c>
      <c r="G363">
        <v>27328742</v>
      </c>
      <c r="J363">
        <v>25.48</v>
      </c>
      <c r="L363">
        <v>41063783</v>
      </c>
      <c r="M363" s="1">
        <v>43558</v>
      </c>
      <c r="N363" t="str">
        <f>"EK190403"</f>
        <v>EK190403</v>
      </c>
      <c r="O363" t="s">
        <v>28</v>
      </c>
      <c r="Q363" t="s">
        <v>29</v>
      </c>
      <c r="R363" t="s">
        <v>28</v>
      </c>
      <c r="S363" t="s">
        <v>1741</v>
      </c>
      <c r="T363" t="s">
        <v>1742</v>
      </c>
      <c r="W363" t="s">
        <v>193</v>
      </c>
      <c r="X363" t="s">
        <v>34</v>
      </c>
      <c r="Y363" t="str">
        <f>"77441"</f>
        <v>77441</v>
      </c>
    </row>
    <row r="364" spans="1:25" x14ac:dyDescent="0.25">
      <c r="A364" t="s">
        <v>1743</v>
      </c>
      <c r="B364" t="s">
        <v>1744</v>
      </c>
      <c r="C364">
        <v>2020</v>
      </c>
      <c r="D364">
        <v>8001</v>
      </c>
      <c r="E364">
        <v>1</v>
      </c>
      <c r="F364" t="s">
        <v>1745</v>
      </c>
      <c r="G364">
        <v>27706444</v>
      </c>
      <c r="J364">
        <v>7.75</v>
      </c>
      <c r="L364">
        <v>47369620</v>
      </c>
      <c r="M364" s="1">
        <v>44320</v>
      </c>
      <c r="N364" t="str">
        <f>"RC210512"</f>
        <v>RC210512</v>
      </c>
      <c r="O364" t="s">
        <v>28</v>
      </c>
      <c r="Q364" t="s">
        <v>29</v>
      </c>
      <c r="R364" t="s">
        <v>28</v>
      </c>
      <c r="S364" t="s">
        <v>1746</v>
      </c>
      <c r="T364" t="s">
        <v>1747</v>
      </c>
      <c r="W364" t="s">
        <v>1748</v>
      </c>
      <c r="X364" t="s">
        <v>34</v>
      </c>
      <c r="Y364" t="str">
        <f>"77429-8692"</f>
        <v>77429-8692</v>
      </c>
    </row>
    <row r="365" spans="1:25" x14ac:dyDescent="0.25">
      <c r="A365" t="s">
        <v>1749</v>
      </c>
      <c r="B365" t="s">
        <v>1750</v>
      </c>
      <c r="C365">
        <v>2019</v>
      </c>
      <c r="D365">
        <v>8001</v>
      </c>
      <c r="E365">
        <v>2</v>
      </c>
      <c r="F365" t="s">
        <v>1751</v>
      </c>
      <c r="G365">
        <v>28516627</v>
      </c>
      <c r="J365">
        <v>11.16</v>
      </c>
      <c r="L365">
        <v>44286627</v>
      </c>
      <c r="M365" s="1">
        <v>44148</v>
      </c>
      <c r="N365" t="str">
        <f>"T201113F1"</f>
        <v>T201113F1</v>
      </c>
      <c r="O365" t="s">
        <v>28</v>
      </c>
      <c r="Q365" t="s">
        <v>29</v>
      </c>
      <c r="R365" t="s">
        <v>28</v>
      </c>
      <c r="S365" t="s">
        <v>1752</v>
      </c>
      <c r="T365" t="s">
        <v>1753</v>
      </c>
      <c r="U365" t="s">
        <v>1754</v>
      </c>
      <c r="W365" t="s">
        <v>107</v>
      </c>
      <c r="X365" t="s">
        <v>34</v>
      </c>
      <c r="Y365" t="str">
        <f>"774942606"</f>
        <v>774942606</v>
      </c>
    </row>
    <row r="366" spans="1:25" x14ac:dyDescent="0.25">
      <c r="A366" t="s">
        <v>1755</v>
      </c>
      <c r="B366" t="s">
        <v>1756</v>
      </c>
      <c r="C366">
        <v>2019</v>
      </c>
      <c r="D366">
        <v>8001</v>
      </c>
      <c r="E366">
        <v>1</v>
      </c>
      <c r="F366" t="s">
        <v>1757</v>
      </c>
      <c r="G366">
        <v>0</v>
      </c>
      <c r="J366">
        <v>51.81</v>
      </c>
      <c r="L366">
        <v>43567123</v>
      </c>
      <c r="M366" s="1">
        <v>43865</v>
      </c>
      <c r="N366" t="str">
        <f>"L200204"</f>
        <v>L200204</v>
      </c>
      <c r="O366" t="s">
        <v>28</v>
      </c>
      <c r="Q366" t="s">
        <v>29</v>
      </c>
      <c r="R366" t="s">
        <v>28</v>
      </c>
      <c r="S366" t="s">
        <v>1757</v>
      </c>
      <c r="T366" t="s">
        <v>1758</v>
      </c>
      <c r="U366" t="s">
        <v>60</v>
      </c>
      <c r="V366" t="s">
        <v>60</v>
      </c>
      <c r="W366" t="s">
        <v>1137</v>
      </c>
      <c r="X366" t="s">
        <v>34</v>
      </c>
      <c r="Y366" t="str">
        <f>"774506918   "</f>
        <v xml:space="preserve">774506918   </v>
      </c>
    </row>
    <row r="367" spans="1:25" x14ac:dyDescent="0.25">
      <c r="A367" t="s">
        <v>1759</v>
      </c>
      <c r="B367" t="s">
        <v>1760</v>
      </c>
      <c r="C367">
        <v>2019</v>
      </c>
      <c r="D367">
        <v>8001</v>
      </c>
      <c r="E367">
        <v>1</v>
      </c>
      <c r="F367" t="s">
        <v>1761</v>
      </c>
      <c r="G367">
        <v>0</v>
      </c>
      <c r="J367">
        <v>136.49</v>
      </c>
      <c r="L367">
        <v>42538219</v>
      </c>
      <c r="M367" s="1">
        <v>43830</v>
      </c>
      <c r="N367" t="str">
        <f>"L191231"</f>
        <v>L191231</v>
      </c>
      <c r="O367" t="s">
        <v>28</v>
      </c>
      <c r="Q367" t="s">
        <v>29</v>
      </c>
      <c r="R367" t="s">
        <v>28</v>
      </c>
      <c r="S367" t="s">
        <v>1761</v>
      </c>
      <c r="T367" t="s">
        <v>1762</v>
      </c>
      <c r="U367" t="s">
        <v>60</v>
      </c>
      <c r="V367" t="s">
        <v>60</v>
      </c>
      <c r="W367" t="s">
        <v>1137</v>
      </c>
      <c r="X367" t="s">
        <v>34</v>
      </c>
      <c r="Y367" t="str">
        <f>"774506914   "</f>
        <v xml:space="preserve">774506914   </v>
      </c>
    </row>
    <row r="368" spans="1:25" x14ac:dyDescent="0.25">
      <c r="A368" t="s">
        <v>1763</v>
      </c>
      <c r="B368" t="s">
        <v>1764</v>
      </c>
      <c r="C368">
        <v>2021</v>
      </c>
      <c r="D368">
        <v>8001</v>
      </c>
      <c r="E368">
        <v>1</v>
      </c>
      <c r="F368" t="s">
        <v>1765</v>
      </c>
      <c r="G368">
        <v>25865457</v>
      </c>
      <c r="J368">
        <v>891.47</v>
      </c>
      <c r="L368">
        <v>48846784</v>
      </c>
      <c r="M368" s="1">
        <v>44564</v>
      </c>
      <c r="N368" t="str">
        <f>"RC220208"</f>
        <v>RC220208</v>
      </c>
      <c r="O368" t="s">
        <v>28</v>
      </c>
      <c r="Q368" t="s">
        <v>29</v>
      </c>
      <c r="R368" t="s">
        <v>28</v>
      </c>
      <c r="S368" t="s">
        <v>1766</v>
      </c>
      <c r="T368" t="s">
        <v>1767</v>
      </c>
      <c r="U368" t="s">
        <v>1768</v>
      </c>
      <c r="W368" t="s">
        <v>107</v>
      </c>
      <c r="X368" t="s">
        <v>34</v>
      </c>
      <c r="Y368" t="str">
        <f>"774507626"</f>
        <v>774507626</v>
      </c>
    </row>
    <row r="369" spans="1:25" x14ac:dyDescent="0.25">
      <c r="A369" t="s">
        <v>1769</v>
      </c>
      <c r="B369" t="s">
        <v>1770</v>
      </c>
      <c r="C369">
        <v>2019</v>
      </c>
      <c r="D369">
        <v>8001</v>
      </c>
      <c r="E369">
        <v>1</v>
      </c>
      <c r="F369" t="s">
        <v>1771</v>
      </c>
      <c r="G369">
        <v>28518759</v>
      </c>
      <c r="J369">
        <v>182.12</v>
      </c>
      <c r="L369">
        <v>44293036</v>
      </c>
      <c r="M369" s="1">
        <v>43991</v>
      </c>
      <c r="N369" t="str">
        <f>"J200609K7"</f>
        <v>J200609K7</v>
      </c>
      <c r="O369" t="s">
        <v>28</v>
      </c>
      <c r="Q369" t="s">
        <v>29</v>
      </c>
      <c r="R369" t="s">
        <v>28</v>
      </c>
      <c r="S369" t="s">
        <v>1772</v>
      </c>
      <c r="T369" t="s">
        <v>1773</v>
      </c>
      <c r="U369" t="s">
        <v>1774</v>
      </c>
      <c r="W369" t="s">
        <v>75</v>
      </c>
      <c r="X369" t="s">
        <v>34</v>
      </c>
      <c r="Y369" t="str">
        <f>"770273049"</f>
        <v>770273049</v>
      </c>
    </row>
    <row r="370" spans="1:25" x14ac:dyDescent="0.25">
      <c r="A370" t="s">
        <v>1775</v>
      </c>
      <c r="B370" t="s">
        <v>1776</v>
      </c>
      <c r="C370">
        <v>2021</v>
      </c>
      <c r="D370">
        <v>8001</v>
      </c>
      <c r="E370">
        <v>1</v>
      </c>
      <c r="F370" t="s">
        <v>1777</v>
      </c>
      <c r="G370">
        <v>0</v>
      </c>
      <c r="J370">
        <v>349.5</v>
      </c>
      <c r="L370">
        <v>50214740</v>
      </c>
      <c r="M370" s="1">
        <v>44616</v>
      </c>
      <c r="N370" t="str">
        <f>"QP220224"</f>
        <v>QP220224</v>
      </c>
      <c r="O370" t="s">
        <v>28</v>
      </c>
      <c r="Q370" t="s">
        <v>29</v>
      </c>
      <c r="R370" t="s">
        <v>28</v>
      </c>
      <c r="S370" t="s">
        <v>1777</v>
      </c>
      <c r="T370" t="s">
        <v>1778</v>
      </c>
      <c r="U370" t="s">
        <v>60</v>
      </c>
      <c r="V370" t="s">
        <v>60</v>
      </c>
      <c r="W370" t="s">
        <v>1137</v>
      </c>
      <c r="X370" t="s">
        <v>34</v>
      </c>
      <c r="Y370" t="str">
        <f>"774505748   "</f>
        <v xml:space="preserve">774505748   </v>
      </c>
    </row>
    <row r="371" spans="1:25" x14ac:dyDescent="0.25">
      <c r="A371" t="s">
        <v>1779</v>
      </c>
      <c r="B371" t="s">
        <v>1780</v>
      </c>
      <c r="C371">
        <v>2021</v>
      </c>
      <c r="D371">
        <v>8001</v>
      </c>
      <c r="E371">
        <v>1</v>
      </c>
      <c r="F371" t="s">
        <v>1781</v>
      </c>
      <c r="G371">
        <v>27245778</v>
      </c>
      <c r="J371">
        <v>691</v>
      </c>
      <c r="L371">
        <v>48761866</v>
      </c>
      <c r="M371" s="1">
        <v>44559</v>
      </c>
      <c r="N371" t="str">
        <f>"RC220125"</f>
        <v>RC220125</v>
      </c>
      <c r="O371" t="s">
        <v>28</v>
      </c>
      <c r="Q371" t="s">
        <v>29</v>
      </c>
      <c r="R371" t="s">
        <v>28</v>
      </c>
      <c r="S371" t="s">
        <v>1782</v>
      </c>
      <c r="T371" t="s">
        <v>1783</v>
      </c>
      <c r="U371" t="s">
        <v>562</v>
      </c>
      <c r="W371" t="s">
        <v>563</v>
      </c>
      <c r="X371" t="s">
        <v>34</v>
      </c>
      <c r="Y371" t="str">
        <f>"750630156"</f>
        <v>750630156</v>
      </c>
    </row>
    <row r="372" spans="1:25" x14ac:dyDescent="0.25">
      <c r="A372" t="s">
        <v>1784</v>
      </c>
      <c r="B372" t="s">
        <v>1785</v>
      </c>
      <c r="C372">
        <v>2020</v>
      </c>
      <c r="D372">
        <v>8001</v>
      </c>
      <c r="E372">
        <v>2</v>
      </c>
      <c r="F372" t="s">
        <v>1786</v>
      </c>
      <c r="G372">
        <v>25604217</v>
      </c>
      <c r="J372">
        <v>209.33</v>
      </c>
      <c r="L372">
        <v>47379082</v>
      </c>
      <c r="M372" s="1">
        <v>44322</v>
      </c>
      <c r="N372" t="str">
        <f>"RC210512"</f>
        <v>RC210512</v>
      </c>
      <c r="O372" t="s">
        <v>28</v>
      </c>
      <c r="Q372" t="s">
        <v>29</v>
      </c>
      <c r="R372" t="s">
        <v>28</v>
      </c>
      <c r="S372" t="s">
        <v>1699</v>
      </c>
      <c r="T372" t="s">
        <v>1069</v>
      </c>
      <c r="U372" t="s">
        <v>562</v>
      </c>
      <c r="W372" t="s">
        <v>563</v>
      </c>
      <c r="X372" t="s">
        <v>34</v>
      </c>
      <c r="Y372" t="str">
        <f>"750630156"</f>
        <v>750630156</v>
      </c>
    </row>
    <row r="373" spans="1:25" x14ac:dyDescent="0.25">
      <c r="A373" t="s">
        <v>1787</v>
      </c>
      <c r="B373" t="s">
        <v>1788</v>
      </c>
      <c r="C373">
        <v>2019</v>
      </c>
      <c r="D373">
        <v>8001</v>
      </c>
      <c r="E373">
        <v>1</v>
      </c>
      <c r="F373" t="s">
        <v>1789</v>
      </c>
      <c r="G373">
        <v>0</v>
      </c>
      <c r="J373">
        <v>7.22</v>
      </c>
      <c r="L373">
        <v>44094459</v>
      </c>
      <c r="M373" s="1">
        <v>43945</v>
      </c>
      <c r="N373" t="str">
        <f>"J200424F1"</f>
        <v>J200424F1</v>
      </c>
      <c r="O373" t="s">
        <v>28</v>
      </c>
      <c r="Q373" t="s">
        <v>29</v>
      </c>
      <c r="R373" t="s">
        <v>28</v>
      </c>
      <c r="S373" t="s">
        <v>1789</v>
      </c>
      <c r="T373" t="s">
        <v>1790</v>
      </c>
      <c r="U373" t="s">
        <v>60</v>
      </c>
      <c r="V373" t="s">
        <v>60</v>
      </c>
      <c r="W373" t="s">
        <v>1137</v>
      </c>
      <c r="X373" t="s">
        <v>34</v>
      </c>
      <c r="Y373" t="str">
        <f>"774508638   "</f>
        <v xml:space="preserve">774508638   </v>
      </c>
    </row>
    <row r="374" spans="1:25" x14ac:dyDescent="0.25">
      <c r="A374" t="s">
        <v>1791</v>
      </c>
      <c r="B374" t="s">
        <v>1792</v>
      </c>
      <c r="C374">
        <v>2019</v>
      </c>
      <c r="D374">
        <v>8001</v>
      </c>
      <c r="E374">
        <v>1</v>
      </c>
      <c r="F374" t="s">
        <v>1793</v>
      </c>
      <c r="G374">
        <v>22993312</v>
      </c>
      <c r="J374">
        <v>17.809999999999999</v>
      </c>
      <c r="L374">
        <v>44288766</v>
      </c>
      <c r="M374" s="1">
        <v>43990</v>
      </c>
      <c r="N374" t="str">
        <f>"J200608K5"</f>
        <v>J200608K5</v>
      </c>
      <c r="O374" t="s">
        <v>28</v>
      </c>
      <c r="Q374" t="s">
        <v>29</v>
      </c>
      <c r="R374" t="s">
        <v>28</v>
      </c>
      <c r="S374" t="s">
        <v>1794</v>
      </c>
      <c r="T374" t="s">
        <v>1795</v>
      </c>
      <c r="W374" t="s">
        <v>1615</v>
      </c>
      <c r="X374" t="s">
        <v>143</v>
      </c>
      <c r="Y374" t="str">
        <f>"191156320"</f>
        <v>191156320</v>
      </c>
    </row>
    <row r="375" spans="1:25" x14ac:dyDescent="0.25">
      <c r="A375" t="s">
        <v>1796</v>
      </c>
      <c r="B375" t="s">
        <v>1797</v>
      </c>
      <c r="C375">
        <v>2019</v>
      </c>
      <c r="D375">
        <v>8001</v>
      </c>
      <c r="E375">
        <v>24</v>
      </c>
      <c r="F375" t="s">
        <v>1798</v>
      </c>
      <c r="G375">
        <v>0</v>
      </c>
      <c r="J375">
        <v>5.35</v>
      </c>
      <c r="L375">
        <v>41562724</v>
      </c>
      <c r="M375" s="1">
        <v>43766</v>
      </c>
      <c r="N375" t="str">
        <f>"TE191028"</f>
        <v>TE191028</v>
      </c>
      <c r="O375" t="s">
        <v>28</v>
      </c>
      <c r="Q375" t="s">
        <v>29</v>
      </c>
      <c r="R375" t="s">
        <v>28</v>
      </c>
      <c r="S375" t="s">
        <v>1798</v>
      </c>
      <c r="T375" t="s">
        <v>1799</v>
      </c>
      <c r="U375" t="s">
        <v>60</v>
      </c>
      <c r="V375" t="s">
        <v>60</v>
      </c>
      <c r="W375" t="s">
        <v>1137</v>
      </c>
      <c r="X375" t="s">
        <v>34</v>
      </c>
      <c r="Y375" t="str">
        <f>"774942181   "</f>
        <v xml:space="preserve">774942181   </v>
      </c>
    </row>
    <row r="376" spans="1:25" x14ac:dyDescent="0.25">
      <c r="A376" t="s">
        <v>1796</v>
      </c>
      <c r="B376" t="s">
        <v>1797</v>
      </c>
      <c r="C376">
        <v>2021</v>
      </c>
      <c r="D376">
        <v>8001</v>
      </c>
      <c r="E376">
        <v>14</v>
      </c>
      <c r="F376" t="s">
        <v>1798</v>
      </c>
      <c r="G376">
        <v>0</v>
      </c>
      <c r="J376">
        <v>46.87</v>
      </c>
      <c r="L376">
        <v>47728992</v>
      </c>
      <c r="M376" s="1">
        <v>44516</v>
      </c>
      <c r="N376" t="str">
        <f>"TE211116"</f>
        <v>TE211116</v>
      </c>
      <c r="O376" t="s">
        <v>28</v>
      </c>
      <c r="Q376" t="s">
        <v>29</v>
      </c>
      <c r="R376" t="s">
        <v>28</v>
      </c>
      <c r="S376" t="s">
        <v>1798</v>
      </c>
      <c r="T376" t="s">
        <v>1799</v>
      </c>
      <c r="U376" t="s">
        <v>60</v>
      </c>
      <c r="V376" t="s">
        <v>60</v>
      </c>
      <c r="W376" t="s">
        <v>1137</v>
      </c>
      <c r="X376" t="s">
        <v>34</v>
      </c>
      <c r="Y376" t="str">
        <f>"774942181   "</f>
        <v xml:space="preserve">774942181   </v>
      </c>
    </row>
    <row r="377" spans="1:25" x14ac:dyDescent="0.25">
      <c r="A377" t="s">
        <v>1800</v>
      </c>
      <c r="B377" t="s">
        <v>1801</v>
      </c>
      <c r="C377">
        <v>2020</v>
      </c>
      <c r="D377">
        <v>8001</v>
      </c>
      <c r="E377">
        <v>1</v>
      </c>
      <c r="F377" t="s">
        <v>1802</v>
      </c>
      <c r="G377">
        <v>29489456</v>
      </c>
      <c r="J377">
        <v>535.66</v>
      </c>
      <c r="L377">
        <v>46782155</v>
      </c>
      <c r="M377" s="1">
        <v>44231</v>
      </c>
      <c r="N377" t="str">
        <f>"CC210204"</f>
        <v>CC210204</v>
      </c>
      <c r="O377" t="s">
        <v>28</v>
      </c>
      <c r="Q377" t="s">
        <v>29</v>
      </c>
      <c r="R377" t="s">
        <v>28</v>
      </c>
      <c r="S377" t="s">
        <v>1803</v>
      </c>
      <c r="T377" t="s">
        <v>1804</v>
      </c>
      <c r="W377" t="s">
        <v>107</v>
      </c>
      <c r="X377" t="s">
        <v>34</v>
      </c>
      <c r="Y377" t="str">
        <f>"77450"</f>
        <v>77450</v>
      </c>
    </row>
    <row r="378" spans="1:25" x14ac:dyDescent="0.25">
      <c r="A378" t="s">
        <v>1805</v>
      </c>
      <c r="B378" t="s">
        <v>1806</v>
      </c>
      <c r="C378">
        <v>2020</v>
      </c>
      <c r="D378">
        <v>8001</v>
      </c>
      <c r="E378">
        <v>1</v>
      </c>
      <c r="F378" t="s">
        <v>1807</v>
      </c>
      <c r="G378">
        <v>0</v>
      </c>
      <c r="J378">
        <v>182.88</v>
      </c>
      <c r="L378">
        <v>46339275</v>
      </c>
      <c r="M378" s="1">
        <v>44222</v>
      </c>
      <c r="N378" t="str">
        <f>"EL210126"</f>
        <v>EL210126</v>
      </c>
      <c r="O378" t="s">
        <v>28</v>
      </c>
      <c r="Q378" t="s">
        <v>29</v>
      </c>
      <c r="R378" t="s">
        <v>28</v>
      </c>
      <c r="S378" t="s">
        <v>1807</v>
      </c>
      <c r="T378" t="s">
        <v>1808</v>
      </c>
      <c r="U378" t="s">
        <v>60</v>
      </c>
      <c r="V378" t="s">
        <v>60</v>
      </c>
      <c r="W378" t="s">
        <v>1137</v>
      </c>
      <c r="X378" t="s">
        <v>34</v>
      </c>
      <c r="Y378" t="str">
        <f>"774508015   "</f>
        <v xml:space="preserve">774508015   </v>
      </c>
    </row>
    <row r="379" spans="1:25" x14ac:dyDescent="0.25">
      <c r="A379" t="s">
        <v>1809</v>
      </c>
      <c r="B379" t="s">
        <v>1810</v>
      </c>
      <c r="C379">
        <v>2018</v>
      </c>
      <c r="D379">
        <v>8001</v>
      </c>
      <c r="E379">
        <v>3</v>
      </c>
      <c r="F379" t="s">
        <v>1811</v>
      </c>
      <c r="G379">
        <v>27543077</v>
      </c>
      <c r="J379">
        <v>47.1</v>
      </c>
      <c r="L379">
        <v>41537590</v>
      </c>
      <c r="M379" s="1">
        <v>43717</v>
      </c>
      <c r="N379" t="str">
        <f>"J190909B1"</f>
        <v>J190909B1</v>
      </c>
      <c r="O379" t="s">
        <v>28</v>
      </c>
      <c r="Q379" t="s">
        <v>29</v>
      </c>
      <c r="R379" t="s">
        <v>28</v>
      </c>
      <c r="S379" t="s">
        <v>1812</v>
      </c>
      <c r="T379" t="s">
        <v>1015</v>
      </c>
      <c r="W379" t="s">
        <v>563</v>
      </c>
      <c r="X379" t="s">
        <v>34</v>
      </c>
      <c r="Y379" t="str">
        <f>"750630156"</f>
        <v>750630156</v>
      </c>
    </row>
    <row r="380" spans="1:25" x14ac:dyDescent="0.25">
      <c r="A380" t="s">
        <v>1813</v>
      </c>
      <c r="B380" t="s">
        <v>1814</v>
      </c>
      <c r="C380">
        <v>2021</v>
      </c>
      <c r="D380">
        <v>8001</v>
      </c>
      <c r="E380">
        <v>3</v>
      </c>
      <c r="F380" t="s">
        <v>1815</v>
      </c>
      <c r="G380">
        <v>30208357</v>
      </c>
      <c r="J380">
        <v>11.84</v>
      </c>
      <c r="L380">
        <v>47976582</v>
      </c>
      <c r="M380" s="1">
        <v>44504</v>
      </c>
      <c r="N380" t="str">
        <f>"RC211208"</f>
        <v>RC211208</v>
      </c>
      <c r="O380" t="s">
        <v>28</v>
      </c>
      <c r="Q380" t="s">
        <v>29</v>
      </c>
      <c r="R380" t="s">
        <v>28</v>
      </c>
      <c r="S380" t="s">
        <v>1816</v>
      </c>
      <c r="T380" t="s">
        <v>1817</v>
      </c>
      <c r="W380" t="s">
        <v>75</v>
      </c>
      <c r="X380" t="s">
        <v>34</v>
      </c>
      <c r="Y380" t="str">
        <f>"77024"</f>
        <v>77024</v>
      </c>
    </row>
    <row r="381" spans="1:25" x14ac:dyDescent="0.25">
      <c r="A381" t="s">
        <v>1818</v>
      </c>
      <c r="B381" t="s">
        <v>1819</v>
      </c>
      <c r="C381">
        <v>2019</v>
      </c>
      <c r="D381">
        <v>8001</v>
      </c>
      <c r="E381">
        <v>1</v>
      </c>
      <c r="F381" t="s">
        <v>1820</v>
      </c>
      <c r="G381">
        <v>0</v>
      </c>
      <c r="J381">
        <v>88.15</v>
      </c>
      <c r="L381">
        <v>43914990</v>
      </c>
      <c r="M381" s="1">
        <v>43900</v>
      </c>
      <c r="N381" t="str">
        <f>"J200310AW2"</f>
        <v>J200310AW2</v>
      </c>
      <c r="O381" t="s">
        <v>28</v>
      </c>
      <c r="Q381" t="s">
        <v>29</v>
      </c>
      <c r="R381" t="s">
        <v>28</v>
      </c>
      <c r="S381" t="s">
        <v>1820</v>
      </c>
      <c r="T381" t="s">
        <v>1821</v>
      </c>
      <c r="U381" t="s">
        <v>60</v>
      </c>
      <c r="V381" t="s">
        <v>60</v>
      </c>
      <c r="W381" t="s">
        <v>1137</v>
      </c>
      <c r="X381" t="s">
        <v>34</v>
      </c>
      <c r="Y381" t="str">
        <f>"774507036   "</f>
        <v xml:space="preserve">774507036   </v>
      </c>
    </row>
    <row r="382" spans="1:25" x14ac:dyDescent="0.25">
      <c r="A382" t="s">
        <v>1822</v>
      </c>
      <c r="B382" t="s">
        <v>1823</v>
      </c>
      <c r="C382">
        <v>2020</v>
      </c>
      <c r="D382">
        <v>8001</v>
      </c>
      <c r="E382">
        <v>1</v>
      </c>
      <c r="F382" t="s">
        <v>1824</v>
      </c>
      <c r="G382">
        <v>21600983</v>
      </c>
      <c r="J382">
        <v>188.23</v>
      </c>
      <c r="L382">
        <v>45184907</v>
      </c>
      <c r="M382" s="1">
        <v>44174</v>
      </c>
      <c r="N382" t="str">
        <f>"RC201217"</f>
        <v>RC201217</v>
      </c>
      <c r="O382" t="s">
        <v>28</v>
      </c>
      <c r="Q382" t="s">
        <v>29</v>
      </c>
      <c r="R382" t="s">
        <v>28</v>
      </c>
      <c r="S382" t="s">
        <v>1454</v>
      </c>
      <c r="T382" t="s">
        <v>1455</v>
      </c>
      <c r="W382" t="s">
        <v>1456</v>
      </c>
      <c r="X382" t="s">
        <v>1457</v>
      </c>
      <c r="Y382" t="str">
        <f>"234504968"</f>
        <v>234504968</v>
      </c>
    </row>
    <row r="383" spans="1:25" x14ac:dyDescent="0.25">
      <c r="A383" t="s">
        <v>1825</v>
      </c>
      <c r="B383" t="s">
        <v>1826</v>
      </c>
      <c r="C383">
        <v>2019</v>
      </c>
      <c r="D383">
        <v>8001</v>
      </c>
      <c r="E383">
        <v>2</v>
      </c>
      <c r="F383" t="s">
        <v>1827</v>
      </c>
      <c r="G383">
        <v>26777569</v>
      </c>
      <c r="J383">
        <v>61.48</v>
      </c>
      <c r="L383">
        <v>44137812</v>
      </c>
      <c r="M383" s="1">
        <v>43957</v>
      </c>
      <c r="N383" t="str">
        <f>"J200506AW7"</f>
        <v>J200506AW7</v>
      </c>
      <c r="O383" t="s">
        <v>28</v>
      </c>
      <c r="Q383" t="s">
        <v>29</v>
      </c>
      <c r="R383" t="s">
        <v>28</v>
      </c>
      <c r="S383" t="s">
        <v>1828</v>
      </c>
      <c r="T383" t="s">
        <v>1829</v>
      </c>
      <c r="W383" t="s">
        <v>1830</v>
      </c>
      <c r="X383" t="s">
        <v>1831</v>
      </c>
      <c r="Y383" t="str">
        <f>"142401288"</f>
        <v>142401288</v>
      </c>
    </row>
    <row r="384" spans="1:25" x14ac:dyDescent="0.25">
      <c r="A384" t="s">
        <v>1832</v>
      </c>
      <c r="B384" t="s">
        <v>1833</v>
      </c>
      <c r="C384">
        <v>2020</v>
      </c>
      <c r="D384">
        <v>8001</v>
      </c>
      <c r="E384">
        <v>1</v>
      </c>
      <c r="F384" t="s">
        <v>1834</v>
      </c>
      <c r="G384">
        <v>23467009</v>
      </c>
      <c r="J384">
        <v>310.67</v>
      </c>
      <c r="L384">
        <v>44779786</v>
      </c>
      <c r="M384" s="1">
        <v>44147</v>
      </c>
      <c r="N384" t="str">
        <f>"TE201112"</f>
        <v>TE201112</v>
      </c>
      <c r="O384" t="s">
        <v>28</v>
      </c>
      <c r="Q384" t="s">
        <v>29</v>
      </c>
      <c r="R384" t="s">
        <v>28</v>
      </c>
      <c r="S384" t="s">
        <v>1835</v>
      </c>
      <c r="T384" t="s">
        <v>1455</v>
      </c>
      <c r="W384" t="s">
        <v>1456</v>
      </c>
      <c r="X384" t="s">
        <v>1457</v>
      </c>
      <c r="Y384" t="str">
        <f>"234504968"</f>
        <v>234504968</v>
      </c>
    </row>
    <row r="385" spans="1:25" x14ac:dyDescent="0.25">
      <c r="A385" t="s">
        <v>1836</v>
      </c>
      <c r="B385" t="s">
        <v>1837</v>
      </c>
      <c r="C385">
        <v>2021</v>
      </c>
      <c r="D385">
        <v>8001</v>
      </c>
      <c r="E385">
        <v>3</v>
      </c>
      <c r="F385" t="s">
        <v>1838</v>
      </c>
      <c r="G385">
        <v>31010126</v>
      </c>
      <c r="J385">
        <v>47.15</v>
      </c>
      <c r="L385">
        <v>49108356</v>
      </c>
      <c r="M385" s="1">
        <v>44572</v>
      </c>
      <c r="N385" t="str">
        <f>"RC220221"</f>
        <v>RC220221</v>
      </c>
      <c r="O385" t="s">
        <v>28</v>
      </c>
      <c r="Q385" t="s">
        <v>29</v>
      </c>
      <c r="R385" t="s">
        <v>28</v>
      </c>
      <c r="S385" t="s">
        <v>1839</v>
      </c>
      <c r="T385" t="s">
        <v>1840</v>
      </c>
      <c r="W385" t="s">
        <v>107</v>
      </c>
      <c r="X385" t="s">
        <v>34</v>
      </c>
      <c r="Y385" t="str">
        <f>"77494-0623"</f>
        <v>77494-0623</v>
      </c>
    </row>
    <row r="386" spans="1:25" x14ac:dyDescent="0.25">
      <c r="A386" t="s">
        <v>1841</v>
      </c>
      <c r="B386" t="s">
        <v>1842</v>
      </c>
      <c r="C386">
        <v>2019</v>
      </c>
      <c r="D386">
        <v>8001</v>
      </c>
      <c r="E386">
        <v>1</v>
      </c>
      <c r="F386" t="s">
        <v>1843</v>
      </c>
      <c r="G386">
        <v>28305479</v>
      </c>
      <c r="J386">
        <v>141.34</v>
      </c>
      <c r="L386">
        <v>43875231</v>
      </c>
      <c r="M386" s="1">
        <v>43894</v>
      </c>
      <c r="N386" t="str">
        <f>"CC400304"</f>
        <v>CC400304</v>
      </c>
      <c r="O386" t="s">
        <v>28</v>
      </c>
      <c r="Q386" t="s">
        <v>29</v>
      </c>
      <c r="R386" t="s">
        <v>28</v>
      </c>
      <c r="S386" t="s">
        <v>1844</v>
      </c>
      <c r="T386" t="s">
        <v>1845</v>
      </c>
      <c r="W386" t="s">
        <v>107</v>
      </c>
      <c r="X386" t="s">
        <v>34</v>
      </c>
      <c r="Y386" t="str">
        <f>"77494"</f>
        <v>77494</v>
      </c>
    </row>
    <row r="387" spans="1:25" x14ac:dyDescent="0.25">
      <c r="A387" t="s">
        <v>1846</v>
      </c>
      <c r="B387" t="s">
        <v>1847</v>
      </c>
      <c r="C387">
        <v>2021</v>
      </c>
      <c r="D387">
        <v>8001</v>
      </c>
      <c r="E387">
        <v>1</v>
      </c>
      <c r="F387" t="s">
        <v>1848</v>
      </c>
      <c r="G387">
        <v>31111878</v>
      </c>
      <c r="J387">
        <v>423.35</v>
      </c>
      <c r="L387">
        <v>49949656</v>
      </c>
      <c r="M387" s="1">
        <v>44595</v>
      </c>
      <c r="N387" t="str">
        <f>"RC220309"</f>
        <v>RC220309</v>
      </c>
      <c r="O387" t="s">
        <v>28</v>
      </c>
      <c r="Q387" t="s">
        <v>29</v>
      </c>
      <c r="R387" t="s">
        <v>28</v>
      </c>
      <c r="S387" t="s">
        <v>1849</v>
      </c>
      <c r="T387" t="s">
        <v>1850</v>
      </c>
      <c r="U387" t="s">
        <v>1851</v>
      </c>
      <c r="W387" t="s">
        <v>75</v>
      </c>
      <c r="X387" t="s">
        <v>34</v>
      </c>
      <c r="Y387" t="str">
        <f>"770766742"</f>
        <v>770766742</v>
      </c>
    </row>
    <row r="388" spans="1:25" x14ac:dyDescent="0.25">
      <c r="A388" t="s">
        <v>1852</v>
      </c>
      <c r="B388" t="s">
        <v>1853</v>
      </c>
      <c r="C388">
        <v>2019</v>
      </c>
      <c r="D388">
        <v>8001</v>
      </c>
      <c r="E388">
        <v>3</v>
      </c>
      <c r="F388" t="s">
        <v>1854</v>
      </c>
      <c r="G388">
        <v>28261818</v>
      </c>
      <c r="J388">
        <v>6.35</v>
      </c>
      <c r="L388">
        <v>43791311</v>
      </c>
      <c r="M388" s="1">
        <v>43886</v>
      </c>
      <c r="N388" t="str">
        <f>"CC200225"</f>
        <v>CC200225</v>
      </c>
      <c r="O388" t="s">
        <v>28</v>
      </c>
      <c r="Q388" t="s">
        <v>29</v>
      </c>
      <c r="R388" t="s">
        <v>28</v>
      </c>
      <c r="S388" t="s">
        <v>1855</v>
      </c>
      <c r="T388" t="s">
        <v>1856</v>
      </c>
      <c r="W388" t="s">
        <v>107</v>
      </c>
      <c r="X388" t="s">
        <v>34</v>
      </c>
      <c r="Y388" t="str">
        <f>"77494"</f>
        <v>77494</v>
      </c>
    </row>
    <row r="389" spans="1:25" x14ac:dyDescent="0.25">
      <c r="A389" t="s">
        <v>1857</v>
      </c>
      <c r="B389" t="s">
        <v>1858</v>
      </c>
      <c r="C389">
        <v>2020</v>
      </c>
      <c r="D389">
        <v>8001</v>
      </c>
      <c r="E389">
        <v>1</v>
      </c>
      <c r="F389" t="s">
        <v>1859</v>
      </c>
      <c r="G389">
        <v>29489512</v>
      </c>
      <c r="J389">
        <v>468.51</v>
      </c>
      <c r="L389">
        <v>46782211</v>
      </c>
      <c r="M389" s="1">
        <v>44231</v>
      </c>
      <c r="N389" t="str">
        <f>"CC210204"</f>
        <v>CC210204</v>
      </c>
      <c r="O389" t="s">
        <v>28</v>
      </c>
      <c r="Q389" t="s">
        <v>29</v>
      </c>
      <c r="R389" t="s">
        <v>28</v>
      </c>
      <c r="S389" t="s">
        <v>1860</v>
      </c>
      <c r="T389" t="s">
        <v>1861</v>
      </c>
      <c r="W389" t="s">
        <v>107</v>
      </c>
      <c r="X389" t="s">
        <v>34</v>
      </c>
      <c r="Y389" t="str">
        <f>"77494"</f>
        <v>77494</v>
      </c>
    </row>
    <row r="390" spans="1:25" x14ac:dyDescent="0.25">
      <c r="A390" t="s">
        <v>1862</v>
      </c>
      <c r="B390" t="s">
        <v>1863</v>
      </c>
      <c r="C390">
        <v>2019</v>
      </c>
      <c r="D390">
        <v>8001</v>
      </c>
      <c r="E390">
        <v>1</v>
      </c>
      <c r="F390" t="s">
        <v>1864</v>
      </c>
      <c r="G390">
        <v>26479108</v>
      </c>
      <c r="J390">
        <v>196.82</v>
      </c>
      <c r="L390">
        <v>44309939</v>
      </c>
      <c r="M390" s="1">
        <v>43998</v>
      </c>
      <c r="N390" t="str">
        <f>"J200616AW2"</f>
        <v>J200616AW2</v>
      </c>
      <c r="O390" t="s">
        <v>28</v>
      </c>
      <c r="Q390" t="s">
        <v>29</v>
      </c>
      <c r="R390" t="s">
        <v>28</v>
      </c>
      <c r="S390" t="s">
        <v>1033</v>
      </c>
      <c r="T390" t="s">
        <v>1560</v>
      </c>
      <c r="W390" t="s">
        <v>1729</v>
      </c>
      <c r="X390" t="s">
        <v>169</v>
      </c>
      <c r="Y390" t="str">
        <f>"80129"</f>
        <v>80129</v>
      </c>
    </row>
    <row r="391" spans="1:25" x14ac:dyDescent="0.25">
      <c r="A391" t="s">
        <v>1865</v>
      </c>
      <c r="B391" t="s">
        <v>1866</v>
      </c>
      <c r="C391">
        <v>2020</v>
      </c>
      <c r="D391">
        <v>8001</v>
      </c>
      <c r="E391">
        <v>1</v>
      </c>
      <c r="F391" t="s">
        <v>1867</v>
      </c>
      <c r="G391">
        <v>27277039</v>
      </c>
      <c r="J391">
        <v>599.19000000000005</v>
      </c>
      <c r="L391">
        <v>45365285</v>
      </c>
      <c r="M391" s="1">
        <v>44183</v>
      </c>
      <c r="N391" t="str">
        <f>"RC210107"</f>
        <v>RC210107</v>
      </c>
      <c r="O391" t="s">
        <v>28</v>
      </c>
      <c r="Q391" t="s">
        <v>29</v>
      </c>
      <c r="R391" t="s">
        <v>28</v>
      </c>
      <c r="S391" t="s">
        <v>1068</v>
      </c>
      <c r="T391" t="s">
        <v>1069</v>
      </c>
      <c r="U391" t="s">
        <v>562</v>
      </c>
      <c r="W391" t="s">
        <v>563</v>
      </c>
      <c r="X391" t="s">
        <v>34</v>
      </c>
      <c r="Y391" t="str">
        <f>"750630156"</f>
        <v>750630156</v>
      </c>
    </row>
    <row r="392" spans="1:25" x14ac:dyDescent="0.25">
      <c r="A392" t="s">
        <v>1868</v>
      </c>
      <c r="B392" t="s">
        <v>1869</v>
      </c>
      <c r="C392">
        <v>2021</v>
      </c>
      <c r="D392">
        <v>8001</v>
      </c>
      <c r="E392">
        <v>1</v>
      </c>
      <c r="F392" t="s">
        <v>1870</v>
      </c>
      <c r="G392">
        <v>0</v>
      </c>
      <c r="J392">
        <v>682.09</v>
      </c>
      <c r="L392">
        <v>48549951</v>
      </c>
      <c r="M392" s="1">
        <v>44547</v>
      </c>
      <c r="N392" t="str">
        <f>"J211217BW7"</f>
        <v>J211217BW7</v>
      </c>
      <c r="O392" t="s">
        <v>28</v>
      </c>
      <c r="Q392" t="s">
        <v>29</v>
      </c>
      <c r="R392" t="s">
        <v>28</v>
      </c>
      <c r="S392" t="s">
        <v>1870</v>
      </c>
      <c r="T392" t="s">
        <v>1871</v>
      </c>
      <c r="U392" t="s">
        <v>60</v>
      </c>
      <c r="V392" t="s">
        <v>60</v>
      </c>
      <c r="W392" t="s">
        <v>1137</v>
      </c>
      <c r="X392" t="s">
        <v>34</v>
      </c>
      <c r="Y392" t="str">
        <f>"774943361   "</f>
        <v xml:space="preserve">774943361   </v>
      </c>
    </row>
    <row r="393" spans="1:25" x14ac:dyDescent="0.25">
      <c r="A393" t="s">
        <v>1872</v>
      </c>
      <c r="B393" t="s">
        <v>1873</v>
      </c>
      <c r="C393">
        <v>2020</v>
      </c>
      <c r="D393">
        <v>8001</v>
      </c>
      <c r="E393">
        <v>2</v>
      </c>
      <c r="F393" t="s">
        <v>1874</v>
      </c>
      <c r="G393">
        <v>24908686</v>
      </c>
      <c r="J393">
        <v>241.66</v>
      </c>
      <c r="L393">
        <v>44759378</v>
      </c>
      <c r="M393" s="1">
        <v>44147</v>
      </c>
      <c r="N393" t="str">
        <f>"TE201112"</f>
        <v>TE201112</v>
      </c>
      <c r="O393" t="s">
        <v>28</v>
      </c>
      <c r="Q393" t="s">
        <v>29</v>
      </c>
      <c r="R393" t="s">
        <v>28</v>
      </c>
      <c r="S393" t="s">
        <v>1875</v>
      </c>
      <c r="T393" t="s">
        <v>1876</v>
      </c>
      <c r="W393" t="s">
        <v>1877</v>
      </c>
      <c r="X393" t="s">
        <v>317</v>
      </c>
      <c r="Y393" t="str">
        <f>"94103"</f>
        <v>94103</v>
      </c>
    </row>
    <row r="394" spans="1:25" x14ac:dyDescent="0.25">
      <c r="A394" t="s">
        <v>1878</v>
      </c>
      <c r="B394" t="s">
        <v>1879</v>
      </c>
      <c r="C394">
        <v>2020</v>
      </c>
      <c r="D394">
        <v>8001</v>
      </c>
      <c r="E394">
        <v>1</v>
      </c>
      <c r="F394" t="s">
        <v>1880</v>
      </c>
      <c r="G394">
        <v>29461901</v>
      </c>
      <c r="J394">
        <v>267.67</v>
      </c>
      <c r="L394">
        <v>46728901</v>
      </c>
      <c r="M394" s="1">
        <v>44230</v>
      </c>
      <c r="N394" t="str">
        <f>"EK210203"</f>
        <v>EK210203</v>
      </c>
      <c r="O394" t="s">
        <v>28</v>
      </c>
      <c r="Q394" t="s">
        <v>29</v>
      </c>
      <c r="R394" t="s">
        <v>28</v>
      </c>
      <c r="S394" t="s">
        <v>1881</v>
      </c>
      <c r="T394" t="s">
        <v>1882</v>
      </c>
      <c r="W394" t="s">
        <v>107</v>
      </c>
      <c r="X394" t="s">
        <v>34</v>
      </c>
      <c r="Y394" t="str">
        <f>"77494"</f>
        <v>77494</v>
      </c>
    </row>
    <row r="395" spans="1:25" x14ac:dyDescent="0.25">
      <c r="A395" t="s">
        <v>1883</v>
      </c>
      <c r="B395" t="s">
        <v>1884</v>
      </c>
      <c r="C395">
        <v>2020</v>
      </c>
      <c r="D395">
        <v>8001</v>
      </c>
      <c r="E395">
        <v>1</v>
      </c>
      <c r="F395" t="s">
        <v>1880</v>
      </c>
      <c r="G395">
        <v>29461902</v>
      </c>
      <c r="J395">
        <v>262.16000000000003</v>
      </c>
      <c r="L395">
        <v>46728902</v>
      </c>
      <c r="M395" s="1">
        <v>44230</v>
      </c>
      <c r="N395" t="str">
        <f>"EK210203"</f>
        <v>EK210203</v>
      </c>
      <c r="O395" t="s">
        <v>28</v>
      </c>
      <c r="Q395" t="s">
        <v>29</v>
      </c>
      <c r="R395" t="s">
        <v>28</v>
      </c>
      <c r="S395" t="s">
        <v>1881</v>
      </c>
      <c r="T395" t="s">
        <v>1882</v>
      </c>
      <c r="W395" t="s">
        <v>107</v>
      </c>
      <c r="X395" t="s">
        <v>34</v>
      </c>
      <c r="Y395" t="str">
        <f>"77494"</f>
        <v>77494</v>
      </c>
    </row>
    <row r="396" spans="1:25" x14ac:dyDescent="0.25">
      <c r="A396" t="s">
        <v>1885</v>
      </c>
      <c r="B396" t="s">
        <v>1886</v>
      </c>
      <c r="C396">
        <v>2021</v>
      </c>
      <c r="D396">
        <v>8001</v>
      </c>
      <c r="E396">
        <v>1</v>
      </c>
      <c r="F396" t="s">
        <v>1887</v>
      </c>
      <c r="G396">
        <v>0</v>
      </c>
      <c r="J396">
        <v>17.75</v>
      </c>
      <c r="L396">
        <v>48768558</v>
      </c>
      <c r="M396" s="1">
        <v>44559</v>
      </c>
      <c r="N396" t="str">
        <f>"EL211229"</f>
        <v>EL211229</v>
      </c>
      <c r="O396" t="s">
        <v>28</v>
      </c>
      <c r="Q396" t="s">
        <v>29</v>
      </c>
      <c r="R396" t="s">
        <v>28</v>
      </c>
      <c r="S396" t="s">
        <v>1887</v>
      </c>
      <c r="T396" t="s">
        <v>1888</v>
      </c>
      <c r="U396" t="s">
        <v>60</v>
      </c>
      <c r="V396" t="s">
        <v>60</v>
      </c>
      <c r="W396" t="s">
        <v>1137</v>
      </c>
      <c r="X396" t="s">
        <v>34</v>
      </c>
      <c r="Y396" t="str">
        <f>"774942679   "</f>
        <v xml:space="preserve">774942679   </v>
      </c>
    </row>
    <row r="397" spans="1:25" x14ac:dyDescent="0.25">
      <c r="A397" t="s">
        <v>1889</v>
      </c>
      <c r="B397" t="s">
        <v>1890</v>
      </c>
      <c r="C397">
        <v>2020</v>
      </c>
      <c r="D397">
        <v>8001</v>
      </c>
      <c r="E397">
        <v>1</v>
      </c>
      <c r="F397" t="s">
        <v>1891</v>
      </c>
      <c r="G397">
        <v>28791789</v>
      </c>
      <c r="J397">
        <v>228.89</v>
      </c>
      <c r="L397">
        <v>45158233</v>
      </c>
      <c r="M397" s="1">
        <v>44173</v>
      </c>
      <c r="N397" t="str">
        <f>"RC201217"</f>
        <v>RC201217</v>
      </c>
      <c r="O397" t="s">
        <v>28</v>
      </c>
      <c r="Q397" t="s">
        <v>29</v>
      </c>
      <c r="R397" t="s">
        <v>28</v>
      </c>
      <c r="S397" t="s">
        <v>1393</v>
      </c>
      <c r="T397" t="s">
        <v>1394</v>
      </c>
      <c r="W397" t="s">
        <v>1075</v>
      </c>
      <c r="X397" t="s">
        <v>34</v>
      </c>
      <c r="Y397" t="str">
        <f>"761771529"</f>
        <v>761771529</v>
      </c>
    </row>
    <row r="398" spans="1:25" x14ac:dyDescent="0.25">
      <c r="A398" t="s">
        <v>1892</v>
      </c>
      <c r="B398" t="s">
        <v>1893</v>
      </c>
      <c r="C398">
        <v>2020</v>
      </c>
      <c r="D398">
        <v>8001</v>
      </c>
      <c r="E398">
        <v>2</v>
      </c>
      <c r="F398" t="s">
        <v>1894</v>
      </c>
      <c r="G398">
        <v>25467565</v>
      </c>
      <c r="J398">
        <v>92.13</v>
      </c>
      <c r="L398">
        <v>47526099</v>
      </c>
      <c r="M398" s="1">
        <v>44361</v>
      </c>
      <c r="N398" t="str">
        <f>"RC210622"</f>
        <v>RC210622</v>
      </c>
      <c r="O398" t="s">
        <v>28</v>
      </c>
      <c r="Q398" t="s">
        <v>29</v>
      </c>
      <c r="R398" t="s">
        <v>28</v>
      </c>
      <c r="S398" t="s">
        <v>1895</v>
      </c>
      <c r="T398" t="s">
        <v>562</v>
      </c>
      <c r="W398" t="s">
        <v>563</v>
      </c>
      <c r="X398" t="s">
        <v>34</v>
      </c>
      <c r="Y398" t="str">
        <f>"750630156"</f>
        <v>750630156</v>
      </c>
    </row>
    <row r="399" spans="1:25" x14ac:dyDescent="0.25">
      <c r="A399" t="s">
        <v>1896</v>
      </c>
      <c r="B399" t="s">
        <v>1897</v>
      </c>
      <c r="C399">
        <v>2020</v>
      </c>
      <c r="D399">
        <v>8001</v>
      </c>
      <c r="E399">
        <v>1</v>
      </c>
      <c r="F399" t="s">
        <v>1898</v>
      </c>
      <c r="G399">
        <v>29461900</v>
      </c>
      <c r="J399">
        <v>759.72</v>
      </c>
      <c r="L399">
        <v>46728900</v>
      </c>
      <c r="M399" s="1">
        <v>44230</v>
      </c>
      <c r="N399" t="str">
        <f>"EK210203"</f>
        <v>EK210203</v>
      </c>
      <c r="O399" t="s">
        <v>28</v>
      </c>
      <c r="Q399" t="s">
        <v>29</v>
      </c>
      <c r="R399" t="s">
        <v>28</v>
      </c>
      <c r="S399" t="s">
        <v>1899</v>
      </c>
      <c r="T399" t="s">
        <v>1882</v>
      </c>
      <c r="W399" t="s">
        <v>107</v>
      </c>
      <c r="X399" t="s">
        <v>34</v>
      </c>
      <c r="Y399" t="str">
        <f>"77494"</f>
        <v>77494</v>
      </c>
    </row>
    <row r="400" spans="1:25" x14ac:dyDescent="0.25">
      <c r="A400" t="s">
        <v>1900</v>
      </c>
      <c r="B400" t="s">
        <v>1901</v>
      </c>
      <c r="C400">
        <v>2021</v>
      </c>
      <c r="D400">
        <v>8001</v>
      </c>
      <c r="E400">
        <v>1</v>
      </c>
      <c r="F400" t="s">
        <v>1902</v>
      </c>
      <c r="G400">
        <v>30101591</v>
      </c>
      <c r="J400">
        <v>411.31</v>
      </c>
      <c r="L400">
        <v>48167746</v>
      </c>
      <c r="M400" s="1">
        <v>44522</v>
      </c>
      <c r="N400" t="str">
        <f>"RC211222"</f>
        <v>RC211222</v>
      </c>
      <c r="O400" t="s">
        <v>28</v>
      </c>
      <c r="Q400" t="s">
        <v>29</v>
      </c>
      <c r="R400" t="s">
        <v>28</v>
      </c>
      <c r="S400" t="s">
        <v>380</v>
      </c>
      <c r="T400" t="s">
        <v>1903</v>
      </c>
      <c r="U400" t="s">
        <v>1904</v>
      </c>
      <c r="V400" t="s">
        <v>1905</v>
      </c>
      <c r="W400" t="s">
        <v>75</v>
      </c>
      <c r="X400" t="s">
        <v>34</v>
      </c>
      <c r="Y400" t="str">
        <f>"770426040"</f>
        <v>770426040</v>
      </c>
    </row>
    <row r="401" spans="1:25" x14ac:dyDescent="0.25">
      <c r="A401" t="s">
        <v>1906</v>
      </c>
      <c r="B401" t="s">
        <v>1907</v>
      </c>
      <c r="C401">
        <v>2019</v>
      </c>
      <c r="D401">
        <v>8001</v>
      </c>
      <c r="E401">
        <v>1</v>
      </c>
      <c r="F401" t="s">
        <v>1908</v>
      </c>
      <c r="G401">
        <v>26740230</v>
      </c>
      <c r="J401">
        <v>155.4</v>
      </c>
      <c r="L401">
        <v>44231989</v>
      </c>
      <c r="M401" s="1">
        <v>43980</v>
      </c>
      <c r="N401" t="str">
        <f>"J200529AW4"</f>
        <v>J200529AW4</v>
      </c>
      <c r="O401" t="s">
        <v>28</v>
      </c>
      <c r="Q401" t="s">
        <v>29</v>
      </c>
      <c r="R401" t="s">
        <v>28</v>
      </c>
      <c r="S401" t="s">
        <v>1909</v>
      </c>
      <c r="T401" t="s">
        <v>1910</v>
      </c>
      <c r="W401" t="s">
        <v>1911</v>
      </c>
      <c r="X401" t="s">
        <v>317</v>
      </c>
      <c r="Y401" t="str">
        <f>"900514387"</f>
        <v>900514387</v>
      </c>
    </row>
    <row r="402" spans="1:25" x14ac:dyDescent="0.25">
      <c r="A402" t="s">
        <v>1912</v>
      </c>
      <c r="B402" t="s">
        <v>1913</v>
      </c>
      <c r="C402">
        <v>2019</v>
      </c>
      <c r="D402">
        <v>8001</v>
      </c>
      <c r="E402">
        <v>1</v>
      </c>
      <c r="F402" t="s">
        <v>1914</v>
      </c>
      <c r="G402">
        <v>28305730</v>
      </c>
      <c r="J402">
        <v>276.08999999999997</v>
      </c>
      <c r="L402">
        <v>43875785</v>
      </c>
      <c r="M402" s="1">
        <v>43894</v>
      </c>
      <c r="N402" t="str">
        <f>"EK200304"</f>
        <v>EK200304</v>
      </c>
      <c r="O402" t="s">
        <v>28</v>
      </c>
      <c r="Q402" t="s">
        <v>29</v>
      </c>
      <c r="R402" t="s">
        <v>28</v>
      </c>
      <c r="S402" t="s">
        <v>1915</v>
      </c>
      <c r="T402" t="s">
        <v>1916</v>
      </c>
      <c r="W402" t="s">
        <v>107</v>
      </c>
      <c r="X402" t="s">
        <v>34</v>
      </c>
      <c r="Y402" t="str">
        <f>"77494"</f>
        <v>77494</v>
      </c>
    </row>
    <row r="403" spans="1:25" x14ac:dyDescent="0.25">
      <c r="A403" t="s">
        <v>1912</v>
      </c>
      <c r="B403" t="s">
        <v>1913</v>
      </c>
      <c r="C403">
        <v>2020</v>
      </c>
      <c r="D403">
        <v>8001</v>
      </c>
      <c r="E403">
        <v>1</v>
      </c>
      <c r="F403" t="s">
        <v>1914</v>
      </c>
      <c r="G403">
        <v>29604581</v>
      </c>
      <c r="J403">
        <v>284.64999999999998</v>
      </c>
      <c r="L403">
        <v>47034763</v>
      </c>
      <c r="M403" s="1">
        <v>44259</v>
      </c>
      <c r="N403" t="str">
        <f>"CC210304"</f>
        <v>CC210304</v>
      </c>
      <c r="O403" t="s">
        <v>28</v>
      </c>
      <c r="Q403" t="s">
        <v>29</v>
      </c>
      <c r="R403" t="s">
        <v>28</v>
      </c>
      <c r="S403" t="s">
        <v>1915</v>
      </c>
      <c r="T403" t="s">
        <v>1916</v>
      </c>
      <c r="W403" t="s">
        <v>107</v>
      </c>
      <c r="X403" t="s">
        <v>34</v>
      </c>
      <c r="Y403" t="str">
        <f>"77494"</f>
        <v>77494</v>
      </c>
    </row>
    <row r="404" spans="1:25" x14ac:dyDescent="0.25">
      <c r="A404" t="s">
        <v>1917</v>
      </c>
      <c r="B404" t="s">
        <v>1918</v>
      </c>
      <c r="C404">
        <v>2020</v>
      </c>
      <c r="D404">
        <v>8001</v>
      </c>
      <c r="E404">
        <v>1</v>
      </c>
      <c r="F404" t="s">
        <v>1919</v>
      </c>
      <c r="G404">
        <v>0</v>
      </c>
      <c r="J404">
        <v>561.83000000000004</v>
      </c>
      <c r="L404">
        <v>46885388</v>
      </c>
      <c r="M404" s="1">
        <v>44236</v>
      </c>
      <c r="N404" t="str">
        <f>"J210209BW9"</f>
        <v>J210209BW9</v>
      </c>
      <c r="O404" t="s">
        <v>28</v>
      </c>
      <c r="Q404" t="s">
        <v>29</v>
      </c>
      <c r="R404" t="s">
        <v>28</v>
      </c>
      <c r="S404" t="s">
        <v>1919</v>
      </c>
      <c r="T404" t="s">
        <v>1920</v>
      </c>
      <c r="U404" t="s">
        <v>60</v>
      </c>
      <c r="V404" t="s">
        <v>60</v>
      </c>
      <c r="W404" t="s">
        <v>1137</v>
      </c>
      <c r="X404" t="s">
        <v>34</v>
      </c>
      <c r="Y404" t="str">
        <f>"774945298   "</f>
        <v xml:space="preserve">774945298   </v>
      </c>
    </row>
    <row r="405" spans="1:25" x14ac:dyDescent="0.25">
      <c r="A405" t="s">
        <v>1921</v>
      </c>
      <c r="B405" t="s">
        <v>1922</v>
      </c>
      <c r="C405">
        <v>2020</v>
      </c>
      <c r="D405">
        <v>8001</v>
      </c>
      <c r="E405">
        <v>1</v>
      </c>
      <c r="F405" t="s">
        <v>1923</v>
      </c>
      <c r="G405">
        <v>26540958</v>
      </c>
      <c r="J405">
        <v>179.6</v>
      </c>
      <c r="L405">
        <v>47501199</v>
      </c>
      <c r="M405" s="1">
        <v>44351</v>
      </c>
      <c r="N405" t="str">
        <f>"RC210607"</f>
        <v>RC210607</v>
      </c>
      <c r="O405" t="s">
        <v>28</v>
      </c>
      <c r="Q405" t="s">
        <v>29</v>
      </c>
      <c r="R405" t="s">
        <v>28</v>
      </c>
      <c r="S405" t="s">
        <v>1924</v>
      </c>
      <c r="T405" t="s">
        <v>1925</v>
      </c>
      <c r="W405" t="s">
        <v>107</v>
      </c>
      <c r="X405" t="s">
        <v>34</v>
      </c>
      <c r="Y405" t="str">
        <f>"774945479"</f>
        <v>774945479</v>
      </c>
    </row>
    <row r="406" spans="1:25" x14ac:dyDescent="0.25">
      <c r="A406" t="s">
        <v>1926</v>
      </c>
      <c r="B406" t="s">
        <v>1927</v>
      </c>
      <c r="C406">
        <v>2019</v>
      </c>
      <c r="D406">
        <v>8001</v>
      </c>
      <c r="E406">
        <v>1</v>
      </c>
      <c r="F406" t="s">
        <v>1928</v>
      </c>
      <c r="G406">
        <v>0</v>
      </c>
      <c r="J406">
        <v>20</v>
      </c>
      <c r="L406">
        <v>42708064</v>
      </c>
      <c r="M406" s="1">
        <v>43837</v>
      </c>
      <c r="N406" t="str">
        <f>"L200107"</f>
        <v>L200107</v>
      </c>
      <c r="O406" t="s">
        <v>28</v>
      </c>
      <c r="Q406" t="s">
        <v>29</v>
      </c>
      <c r="R406" t="s">
        <v>28</v>
      </c>
      <c r="S406" t="s">
        <v>1928</v>
      </c>
      <c r="T406" t="s">
        <v>1929</v>
      </c>
      <c r="U406" t="s">
        <v>60</v>
      </c>
      <c r="V406" t="s">
        <v>60</v>
      </c>
      <c r="W406" t="s">
        <v>1137</v>
      </c>
      <c r="X406" t="s">
        <v>34</v>
      </c>
      <c r="Y406" t="str">
        <f>"774945257   "</f>
        <v xml:space="preserve">774945257   </v>
      </c>
    </row>
    <row r="407" spans="1:25" x14ac:dyDescent="0.25">
      <c r="A407" t="s">
        <v>1930</v>
      </c>
      <c r="B407" t="s">
        <v>1931</v>
      </c>
      <c r="C407">
        <v>2019</v>
      </c>
      <c r="D407">
        <v>8001</v>
      </c>
      <c r="E407">
        <v>1</v>
      </c>
      <c r="F407" t="s">
        <v>1932</v>
      </c>
      <c r="G407">
        <v>28305708</v>
      </c>
      <c r="J407">
        <v>183.85</v>
      </c>
      <c r="L407">
        <v>43875763</v>
      </c>
      <c r="M407" s="1">
        <v>43894</v>
      </c>
      <c r="N407" t="str">
        <f>"EK200304"</f>
        <v>EK200304</v>
      </c>
      <c r="O407" t="s">
        <v>28</v>
      </c>
      <c r="Q407" t="s">
        <v>29</v>
      </c>
      <c r="R407" t="s">
        <v>28</v>
      </c>
      <c r="S407" t="s">
        <v>1933</v>
      </c>
      <c r="T407" t="s">
        <v>1934</v>
      </c>
      <c r="W407" t="s">
        <v>107</v>
      </c>
      <c r="X407" t="s">
        <v>34</v>
      </c>
      <c r="Y407" t="str">
        <f>"77494"</f>
        <v>77494</v>
      </c>
    </row>
    <row r="408" spans="1:25" x14ac:dyDescent="0.25">
      <c r="A408" t="s">
        <v>1935</v>
      </c>
      <c r="B408" t="s">
        <v>1936</v>
      </c>
      <c r="C408">
        <v>2019</v>
      </c>
      <c r="D408">
        <v>8001</v>
      </c>
      <c r="E408">
        <v>1</v>
      </c>
      <c r="F408" t="s">
        <v>1937</v>
      </c>
      <c r="G408">
        <v>28305705</v>
      </c>
      <c r="J408">
        <v>185.83</v>
      </c>
      <c r="L408">
        <v>43875760</v>
      </c>
      <c r="M408" s="1">
        <v>43894</v>
      </c>
      <c r="N408" t="str">
        <f>"EK200304"</f>
        <v>EK200304</v>
      </c>
      <c r="O408" t="s">
        <v>28</v>
      </c>
      <c r="Q408" t="s">
        <v>29</v>
      </c>
      <c r="R408" t="s">
        <v>28</v>
      </c>
      <c r="S408" t="s">
        <v>1933</v>
      </c>
      <c r="T408" t="s">
        <v>1934</v>
      </c>
      <c r="W408" t="s">
        <v>107</v>
      </c>
      <c r="X408" t="s">
        <v>34</v>
      </c>
      <c r="Y408" t="str">
        <f>"77494"</f>
        <v>77494</v>
      </c>
    </row>
    <row r="409" spans="1:25" x14ac:dyDescent="0.25">
      <c r="A409" t="s">
        <v>1938</v>
      </c>
      <c r="B409" t="s">
        <v>1939</v>
      </c>
      <c r="C409">
        <v>2021</v>
      </c>
      <c r="D409">
        <v>8001</v>
      </c>
      <c r="E409">
        <v>1</v>
      </c>
      <c r="F409" t="s">
        <v>1940</v>
      </c>
      <c r="G409">
        <v>30997239</v>
      </c>
      <c r="J409" s="2">
        <v>1400.79</v>
      </c>
      <c r="L409">
        <v>48832537</v>
      </c>
      <c r="M409" s="1">
        <v>44564</v>
      </c>
      <c r="N409" t="str">
        <f>"RC220208"</f>
        <v>RC220208</v>
      </c>
      <c r="O409" t="s">
        <v>28</v>
      </c>
      <c r="Q409" t="s">
        <v>29</v>
      </c>
      <c r="R409" t="s">
        <v>28</v>
      </c>
      <c r="S409" t="s">
        <v>1941</v>
      </c>
      <c r="T409" t="s">
        <v>1942</v>
      </c>
      <c r="U409" t="s">
        <v>1943</v>
      </c>
      <c r="W409" t="s">
        <v>563</v>
      </c>
      <c r="X409" t="s">
        <v>34</v>
      </c>
      <c r="Y409" t="str">
        <f>"750393740"</f>
        <v>750393740</v>
      </c>
    </row>
    <row r="410" spans="1:25" x14ac:dyDescent="0.25">
      <c r="A410" t="s">
        <v>1944</v>
      </c>
      <c r="B410" t="s">
        <v>1945</v>
      </c>
      <c r="C410">
        <v>2019</v>
      </c>
      <c r="D410">
        <v>8001</v>
      </c>
      <c r="E410">
        <v>1</v>
      </c>
      <c r="F410" t="s">
        <v>1946</v>
      </c>
      <c r="G410">
        <v>28298296</v>
      </c>
      <c r="J410">
        <v>127.36</v>
      </c>
      <c r="L410">
        <v>43864412</v>
      </c>
      <c r="M410" s="1">
        <v>43893</v>
      </c>
      <c r="N410" t="str">
        <f>"EK400303"</f>
        <v>EK400303</v>
      </c>
      <c r="O410" t="s">
        <v>28</v>
      </c>
      <c r="Q410" t="s">
        <v>29</v>
      </c>
      <c r="R410" t="s">
        <v>28</v>
      </c>
      <c r="S410" t="s">
        <v>1947</v>
      </c>
      <c r="T410" t="s">
        <v>1948</v>
      </c>
      <c r="W410" t="s">
        <v>107</v>
      </c>
      <c r="X410" t="s">
        <v>34</v>
      </c>
      <c r="Y410" t="str">
        <f>"77494"</f>
        <v>77494</v>
      </c>
    </row>
    <row r="411" spans="1:25" x14ac:dyDescent="0.25">
      <c r="A411" t="s">
        <v>1949</v>
      </c>
      <c r="B411" t="s">
        <v>1950</v>
      </c>
      <c r="C411">
        <v>2020</v>
      </c>
      <c r="D411">
        <v>8001</v>
      </c>
      <c r="E411">
        <v>1</v>
      </c>
      <c r="F411" t="s">
        <v>1951</v>
      </c>
      <c r="G411">
        <v>29461932</v>
      </c>
      <c r="J411">
        <v>281.55</v>
      </c>
      <c r="L411">
        <v>46728932</v>
      </c>
      <c r="M411" s="1">
        <v>44230</v>
      </c>
      <c r="N411" t="str">
        <f>"EK210203"</f>
        <v>EK210203</v>
      </c>
      <c r="O411" t="s">
        <v>28</v>
      </c>
      <c r="Q411" t="s">
        <v>29</v>
      </c>
      <c r="R411" t="s">
        <v>28</v>
      </c>
      <c r="S411" t="s">
        <v>1952</v>
      </c>
      <c r="T411" t="s">
        <v>1953</v>
      </c>
      <c r="W411" t="s">
        <v>107</v>
      </c>
      <c r="X411" t="s">
        <v>34</v>
      </c>
      <c r="Y411" t="str">
        <f>"77494"</f>
        <v>77494</v>
      </c>
    </row>
    <row r="412" spans="1:25" x14ac:dyDescent="0.25">
      <c r="A412" t="s">
        <v>1954</v>
      </c>
      <c r="B412" t="s">
        <v>1955</v>
      </c>
      <c r="C412">
        <v>2020</v>
      </c>
      <c r="D412">
        <v>8001</v>
      </c>
      <c r="E412">
        <v>1</v>
      </c>
      <c r="F412" t="s">
        <v>1956</v>
      </c>
      <c r="G412">
        <v>29461866</v>
      </c>
      <c r="J412">
        <v>362.43</v>
      </c>
      <c r="L412">
        <v>46728866</v>
      </c>
      <c r="M412" s="1">
        <v>44230</v>
      </c>
      <c r="N412" t="str">
        <f>"EK210203"</f>
        <v>EK210203</v>
      </c>
      <c r="O412" t="s">
        <v>28</v>
      </c>
      <c r="Q412" t="s">
        <v>29</v>
      </c>
      <c r="R412" t="s">
        <v>28</v>
      </c>
      <c r="S412" t="s">
        <v>1957</v>
      </c>
      <c r="T412" t="s">
        <v>1958</v>
      </c>
      <c r="W412" t="s">
        <v>107</v>
      </c>
      <c r="X412" t="s">
        <v>34</v>
      </c>
      <c r="Y412" t="str">
        <f>"77494"</f>
        <v>77494</v>
      </c>
    </row>
    <row r="413" spans="1:25" x14ac:dyDescent="0.25">
      <c r="A413" t="s">
        <v>1959</v>
      </c>
      <c r="B413" t="s">
        <v>1960</v>
      </c>
      <c r="C413">
        <v>2021</v>
      </c>
      <c r="D413">
        <v>8001</v>
      </c>
      <c r="E413">
        <v>1</v>
      </c>
      <c r="F413" t="s">
        <v>1961</v>
      </c>
      <c r="G413">
        <v>31032742</v>
      </c>
      <c r="J413">
        <v>10</v>
      </c>
      <c r="L413">
        <v>49298809</v>
      </c>
      <c r="M413" s="1">
        <v>44580</v>
      </c>
      <c r="N413" t="str">
        <f>"RC220221"</f>
        <v>RC220221</v>
      </c>
      <c r="O413" t="s">
        <v>28</v>
      </c>
      <c r="Q413" t="s">
        <v>29</v>
      </c>
      <c r="R413" t="s">
        <v>28</v>
      </c>
      <c r="S413" t="s">
        <v>1962</v>
      </c>
      <c r="T413" t="s">
        <v>1963</v>
      </c>
      <c r="W413" t="s">
        <v>107</v>
      </c>
      <c r="X413" t="s">
        <v>34</v>
      </c>
      <c r="Y413" t="str">
        <f>"774492973"</f>
        <v>774492973</v>
      </c>
    </row>
    <row r="414" spans="1:25" x14ac:dyDescent="0.25">
      <c r="A414" t="s">
        <v>1964</v>
      </c>
      <c r="B414" t="s">
        <v>1965</v>
      </c>
      <c r="C414">
        <v>2019</v>
      </c>
      <c r="D414">
        <v>8001</v>
      </c>
      <c r="E414">
        <v>1</v>
      </c>
      <c r="F414" t="s">
        <v>1966</v>
      </c>
      <c r="G414">
        <v>25995701</v>
      </c>
      <c r="J414">
        <v>153.35</v>
      </c>
      <c r="L414">
        <v>43915302</v>
      </c>
      <c r="M414" s="1">
        <v>43900</v>
      </c>
      <c r="N414" t="str">
        <f>"J200310AW5"</f>
        <v>J200310AW5</v>
      </c>
      <c r="O414" t="s">
        <v>28</v>
      </c>
      <c r="Q414" t="s">
        <v>29</v>
      </c>
      <c r="R414" t="s">
        <v>28</v>
      </c>
      <c r="S414" t="s">
        <v>1967</v>
      </c>
      <c r="T414" t="s">
        <v>1968</v>
      </c>
      <c r="W414" t="s">
        <v>75</v>
      </c>
      <c r="X414" t="s">
        <v>34</v>
      </c>
      <c r="Y414" t="str">
        <f>"77082"</f>
        <v>77082</v>
      </c>
    </row>
    <row r="415" spans="1:25" x14ac:dyDescent="0.25">
      <c r="A415" t="s">
        <v>1969</v>
      </c>
      <c r="B415" t="s">
        <v>1970</v>
      </c>
      <c r="C415">
        <v>2019</v>
      </c>
      <c r="D415">
        <v>8001</v>
      </c>
      <c r="E415">
        <v>1</v>
      </c>
      <c r="F415" t="s">
        <v>1971</v>
      </c>
      <c r="G415">
        <v>22993312</v>
      </c>
      <c r="J415">
        <v>15.98</v>
      </c>
      <c r="L415">
        <v>44288764</v>
      </c>
      <c r="M415" s="1">
        <v>43990</v>
      </c>
      <c r="N415" t="str">
        <f>"J200608K5"</f>
        <v>J200608K5</v>
      </c>
      <c r="O415" t="s">
        <v>28</v>
      </c>
      <c r="Q415" t="s">
        <v>29</v>
      </c>
      <c r="R415" t="s">
        <v>28</v>
      </c>
      <c r="S415" t="s">
        <v>1794</v>
      </c>
      <c r="T415" t="s">
        <v>1795</v>
      </c>
      <c r="W415" t="s">
        <v>1615</v>
      </c>
      <c r="X415" t="s">
        <v>143</v>
      </c>
      <c r="Y415" t="str">
        <f>"191156320"</f>
        <v>191156320</v>
      </c>
    </row>
    <row r="416" spans="1:25" x14ac:dyDescent="0.25">
      <c r="A416" t="s">
        <v>1969</v>
      </c>
      <c r="B416" t="s">
        <v>1970</v>
      </c>
      <c r="C416">
        <v>2020</v>
      </c>
      <c r="D416">
        <v>8001</v>
      </c>
      <c r="E416">
        <v>1</v>
      </c>
      <c r="F416" t="s">
        <v>1971</v>
      </c>
      <c r="G416">
        <v>22993312</v>
      </c>
      <c r="J416">
        <v>18</v>
      </c>
      <c r="L416">
        <v>47318296</v>
      </c>
      <c r="M416" s="1">
        <v>44307</v>
      </c>
      <c r="N416" t="str">
        <f>"RC211103"</f>
        <v>RC211103</v>
      </c>
      <c r="O416" t="s">
        <v>260</v>
      </c>
      <c r="Q416" t="s">
        <v>29</v>
      </c>
      <c r="R416" t="s">
        <v>28</v>
      </c>
      <c r="S416" t="s">
        <v>1794</v>
      </c>
      <c r="T416" t="s">
        <v>1795</v>
      </c>
      <c r="W416" t="s">
        <v>1615</v>
      </c>
      <c r="X416" t="s">
        <v>143</v>
      </c>
      <c r="Y416" t="str">
        <f>"191156320"</f>
        <v>191156320</v>
      </c>
    </row>
    <row r="417" spans="1:25" x14ac:dyDescent="0.25">
      <c r="A417" t="s">
        <v>1972</v>
      </c>
      <c r="B417" t="s">
        <v>1973</v>
      </c>
      <c r="C417">
        <v>2019</v>
      </c>
      <c r="D417">
        <v>8001</v>
      </c>
      <c r="E417">
        <v>1</v>
      </c>
      <c r="F417" t="s">
        <v>1974</v>
      </c>
      <c r="G417">
        <v>28305744</v>
      </c>
      <c r="J417">
        <v>100.16</v>
      </c>
      <c r="L417">
        <v>43875799</v>
      </c>
      <c r="M417" s="1">
        <v>43894</v>
      </c>
      <c r="N417" t="str">
        <f>"EK200304"</f>
        <v>EK200304</v>
      </c>
      <c r="O417" t="s">
        <v>28</v>
      </c>
      <c r="Q417" t="s">
        <v>29</v>
      </c>
      <c r="R417" t="s">
        <v>28</v>
      </c>
      <c r="S417" t="s">
        <v>1975</v>
      </c>
      <c r="T417" t="s">
        <v>1976</v>
      </c>
      <c r="W417" t="s">
        <v>107</v>
      </c>
      <c r="X417" t="s">
        <v>34</v>
      </c>
      <c r="Y417" t="str">
        <f>"77494"</f>
        <v>77494</v>
      </c>
    </row>
    <row r="418" spans="1:25" x14ac:dyDescent="0.25">
      <c r="A418" t="s">
        <v>1977</v>
      </c>
      <c r="B418" t="s">
        <v>1978</v>
      </c>
      <c r="C418">
        <v>2021</v>
      </c>
      <c r="D418">
        <v>8001</v>
      </c>
      <c r="E418">
        <v>1</v>
      </c>
      <c r="F418" t="s">
        <v>1979</v>
      </c>
      <c r="G418">
        <v>30511134</v>
      </c>
      <c r="J418" s="2">
        <v>1278.3399999999999</v>
      </c>
      <c r="L418">
        <v>48313673</v>
      </c>
      <c r="M418" s="1">
        <v>44536</v>
      </c>
      <c r="N418" t="str">
        <f>"RC220113"</f>
        <v>RC220113</v>
      </c>
      <c r="O418" t="s">
        <v>28</v>
      </c>
      <c r="Q418" t="s">
        <v>29</v>
      </c>
      <c r="R418" t="s">
        <v>28</v>
      </c>
      <c r="S418" t="s">
        <v>1941</v>
      </c>
      <c r="T418" t="s">
        <v>1942</v>
      </c>
      <c r="U418" t="s">
        <v>1943</v>
      </c>
      <c r="W418" t="s">
        <v>563</v>
      </c>
      <c r="X418" t="s">
        <v>34</v>
      </c>
      <c r="Y418" t="str">
        <f>"75039"</f>
        <v>75039</v>
      </c>
    </row>
    <row r="419" spans="1:25" x14ac:dyDescent="0.25">
      <c r="A419" t="s">
        <v>1980</v>
      </c>
      <c r="B419" t="s">
        <v>1981</v>
      </c>
      <c r="C419">
        <v>2021</v>
      </c>
      <c r="D419">
        <v>8001</v>
      </c>
      <c r="E419">
        <v>1</v>
      </c>
      <c r="F419" t="s">
        <v>1982</v>
      </c>
      <c r="G419">
        <v>28406245</v>
      </c>
      <c r="J419">
        <v>347.87</v>
      </c>
      <c r="L419">
        <v>49576144</v>
      </c>
      <c r="M419" s="1">
        <v>44587</v>
      </c>
      <c r="N419" t="str">
        <f>"RC220309"</f>
        <v>RC220309</v>
      </c>
      <c r="O419" t="s">
        <v>28</v>
      </c>
      <c r="Q419" t="s">
        <v>29</v>
      </c>
      <c r="R419" t="s">
        <v>28</v>
      </c>
      <c r="S419" t="s">
        <v>1474</v>
      </c>
      <c r="T419" t="s">
        <v>1475</v>
      </c>
      <c r="W419" t="s">
        <v>33</v>
      </c>
      <c r="X419" t="s">
        <v>34</v>
      </c>
      <c r="Y419" t="str">
        <f>"75093"</f>
        <v>75093</v>
      </c>
    </row>
    <row r="420" spans="1:25" x14ac:dyDescent="0.25">
      <c r="A420" t="s">
        <v>1983</v>
      </c>
      <c r="B420" t="s">
        <v>1984</v>
      </c>
      <c r="C420">
        <v>2020</v>
      </c>
      <c r="D420">
        <v>8001</v>
      </c>
      <c r="E420">
        <v>1</v>
      </c>
      <c r="F420" t="s">
        <v>1985</v>
      </c>
      <c r="G420">
        <v>0</v>
      </c>
      <c r="J420">
        <v>8.8000000000000007</v>
      </c>
      <c r="L420">
        <v>46575319</v>
      </c>
      <c r="M420" s="1">
        <v>44228</v>
      </c>
      <c r="N420" t="str">
        <f>"J210201K2"</f>
        <v>J210201K2</v>
      </c>
      <c r="O420" t="s">
        <v>28</v>
      </c>
      <c r="Q420" t="s">
        <v>29</v>
      </c>
      <c r="R420" t="s">
        <v>28</v>
      </c>
      <c r="S420" t="s">
        <v>1985</v>
      </c>
      <c r="T420" t="s">
        <v>1986</v>
      </c>
      <c r="U420" t="s">
        <v>60</v>
      </c>
      <c r="V420" t="s">
        <v>60</v>
      </c>
      <c r="W420" t="s">
        <v>198</v>
      </c>
      <c r="X420" t="s">
        <v>34</v>
      </c>
      <c r="Y420" t="str">
        <f>"752541341   "</f>
        <v xml:space="preserve">752541341   </v>
      </c>
    </row>
    <row r="421" spans="1:25" x14ac:dyDescent="0.25">
      <c r="A421" t="s">
        <v>1987</v>
      </c>
      <c r="B421" t="s">
        <v>1988</v>
      </c>
      <c r="C421">
        <v>2019</v>
      </c>
      <c r="D421">
        <v>8001</v>
      </c>
      <c r="E421">
        <v>1</v>
      </c>
      <c r="F421" t="s">
        <v>1989</v>
      </c>
      <c r="G421">
        <v>0</v>
      </c>
      <c r="J421">
        <v>41.83</v>
      </c>
      <c r="L421">
        <v>42666950</v>
      </c>
      <c r="M421" s="1">
        <v>43836</v>
      </c>
      <c r="N421" t="str">
        <f>"J200106AW7"</f>
        <v>J200106AW7</v>
      </c>
      <c r="O421" t="s">
        <v>28</v>
      </c>
      <c r="Q421" t="s">
        <v>29</v>
      </c>
      <c r="R421" t="s">
        <v>28</v>
      </c>
      <c r="S421" t="s">
        <v>1989</v>
      </c>
      <c r="T421" t="s">
        <v>1990</v>
      </c>
      <c r="U421" t="s">
        <v>60</v>
      </c>
      <c r="V421" t="s">
        <v>60</v>
      </c>
      <c r="W421" t="s">
        <v>214</v>
      </c>
      <c r="X421" t="s">
        <v>34</v>
      </c>
      <c r="Y421" t="str">
        <f>"774072154   "</f>
        <v xml:space="preserve">774072154   </v>
      </c>
    </row>
    <row r="422" spans="1:25" x14ac:dyDescent="0.25">
      <c r="A422" t="s">
        <v>1991</v>
      </c>
      <c r="B422" t="s">
        <v>1992</v>
      </c>
      <c r="C422">
        <v>2021</v>
      </c>
      <c r="D422">
        <v>8001</v>
      </c>
      <c r="E422">
        <v>1</v>
      </c>
      <c r="F422" t="s">
        <v>1993</v>
      </c>
      <c r="G422">
        <v>31032776</v>
      </c>
      <c r="J422">
        <v>448.43</v>
      </c>
      <c r="L422">
        <v>49328093</v>
      </c>
      <c r="M422" s="1">
        <v>44580</v>
      </c>
      <c r="N422" t="str">
        <f>"RC220221"</f>
        <v>RC220221</v>
      </c>
      <c r="O422" t="s">
        <v>28</v>
      </c>
      <c r="Q422" t="s">
        <v>29</v>
      </c>
      <c r="R422" t="s">
        <v>28</v>
      </c>
      <c r="S422" t="s">
        <v>1994</v>
      </c>
      <c r="T422" t="s">
        <v>1995</v>
      </c>
      <c r="W422" t="s">
        <v>40</v>
      </c>
      <c r="X422" t="s">
        <v>34</v>
      </c>
      <c r="Y422" t="str">
        <f>"774981689"</f>
        <v>774981689</v>
      </c>
    </row>
    <row r="423" spans="1:25" x14ac:dyDescent="0.25">
      <c r="A423" t="s">
        <v>1996</v>
      </c>
      <c r="B423" t="s">
        <v>1997</v>
      </c>
      <c r="C423">
        <v>2019</v>
      </c>
      <c r="D423">
        <v>8001</v>
      </c>
      <c r="E423">
        <v>1</v>
      </c>
      <c r="F423" t="s">
        <v>1998</v>
      </c>
      <c r="G423">
        <v>27789343</v>
      </c>
      <c r="J423">
        <v>324.60000000000002</v>
      </c>
      <c r="L423">
        <v>43261586</v>
      </c>
      <c r="M423" s="1">
        <v>43858</v>
      </c>
      <c r="N423" t="str">
        <f>"P200128U1"</f>
        <v>P200128U1</v>
      </c>
      <c r="O423" t="s">
        <v>28</v>
      </c>
      <c r="Q423" t="s">
        <v>29</v>
      </c>
      <c r="R423" t="s">
        <v>28</v>
      </c>
      <c r="S423" t="s">
        <v>1999</v>
      </c>
      <c r="T423" t="s">
        <v>2000</v>
      </c>
      <c r="W423" t="s">
        <v>332</v>
      </c>
      <c r="X423" t="s">
        <v>34</v>
      </c>
      <c r="Y423" t="str">
        <f>"752347334"</f>
        <v>752347334</v>
      </c>
    </row>
    <row r="424" spans="1:25" x14ac:dyDescent="0.25">
      <c r="A424" t="s">
        <v>2001</v>
      </c>
      <c r="B424" t="s">
        <v>2002</v>
      </c>
      <c r="C424">
        <v>2021</v>
      </c>
      <c r="D424">
        <v>8001</v>
      </c>
      <c r="E424">
        <v>2</v>
      </c>
      <c r="F424" t="s">
        <v>2003</v>
      </c>
      <c r="G424">
        <v>30511226</v>
      </c>
      <c r="J424" s="2">
        <v>18107.2</v>
      </c>
      <c r="L424">
        <v>48416722</v>
      </c>
      <c r="M424" s="1">
        <v>44540</v>
      </c>
      <c r="N424" t="str">
        <f>"RC220113"</f>
        <v>RC220113</v>
      </c>
      <c r="O424" t="s">
        <v>28</v>
      </c>
      <c r="Q424" t="s">
        <v>29</v>
      </c>
      <c r="R424" t="s">
        <v>28</v>
      </c>
      <c r="S424" t="s">
        <v>2004</v>
      </c>
      <c r="T424" t="s">
        <v>2005</v>
      </c>
      <c r="U424" t="s">
        <v>2006</v>
      </c>
      <c r="W424" t="s">
        <v>365</v>
      </c>
      <c r="X424" t="s">
        <v>34</v>
      </c>
      <c r="Y424" t="str">
        <f>"77384"</f>
        <v>77384</v>
      </c>
    </row>
    <row r="425" spans="1:25" x14ac:dyDescent="0.25">
      <c r="A425" t="s">
        <v>2007</v>
      </c>
      <c r="B425" t="s">
        <v>2008</v>
      </c>
      <c r="C425">
        <v>2020</v>
      </c>
      <c r="D425">
        <v>8001</v>
      </c>
      <c r="E425">
        <v>1</v>
      </c>
      <c r="F425" t="s">
        <v>2009</v>
      </c>
      <c r="G425">
        <v>27088471</v>
      </c>
      <c r="J425">
        <v>812.78</v>
      </c>
      <c r="L425">
        <v>46873668</v>
      </c>
      <c r="M425" s="1">
        <v>44236</v>
      </c>
      <c r="N425" t="str">
        <f>"O210209AB1"</f>
        <v>O210209AB1</v>
      </c>
      <c r="O425" t="s">
        <v>28</v>
      </c>
      <c r="Q425" t="s">
        <v>29</v>
      </c>
      <c r="R425" t="s">
        <v>28</v>
      </c>
      <c r="S425" t="s">
        <v>2010</v>
      </c>
      <c r="T425" t="s">
        <v>2011</v>
      </c>
      <c r="W425" t="s">
        <v>371</v>
      </c>
      <c r="X425" t="s">
        <v>34</v>
      </c>
      <c r="Y425" t="str">
        <f>"774773302"</f>
        <v>774773302</v>
      </c>
    </row>
    <row r="426" spans="1:25" x14ac:dyDescent="0.25">
      <c r="A426" t="s">
        <v>2012</v>
      </c>
      <c r="B426" t="s">
        <v>2013</v>
      </c>
      <c r="C426">
        <v>2020</v>
      </c>
      <c r="D426">
        <v>8001</v>
      </c>
      <c r="E426">
        <v>4</v>
      </c>
      <c r="F426" t="s">
        <v>2014</v>
      </c>
      <c r="G426">
        <v>29575683</v>
      </c>
      <c r="J426">
        <v>350</v>
      </c>
      <c r="L426">
        <v>46987074</v>
      </c>
      <c r="M426" s="1">
        <v>44253</v>
      </c>
      <c r="N426" t="str">
        <f>"EK210226"</f>
        <v>EK210226</v>
      </c>
      <c r="O426" t="s">
        <v>28</v>
      </c>
      <c r="Q426" t="s">
        <v>29</v>
      </c>
      <c r="R426" t="s">
        <v>28</v>
      </c>
      <c r="S426" t="s">
        <v>2015</v>
      </c>
      <c r="T426" t="s">
        <v>2016</v>
      </c>
      <c r="W426" t="s">
        <v>392</v>
      </c>
      <c r="X426" t="s">
        <v>34</v>
      </c>
      <c r="Y426" t="str">
        <f>"77489"</f>
        <v>77489</v>
      </c>
    </row>
    <row r="427" spans="1:25" x14ac:dyDescent="0.25">
      <c r="A427" t="s">
        <v>2017</v>
      </c>
      <c r="B427" t="s">
        <v>2018</v>
      </c>
      <c r="C427">
        <v>2019</v>
      </c>
      <c r="D427">
        <v>8001</v>
      </c>
      <c r="E427">
        <v>1</v>
      </c>
      <c r="F427" t="s">
        <v>2019</v>
      </c>
      <c r="G427">
        <v>0</v>
      </c>
      <c r="J427">
        <v>327.99</v>
      </c>
      <c r="L427">
        <v>42538475</v>
      </c>
      <c r="M427" s="1">
        <v>43830</v>
      </c>
      <c r="N427" t="str">
        <f>"L191231"</f>
        <v>L191231</v>
      </c>
      <c r="O427" t="s">
        <v>28</v>
      </c>
      <c r="Q427" t="s">
        <v>29</v>
      </c>
      <c r="R427" t="s">
        <v>28</v>
      </c>
      <c r="S427" t="s">
        <v>2019</v>
      </c>
      <c r="T427" t="s">
        <v>2020</v>
      </c>
      <c r="U427" t="s">
        <v>60</v>
      </c>
      <c r="V427" t="s">
        <v>60</v>
      </c>
      <c r="W427" t="s">
        <v>219</v>
      </c>
      <c r="X427" t="s">
        <v>34</v>
      </c>
      <c r="Y427" t="str">
        <f>"774791773   "</f>
        <v xml:space="preserve">774791773   </v>
      </c>
    </row>
    <row r="428" spans="1:25" x14ac:dyDescent="0.25">
      <c r="A428" t="s">
        <v>2021</v>
      </c>
      <c r="B428" t="s">
        <v>2022</v>
      </c>
      <c r="C428">
        <v>2019</v>
      </c>
      <c r="D428">
        <v>8001</v>
      </c>
      <c r="E428">
        <v>2</v>
      </c>
      <c r="F428" t="s">
        <v>2023</v>
      </c>
      <c r="G428">
        <v>26676648</v>
      </c>
      <c r="J428">
        <v>100</v>
      </c>
      <c r="L428">
        <v>42026414</v>
      </c>
      <c r="M428" s="1">
        <v>43796</v>
      </c>
      <c r="N428" t="str">
        <f>"J191127K2"</f>
        <v>J191127K2</v>
      </c>
      <c r="O428" t="s">
        <v>28</v>
      </c>
      <c r="Q428" t="s">
        <v>29</v>
      </c>
      <c r="R428" t="s">
        <v>28</v>
      </c>
      <c r="S428" t="s">
        <v>2024</v>
      </c>
      <c r="T428" t="s">
        <v>2025</v>
      </c>
      <c r="W428" t="s">
        <v>40</v>
      </c>
      <c r="X428" t="s">
        <v>34</v>
      </c>
      <c r="Y428" t="str">
        <f>"77479"</f>
        <v>77479</v>
      </c>
    </row>
    <row r="429" spans="1:25" x14ac:dyDescent="0.25">
      <c r="A429" t="s">
        <v>2026</v>
      </c>
      <c r="B429" t="s">
        <v>2027</v>
      </c>
      <c r="C429">
        <v>2021</v>
      </c>
      <c r="D429">
        <v>8001</v>
      </c>
      <c r="E429">
        <v>1</v>
      </c>
      <c r="F429" t="s">
        <v>2028</v>
      </c>
      <c r="G429">
        <v>28176454</v>
      </c>
      <c r="J429">
        <v>553.54999999999995</v>
      </c>
      <c r="L429">
        <v>48747159</v>
      </c>
      <c r="M429" s="1">
        <v>44559</v>
      </c>
      <c r="N429" t="str">
        <f>"O211229AV6"</f>
        <v>O211229AV6</v>
      </c>
      <c r="O429" t="s">
        <v>28</v>
      </c>
      <c r="Q429" t="s">
        <v>29</v>
      </c>
      <c r="R429" t="s">
        <v>28</v>
      </c>
      <c r="S429" t="s">
        <v>2029</v>
      </c>
      <c r="T429" t="s">
        <v>2030</v>
      </c>
      <c r="W429" t="s">
        <v>40</v>
      </c>
      <c r="X429" t="s">
        <v>34</v>
      </c>
      <c r="Y429" t="str">
        <f>"774784217"</f>
        <v>774784217</v>
      </c>
    </row>
    <row r="430" spans="1:25" x14ac:dyDescent="0.25">
      <c r="A430" t="s">
        <v>2031</v>
      </c>
      <c r="B430" t="s">
        <v>2032</v>
      </c>
      <c r="C430">
        <v>2019</v>
      </c>
      <c r="D430">
        <v>8001</v>
      </c>
      <c r="E430">
        <v>2</v>
      </c>
      <c r="F430" t="s">
        <v>2033</v>
      </c>
      <c r="G430">
        <v>28512020</v>
      </c>
      <c r="J430">
        <v>59.9</v>
      </c>
      <c r="L430">
        <v>44277844</v>
      </c>
      <c r="M430" s="1">
        <v>43986</v>
      </c>
      <c r="N430" t="str">
        <f>"CC300604"</f>
        <v>CC300604</v>
      </c>
      <c r="O430" t="s">
        <v>28</v>
      </c>
      <c r="Q430" t="s">
        <v>29</v>
      </c>
      <c r="R430" t="s">
        <v>28</v>
      </c>
      <c r="S430" t="s">
        <v>982</v>
      </c>
      <c r="T430" t="s">
        <v>983</v>
      </c>
      <c r="W430" t="s">
        <v>75</v>
      </c>
      <c r="X430" t="s">
        <v>34</v>
      </c>
      <c r="Y430" t="str">
        <f>"77098"</f>
        <v>77098</v>
      </c>
    </row>
    <row r="431" spans="1:25" x14ac:dyDescent="0.25">
      <c r="A431" t="s">
        <v>2034</v>
      </c>
      <c r="B431" t="s">
        <v>2035</v>
      </c>
      <c r="C431">
        <v>2019</v>
      </c>
      <c r="D431">
        <v>8001</v>
      </c>
      <c r="E431">
        <v>2</v>
      </c>
      <c r="F431" t="s">
        <v>2036</v>
      </c>
      <c r="G431">
        <v>28638225</v>
      </c>
      <c r="J431">
        <v>157.62</v>
      </c>
      <c r="L431">
        <v>44509808</v>
      </c>
      <c r="M431" s="1">
        <v>44070</v>
      </c>
      <c r="N431" t="str">
        <f>"O200827AF1"</f>
        <v>O200827AF1</v>
      </c>
      <c r="O431" t="s">
        <v>28</v>
      </c>
      <c r="Q431" t="s">
        <v>29</v>
      </c>
      <c r="R431" t="s">
        <v>28</v>
      </c>
      <c r="S431" t="s">
        <v>2037</v>
      </c>
      <c r="T431" t="s">
        <v>2038</v>
      </c>
      <c r="W431" t="s">
        <v>75</v>
      </c>
      <c r="X431" t="s">
        <v>34</v>
      </c>
      <c r="Y431" t="str">
        <f>"770424239"</f>
        <v>770424239</v>
      </c>
    </row>
    <row r="432" spans="1:25" x14ac:dyDescent="0.25">
      <c r="A432" t="s">
        <v>2039</v>
      </c>
      <c r="B432" t="s">
        <v>2040</v>
      </c>
      <c r="C432">
        <v>2019</v>
      </c>
      <c r="D432">
        <v>8001</v>
      </c>
      <c r="E432">
        <v>2</v>
      </c>
      <c r="F432" t="s">
        <v>2041</v>
      </c>
      <c r="G432">
        <v>27492633</v>
      </c>
      <c r="J432">
        <v>736.1</v>
      </c>
      <c r="L432">
        <v>44388180</v>
      </c>
      <c r="M432" s="1">
        <v>44025</v>
      </c>
      <c r="N432" t="str">
        <f>"J200713AW1"</f>
        <v>J200713AW1</v>
      </c>
      <c r="O432" t="s">
        <v>28</v>
      </c>
      <c r="Q432" t="s">
        <v>29</v>
      </c>
      <c r="R432" t="s">
        <v>28</v>
      </c>
      <c r="S432" t="s">
        <v>2042</v>
      </c>
      <c r="T432" t="s">
        <v>1685</v>
      </c>
      <c r="U432" t="s">
        <v>562</v>
      </c>
      <c r="W432" t="s">
        <v>563</v>
      </c>
      <c r="X432" t="s">
        <v>34</v>
      </c>
      <c r="Y432" t="str">
        <f>"750630156"</f>
        <v>750630156</v>
      </c>
    </row>
    <row r="433" spans="1:25" x14ac:dyDescent="0.25">
      <c r="A433" t="s">
        <v>2043</v>
      </c>
      <c r="B433" t="s">
        <v>2044</v>
      </c>
      <c r="C433">
        <v>2021</v>
      </c>
      <c r="D433">
        <v>8001</v>
      </c>
      <c r="E433">
        <v>1</v>
      </c>
      <c r="F433" t="s">
        <v>2045</v>
      </c>
      <c r="G433">
        <v>30592794</v>
      </c>
      <c r="J433">
        <v>425.76</v>
      </c>
      <c r="L433">
        <v>48793154</v>
      </c>
      <c r="M433" s="1">
        <v>44560</v>
      </c>
      <c r="N433" t="str">
        <f>"RC220125"</f>
        <v>RC220125</v>
      </c>
      <c r="O433" t="s">
        <v>28</v>
      </c>
      <c r="Q433" t="s">
        <v>29</v>
      </c>
      <c r="R433" t="s">
        <v>28</v>
      </c>
      <c r="S433" t="s">
        <v>2046</v>
      </c>
      <c r="T433" t="s">
        <v>2047</v>
      </c>
      <c r="W433" t="s">
        <v>75</v>
      </c>
      <c r="X433" t="s">
        <v>34</v>
      </c>
      <c r="Y433" t="str">
        <f>"770963307"</f>
        <v>770963307</v>
      </c>
    </row>
    <row r="434" spans="1:25" x14ac:dyDescent="0.25">
      <c r="A434" t="s">
        <v>2048</v>
      </c>
      <c r="B434" t="s">
        <v>2049</v>
      </c>
      <c r="C434">
        <v>2020</v>
      </c>
      <c r="D434">
        <v>8001</v>
      </c>
      <c r="E434">
        <v>2</v>
      </c>
      <c r="F434" t="s">
        <v>2050</v>
      </c>
      <c r="G434">
        <v>30066749</v>
      </c>
      <c r="J434">
        <v>36.93</v>
      </c>
      <c r="L434">
        <v>47789419</v>
      </c>
      <c r="M434" s="1">
        <v>44480</v>
      </c>
      <c r="N434" t="str">
        <f>"RC211105"</f>
        <v>RC211105</v>
      </c>
      <c r="O434" t="s">
        <v>28</v>
      </c>
      <c r="Q434" t="s">
        <v>29</v>
      </c>
      <c r="R434" t="s">
        <v>28</v>
      </c>
      <c r="S434" t="s">
        <v>2051</v>
      </c>
      <c r="T434" t="s">
        <v>2052</v>
      </c>
      <c r="W434" t="s">
        <v>2053</v>
      </c>
      <c r="X434" t="s">
        <v>162</v>
      </c>
      <c r="Y434" t="str">
        <f>"08054-5452"</f>
        <v>08054-5452</v>
      </c>
    </row>
    <row r="435" spans="1:25" x14ac:dyDescent="0.25">
      <c r="A435" t="s">
        <v>2054</v>
      </c>
      <c r="B435" t="s">
        <v>2055</v>
      </c>
      <c r="C435">
        <v>2020</v>
      </c>
      <c r="D435">
        <v>8001</v>
      </c>
      <c r="E435">
        <v>1</v>
      </c>
      <c r="F435" t="s">
        <v>2056</v>
      </c>
      <c r="G435">
        <v>29489518</v>
      </c>
      <c r="J435">
        <v>575.77</v>
      </c>
      <c r="L435">
        <v>46782217</v>
      </c>
      <c r="M435" s="1">
        <v>44231</v>
      </c>
      <c r="N435" t="str">
        <f>"CC210204"</f>
        <v>CC210204</v>
      </c>
      <c r="O435" t="s">
        <v>28</v>
      </c>
      <c r="Q435" t="s">
        <v>29</v>
      </c>
      <c r="R435" t="s">
        <v>28</v>
      </c>
      <c r="S435" t="s">
        <v>2057</v>
      </c>
      <c r="T435" t="s">
        <v>2058</v>
      </c>
      <c r="W435" t="s">
        <v>40</v>
      </c>
      <c r="X435" t="s">
        <v>34</v>
      </c>
      <c r="Y435" t="str">
        <f>"77498"</f>
        <v>77498</v>
      </c>
    </row>
    <row r="436" spans="1:25" x14ac:dyDescent="0.25">
      <c r="A436" t="s">
        <v>2059</v>
      </c>
      <c r="B436" t="s">
        <v>2060</v>
      </c>
      <c r="C436">
        <v>2020</v>
      </c>
      <c r="D436">
        <v>8001</v>
      </c>
      <c r="E436">
        <v>4</v>
      </c>
      <c r="F436" t="s">
        <v>2061</v>
      </c>
      <c r="G436">
        <v>0</v>
      </c>
      <c r="J436">
        <v>21.07</v>
      </c>
      <c r="L436">
        <v>47595088</v>
      </c>
      <c r="M436" s="1">
        <v>44386</v>
      </c>
      <c r="N436" t="str">
        <f>"J210709BW3"</f>
        <v>J210709BW3</v>
      </c>
      <c r="O436" t="s">
        <v>28</v>
      </c>
      <c r="Q436" t="s">
        <v>29</v>
      </c>
      <c r="R436" t="s">
        <v>28</v>
      </c>
      <c r="S436" t="s">
        <v>2061</v>
      </c>
      <c r="T436" t="s">
        <v>2062</v>
      </c>
      <c r="U436" t="s">
        <v>60</v>
      </c>
      <c r="V436" t="s">
        <v>60</v>
      </c>
      <c r="W436" t="s">
        <v>1333</v>
      </c>
      <c r="X436" t="s">
        <v>34</v>
      </c>
      <c r="Y436" t="str">
        <f>"774893957   "</f>
        <v xml:space="preserve">774893957   </v>
      </c>
    </row>
    <row r="437" spans="1:25" x14ac:dyDescent="0.25">
      <c r="A437" t="s">
        <v>2063</v>
      </c>
      <c r="B437" t="s">
        <v>2064</v>
      </c>
      <c r="C437">
        <v>2021</v>
      </c>
      <c r="D437">
        <v>8001</v>
      </c>
      <c r="E437">
        <v>1</v>
      </c>
      <c r="F437" t="s">
        <v>2065</v>
      </c>
      <c r="G437">
        <v>0</v>
      </c>
      <c r="J437">
        <v>389.24</v>
      </c>
      <c r="L437">
        <v>48435030</v>
      </c>
      <c r="M437" s="1">
        <v>44543</v>
      </c>
      <c r="N437" t="str">
        <f>"L211213"</f>
        <v>L211213</v>
      </c>
      <c r="O437" t="s">
        <v>28</v>
      </c>
      <c r="Q437" t="s">
        <v>29</v>
      </c>
      <c r="R437" t="s">
        <v>28</v>
      </c>
      <c r="S437" t="s">
        <v>2065</v>
      </c>
      <c r="T437" t="s">
        <v>2066</v>
      </c>
      <c r="U437" t="s">
        <v>60</v>
      </c>
      <c r="V437" t="s">
        <v>60</v>
      </c>
      <c r="W437" t="s">
        <v>219</v>
      </c>
      <c r="X437" t="s">
        <v>34</v>
      </c>
      <c r="Y437" t="str">
        <f>"774791533   "</f>
        <v xml:space="preserve">774791533   </v>
      </c>
    </row>
    <row r="438" spans="1:25" x14ac:dyDescent="0.25">
      <c r="A438" t="s">
        <v>2067</v>
      </c>
      <c r="B438" t="s">
        <v>2068</v>
      </c>
      <c r="C438">
        <v>2019</v>
      </c>
      <c r="D438">
        <v>8001</v>
      </c>
      <c r="E438">
        <v>2</v>
      </c>
      <c r="F438" t="s">
        <v>2069</v>
      </c>
      <c r="G438">
        <v>21532327</v>
      </c>
      <c r="J438">
        <v>56.73</v>
      </c>
      <c r="L438">
        <v>43909361</v>
      </c>
      <c r="M438" s="1">
        <v>43899</v>
      </c>
      <c r="N438" t="str">
        <f>"J200309AW5"</f>
        <v>J200309AW5</v>
      </c>
      <c r="O438" t="s">
        <v>28</v>
      </c>
      <c r="Q438" t="s">
        <v>29</v>
      </c>
      <c r="R438" t="s">
        <v>28</v>
      </c>
      <c r="S438" t="s">
        <v>904</v>
      </c>
      <c r="T438" t="s">
        <v>243</v>
      </c>
      <c r="W438" t="s">
        <v>244</v>
      </c>
      <c r="X438" t="s">
        <v>245</v>
      </c>
      <c r="Y438" t="str">
        <f>"48226"</f>
        <v>48226</v>
      </c>
    </row>
    <row r="439" spans="1:25" x14ac:dyDescent="0.25">
      <c r="A439" t="s">
        <v>2070</v>
      </c>
      <c r="B439" t="s">
        <v>2071</v>
      </c>
      <c r="C439">
        <v>2019</v>
      </c>
      <c r="D439">
        <v>8001</v>
      </c>
      <c r="E439">
        <v>1</v>
      </c>
      <c r="F439" t="s">
        <v>2072</v>
      </c>
      <c r="G439">
        <v>0</v>
      </c>
      <c r="J439">
        <v>640.94000000000005</v>
      </c>
      <c r="L439">
        <v>42336286</v>
      </c>
      <c r="M439" s="1">
        <v>43818</v>
      </c>
      <c r="N439" t="str">
        <f>"L191219"</f>
        <v>L191219</v>
      </c>
      <c r="O439" t="s">
        <v>28</v>
      </c>
      <c r="Q439" t="s">
        <v>29</v>
      </c>
      <c r="R439" t="s">
        <v>28</v>
      </c>
      <c r="S439" t="s">
        <v>2072</v>
      </c>
      <c r="T439" t="s">
        <v>2073</v>
      </c>
      <c r="U439" t="s">
        <v>60</v>
      </c>
      <c r="V439" t="s">
        <v>60</v>
      </c>
      <c r="W439" t="s">
        <v>219</v>
      </c>
      <c r="X439" t="s">
        <v>34</v>
      </c>
      <c r="Y439" t="str">
        <f>"774792414   "</f>
        <v xml:space="preserve">774792414   </v>
      </c>
    </row>
    <row r="440" spans="1:25" x14ac:dyDescent="0.25">
      <c r="A440" t="s">
        <v>2074</v>
      </c>
      <c r="B440" t="s">
        <v>2075</v>
      </c>
      <c r="C440">
        <v>2018</v>
      </c>
      <c r="D440">
        <v>8001</v>
      </c>
      <c r="E440">
        <v>7</v>
      </c>
      <c r="F440" t="s">
        <v>2076</v>
      </c>
      <c r="G440">
        <v>0</v>
      </c>
      <c r="J440">
        <v>30</v>
      </c>
      <c r="L440">
        <v>41466968</v>
      </c>
      <c r="M440" s="1">
        <v>43679</v>
      </c>
      <c r="N440" t="str">
        <f>"J190802AW4"</f>
        <v>J190802AW4</v>
      </c>
      <c r="O440" t="s">
        <v>28</v>
      </c>
      <c r="Q440" t="s">
        <v>29</v>
      </c>
      <c r="R440" t="s">
        <v>28</v>
      </c>
      <c r="S440" t="s">
        <v>2076</v>
      </c>
      <c r="T440" t="s">
        <v>2077</v>
      </c>
      <c r="U440" t="s">
        <v>60</v>
      </c>
      <c r="V440" t="s">
        <v>60</v>
      </c>
      <c r="W440" t="s">
        <v>219</v>
      </c>
      <c r="X440" t="s">
        <v>34</v>
      </c>
      <c r="Y440" t="str">
        <f>"774982453   "</f>
        <v xml:space="preserve">774982453   </v>
      </c>
    </row>
    <row r="441" spans="1:25" x14ac:dyDescent="0.25">
      <c r="A441" t="s">
        <v>2074</v>
      </c>
      <c r="B441" t="s">
        <v>2075</v>
      </c>
      <c r="C441">
        <v>2019</v>
      </c>
      <c r="D441">
        <v>8001</v>
      </c>
      <c r="E441">
        <v>6</v>
      </c>
      <c r="F441" t="s">
        <v>2076</v>
      </c>
      <c r="G441">
        <v>0</v>
      </c>
      <c r="J441">
        <v>32.33</v>
      </c>
      <c r="L441">
        <v>44468920</v>
      </c>
      <c r="M441" s="1">
        <v>44048</v>
      </c>
      <c r="N441" t="str">
        <f>"J200805K5"</f>
        <v>J200805K5</v>
      </c>
      <c r="O441" t="s">
        <v>28</v>
      </c>
      <c r="Q441" t="s">
        <v>29</v>
      </c>
      <c r="R441" t="s">
        <v>28</v>
      </c>
      <c r="S441" t="s">
        <v>2076</v>
      </c>
      <c r="T441" t="s">
        <v>2077</v>
      </c>
      <c r="U441" t="s">
        <v>60</v>
      </c>
      <c r="V441" t="s">
        <v>60</v>
      </c>
      <c r="W441" t="s">
        <v>219</v>
      </c>
      <c r="X441" t="s">
        <v>34</v>
      </c>
      <c r="Y441" t="str">
        <f>"774982453   "</f>
        <v xml:space="preserve">774982453   </v>
      </c>
    </row>
    <row r="442" spans="1:25" x14ac:dyDescent="0.25">
      <c r="A442" t="s">
        <v>2074</v>
      </c>
      <c r="B442" t="s">
        <v>2075</v>
      </c>
      <c r="C442">
        <v>2020</v>
      </c>
      <c r="D442">
        <v>8001</v>
      </c>
      <c r="E442">
        <v>5</v>
      </c>
      <c r="F442" t="s">
        <v>2076</v>
      </c>
      <c r="G442">
        <v>27383744</v>
      </c>
      <c r="J442">
        <v>9</v>
      </c>
      <c r="L442">
        <v>47681257</v>
      </c>
      <c r="M442" s="1">
        <v>44413</v>
      </c>
      <c r="N442" t="str">
        <f>"RC210810"</f>
        <v>RC210810</v>
      </c>
      <c r="O442" t="s">
        <v>28</v>
      </c>
      <c r="Q442" t="s">
        <v>29</v>
      </c>
      <c r="R442" t="s">
        <v>28</v>
      </c>
      <c r="S442" t="s">
        <v>2078</v>
      </c>
      <c r="T442" t="s">
        <v>2079</v>
      </c>
      <c r="U442" t="s">
        <v>2080</v>
      </c>
      <c r="W442" t="s">
        <v>40</v>
      </c>
      <c r="X442" t="s">
        <v>34</v>
      </c>
      <c r="Y442" t="str">
        <f>"774982453"</f>
        <v>774982453</v>
      </c>
    </row>
    <row r="443" spans="1:25" x14ac:dyDescent="0.25">
      <c r="A443" t="s">
        <v>2081</v>
      </c>
      <c r="B443" t="s">
        <v>2082</v>
      </c>
      <c r="C443">
        <v>2021</v>
      </c>
      <c r="D443">
        <v>8001</v>
      </c>
      <c r="E443">
        <v>1</v>
      </c>
      <c r="F443" t="s">
        <v>2083</v>
      </c>
      <c r="G443">
        <v>30101591</v>
      </c>
      <c r="J443">
        <v>33.17</v>
      </c>
      <c r="L443">
        <v>49113365</v>
      </c>
      <c r="M443" s="1">
        <v>44572</v>
      </c>
      <c r="N443" t="str">
        <f>"RC220221"</f>
        <v>RC220221</v>
      </c>
      <c r="O443" t="s">
        <v>28</v>
      </c>
      <c r="Q443" t="s">
        <v>29</v>
      </c>
      <c r="R443" t="s">
        <v>28</v>
      </c>
      <c r="S443" t="s">
        <v>380</v>
      </c>
      <c r="T443" t="s">
        <v>1903</v>
      </c>
      <c r="U443" t="s">
        <v>1904</v>
      </c>
      <c r="V443" t="s">
        <v>1905</v>
      </c>
      <c r="W443" t="s">
        <v>75</v>
      </c>
      <c r="X443" t="s">
        <v>34</v>
      </c>
      <c r="Y443" t="str">
        <f>"770426040"</f>
        <v>770426040</v>
      </c>
    </row>
    <row r="444" spans="1:25" x14ac:dyDescent="0.25">
      <c r="A444" t="s">
        <v>2084</v>
      </c>
      <c r="B444" t="s">
        <v>2085</v>
      </c>
      <c r="C444">
        <v>2020</v>
      </c>
      <c r="D444">
        <v>8001</v>
      </c>
      <c r="E444">
        <v>1</v>
      </c>
      <c r="F444" t="s">
        <v>2086</v>
      </c>
      <c r="G444">
        <v>23291446</v>
      </c>
      <c r="J444">
        <v>254.71</v>
      </c>
      <c r="L444">
        <v>46640568</v>
      </c>
      <c r="M444" s="1">
        <v>44229</v>
      </c>
      <c r="N444" t="str">
        <f>"RC210301"</f>
        <v>RC210301</v>
      </c>
      <c r="O444" t="s">
        <v>28</v>
      </c>
      <c r="Q444" t="s">
        <v>29</v>
      </c>
      <c r="R444" t="s">
        <v>28</v>
      </c>
      <c r="S444" t="s">
        <v>2087</v>
      </c>
      <c r="T444" t="s">
        <v>2088</v>
      </c>
      <c r="W444" t="s">
        <v>2089</v>
      </c>
      <c r="X444" t="s">
        <v>34</v>
      </c>
      <c r="Y444" t="str">
        <f>"775984394"</f>
        <v>775984394</v>
      </c>
    </row>
    <row r="445" spans="1:25" x14ac:dyDescent="0.25">
      <c r="A445" t="s">
        <v>2090</v>
      </c>
      <c r="B445" t="s">
        <v>2091</v>
      </c>
      <c r="C445">
        <v>2020</v>
      </c>
      <c r="D445">
        <v>8001</v>
      </c>
      <c r="E445">
        <v>2</v>
      </c>
      <c r="F445" t="s">
        <v>2092</v>
      </c>
      <c r="G445">
        <v>0</v>
      </c>
      <c r="J445">
        <v>8.3699999999999992</v>
      </c>
      <c r="L445">
        <v>47733697</v>
      </c>
      <c r="M445" s="1">
        <v>44442</v>
      </c>
      <c r="N445" t="str">
        <f>"J210903BW3"</f>
        <v>J210903BW3</v>
      </c>
      <c r="O445" t="s">
        <v>28</v>
      </c>
      <c r="Q445" t="s">
        <v>29</v>
      </c>
      <c r="R445" t="s">
        <v>28</v>
      </c>
      <c r="S445" t="s">
        <v>2092</v>
      </c>
      <c r="T445" t="s">
        <v>2093</v>
      </c>
      <c r="U445" t="s">
        <v>60</v>
      </c>
      <c r="V445" t="s">
        <v>60</v>
      </c>
      <c r="W445" t="s">
        <v>219</v>
      </c>
      <c r="X445" t="s">
        <v>34</v>
      </c>
      <c r="Y445" t="str">
        <f>"774982449   "</f>
        <v xml:space="preserve">774982449   </v>
      </c>
    </row>
    <row r="446" spans="1:25" x14ac:dyDescent="0.25">
      <c r="A446" t="s">
        <v>2094</v>
      </c>
      <c r="B446" t="s">
        <v>2095</v>
      </c>
      <c r="C446">
        <v>2021</v>
      </c>
      <c r="D446">
        <v>8001</v>
      </c>
      <c r="E446">
        <v>1</v>
      </c>
      <c r="F446" t="s">
        <v>2096</v>
      </c>
      <c r="G446">
        <v>0</v>
      </c>
      <c r="J446" s="2">
        <v>1513.63</v>
      </c>
      <c r="L446">
        <v>50199705</v>
      </c>
      <c r="M446" s="1">
        <v>44613</v>
      </c>
      <c r="N446" t="str">
        <f>"O220221AO1"</f>
        <v>O220221AO1</v>
      </c>
      <c r="O446" t="s">
        <v>28</v>
      </c>
      <c r="Q446" t="s">
        <v>29</v>
      </c>
      <c r="R446" t="s">
        <v>28</v>
      </c>
      <c r="S446" t="s">
        <v>2096</v>
      </c>
      <c r="T446" t="s">
        <v>2097</v>
      </c>
      <c r="U446" t="s">
        <v>1339</v>
      </c>
      <c r="V446" t="s">
        <v>60</v>
      </c>
      <c r="W446" t="s">
        <v>2098</v>
      </c>
      <c r="X446" t="s">
        <v>34</v>
      </c>
      <c r="Y446" t="str">
        <f>"94104       "</f>
        <v xml:space="preserve">94104       </v>
      </c>
    </row>
    <row r="447" spans="1:25" x14ac:dyDescent="0.25">
      <c r="A447" t="s">
        <v>2099</v>
      </c>
      <c r="B447" t="s">
        <v>2100</v>
      </c>
      <c r="C447">
        <v>2020</v>
      </c>
      <c r="D447">
        <v>8001</v>
      </c>
      <c r="E447">
        <v>1</v>
      </c>
      <c r="F447" t="s">
        <v>2101</v>
      </c>
      <c r="G447">
        <v>22917361</v>
      </c>
      <c r="J447">
        <v>209.26</v>
      </c>
      <c r="L447">
        <v>46673408</v>
      </c>
      <c r="M447" s="1">
        <v>44229</v>
      </c>
      <c r="N447" t="str">
        <f>"RC210301"</f>
        <v>RC210301</v>
      </c>
      <c r="O447" t="s">
        <v>28</v>
      </c>
      <c r="Q447" t="s">
        <v>29</v>
      </c>
      <c r="R447" t="s">
        <v>28</v>
      </c>
      <c r="S447" t="s">
        <v>2102</v>
      </c>
      <c r="T447" t="s">
        <v>2103</v>
      </c>
      <c r="W447" t="s">
        <v>75</v>
      </c>
      <c r="X447" t="s">
        <v>34</v>
      </c>
      <c r="Y447" t="str">
        <f>"770775722"</f>
        <v>770775722</v>
      </c>
    </row>
    <row r="448" spans="1:25" x14ac:dyDescent="0.25">
      <c r="A448" t="s">
        <v>2104</v>
      </c>
      <c r="B448" t="s">
        <v>2105</v>
      </c>
      <c r="C448">
        <v>2020</v>
      </c>
      <c r="D448">
        <v>8001</v>
      </c>
      <c r="E448">
        <v>3</v>
      </c>
      <c r="F448" t="s">
        <v>2106</v>
      </c>
      <c r="G448">
        <v>29952441</v>
      </c>
      <c r="J448">
        <v>520</v>
      </c>
      <c r="L448">
        <v>47673211</v>
      </c>
      <c r="M448" s="1">
        <v>44411</v>
      </c>
      <c r="N448" t="str">
        <f>"EK310803"</f>
        <v>EK310803</v>
      </c>
      <c r="O448" t="s">
        <v>28</v>
      </c>
      <c r="Q448" t="s">
        <v>29</v>
      </c>
      <c r="R448" t="s">
        <v>28</v>
      </c>
      <c r="S448" t="s">
        <v>2107</v>
      </c>
      <c r="T448" t="s">
        <v>2108</v>
      </c>
      <c r="W448" t="s">
        <v>75</v>
      </c>
      <c r="X448" t="s">
        <v>34</v>
      </c>
      <c r="Y448" t="str">
        <f>"77063"</f>
        <v>77063</v>
      </c>
    </row>
    <row r="449" spans="1:25" x14ac:dyDescent="0.25">
      <c r="A449" t="s">
        <v>2109</v>
      </c>
      <c r="B449" t="s">
        <v>2110</v>
      </c>
      <c r="C449">
        <v>2020</v>
      </c>
      <c r="D449">
        <v>8001</v>
      </c>
      <c r="E449">
        <v>1</v>
      </c>
      <c r="F449" t="s">
        <v>2111</v>
      </c>
      <c r="G449">
        <v>29037699</v>
      </c>
      <c r="J449">
        <v>677.99</v>
      </c>
      <c r="L449">
        <v>45255397</v>
      </c>
      <c r="M449" s="1">
        <v>44179</v>
      </c>
      <c r="N449" t="str">
        <f>"RC210107"</f>
        <v>RC210107</v>
      </c>
      <c r="O449" t="s">
        <v>28</v>
      </c>
      <c r="Q449" t="s">
        <v>29</v>
      </c>
      <c r="R449" t="s">
        <v>28</v>
      </c>
      <c r="S449" t="s">
        <v>2112</v>
      </c>
      <c r="T449" t="s">
        <v>2113</v>
      </c>
      <c r="U449" t="s">
        <v>2114</v>
      </c>
      <c r="W449" t="s">
        <v>244</v>
      </c>
      <c r="X449" t="s">
        <v>245</v>
      </c>
      <c r="Y449" t="str">
        <f>"48226"</f>
        <v>48226</v>
      </c>
    </row>
    <row r="450" spans="1:25" x14ac:dyDescent="0.25">
      <c r="A450" t="s">
        <v>2115</v>
      </c>
      <c r="B450" t="s">
        <v>2116</v>
      </c>
      <c r="C450">
        <v>2020</v>
      </c>
      <c r="D450">
        <v>8001</v>
      </c>
      <c r="E450">
        <v>1</v>
      </c>
      <c r="F450" t="s">
        <v>2117</v>
      </c>
      <c r="G450">
        <v>27822858</v>
      </c>
      <c r="J450">
        <v>116.72</v>
      </c>
      <c r="L450">
        <v>46901963</v>
      </c>
      <c r="M450" s="1">
        <v>44237</v>
      </c>
      <c r="N450" t="str">
        <f>"RC210304"</f>
        <v>RC210304</v>
      </c>
      <c r="O450" t="s">
        <v>28</v>
      </c>
      <c r="Q450" t="s">
        <v>29</v>
      </c>
      <c r="R450" t="s">
        <v>28</v>
      </c>
      <c r="S450" t="s">
        <v>2118</v>
      </c>
      <c r="T450" t="s">
        <v>2119</v>
      </c>
      <c r="W450" t="s">
        <v>107</v>
      </c>
      <c r="X450" t="s">
        <v>34</v>
      </c>
      <c r="Y450" t="str">
        <f>"77494"</f>
        <v>77494</v>
      </c>
    </row>
    <row r="451" spans="1:25" x14ac:dyDescent="0.25">
      <c r="A451" t="s">
        <v>2120</v>
      </c>
      <c r="B451" t="s">
        <v>2121</v>
      </c>
      <c r="C451">
        <v>2020</v>
      </c>
      <c r="D451">
        <v>8001</v>
      </c>
      <c r="E451">
        <v>2</v>
      </c>
      <c r="F451" t="s">
        <v>2122</v>
      </c>
      <c r="G451">
        <v>26582125</v>
      </c>
      <c r="J451">
        <v>197.77</v>
      </c>
      <c r="L451">
        <v>47258303</v>
      </c>
      <c r="M451" s="1">
        <v>44293</v>
      </c>
      <c r="N451" t="str">
        <f>"RC210414"</f>
        <v>RC210414</v>
      </c>
      <c r="O451" t="s">
        <v>28</v>
      </c>
      <c r="Q451" t="s">
        <v>29</v>
      </c>
      <c r="R451" t="s">
        <v>28</v>
      </c>
      <c r="S451" t="s">
        <v>1670</v>
      </c>
      <c r="T451" t="s">
        <v>1015</v>
      </c>
      <c r="W451" t="s">
        <v>563</v>
      </c>
      <c r="X451" t="s">
        <v>34</v>
      </c>
      <c r="Y451" t="str">
        <f>"750630156"</f>
        <v>750630156</v>
      </c>
    </row>
    <row r="452" spans="1:25" x14ac:dyDescent="0.25">
      <c r="A452" t="s">
        <v>2123</v>
      </c>
      <c r="B452" t="s">
        <v>2124</v>
      </c>
      <c r="C452">
        <v>2021</v>
      </c>
      <c r="D452">
        <v>8001</v>
      </c>
      <c r="E452">
        <v>19</v>
      </c>
      <c r="F452" t="s">
        <v>2125</v>
      </c>
      <c r="G452">
        <v>0</v>
      </c>
      <c r="J452">
        <v>99.07</v>
      </c>
      <c r="L452">
        <v>47692765</v>
      </c>
      <c r="M452" s="1">
        <v>44516</v>
      </c>
      <c r="N452" t="str">
        <f>"TE211116"</f>
        <v>TE211116</v>
      </c>
      <c r="O452" t="s">
        <v>28</v>
      </c>
      <c r="Q452" t="s">
        <v>29</v>
      </c>
      <c r="R452" t="s">
        <v>28</v>
      </c>
      <c r="S452" t="s">
        <v>2125</v>
      </c>
      <c r="T452" t="s">
        <v>2126</v>
      </c>
      <c r="U452" t="s">
        <v>60</v>
      </c>
      <c r="V452" t="s">
        <v>60</v>
      </c>
      <c r="W452" t="s">
        <v>273</v>
      </c>
      <c r="X452" t="s">
        <v>34</v>
      </c>
      <c r="Y452" t="str">
        <f>"774411830   "</f>
        <v xml:space="preserve">774411830   </v>
      </c>
    </row>
    <row r="453" spans="1:25" x14ac:dyDescent="0.25">
      <c r="A453" t="s">
        <v>2127</v>
      </c>
      <c r="B453" t="s">
        <v>2128</v>
      </c>
      <c r="C453">
        <v>2021</v>
      </c>
      <c r="D453">
        <v>8001</v>
      </c>
      <c r="E453">
        <v>1</v>
      </c>
      <c r="F453" t="s">
        <v>2129</v>
      </c>
      <c r="G453">
        <v>30592802</v>
      </c>
      <c r="J453">
        <v>38.82</v>
      </c>
      <c r="L453">
        <v>48727905</v>
      </c>
      <c r="M453" s="1">
        <v>44558</v>
      </c>
      <c r="N453" t="str">
        <f>"RC220125"</f>
        <v>RC220125</v>
      </c>
      <c r="O453" t="s">
        <v>28</v>
      </c>
      <c r="Q453" t="s">
        <v>29</v>
      </c>
      <c r="R453" t="s">
        <v>28</v>
      </c>
      <c r="S453" t="s">
        <v>2130</v>
      </c>
      <c r="T453" t="s">
        <v>2131</v>
      </c>
      <c r="W453" t="s">
        <v>81</v>
      </c>
      <c r="X453" t="s">
        <v>34</v>
      </c>
      <c r="Y453" t="str">
        <f>"77469-2093"</f>
        <v>77469-2093</v>
      </c>
    </row>
    <row r="454" spans="1:25" x14ac:dyDescent="0.25">
      <c r="A454" t="s">
        <v>2132</v>
      </c>
      <c r="B454" t="s">
        <v>2133</v>
      </c>
      <c r="C454">
        <v>2020</v>
      </c>
      <c r="D454">
        <v>8001</v>
      </c>
      <c r="E454">
        <v>1</v>
      </c>
      <c r="F454" t="s">
        <v>2134</v>
      </c>
      <c r="G454">
        <v>0</v>
      </c>
      <c r="J454">
        <v>36.11</v>
      </c>
      <c r="L454">
        <v>45233804</v>
      </c>
      <c r="M454" s="1">
        <v>44176</v>
      </c>
      <c r="N454" t="str">
        <f>"J201211K3"</f>
        <v>J201211K3</v>
      </c>
      <c r="O454" t="s">
        <v>28</v>
      </c>
      <c r="Q454" t="s">
        <v>29</v>
      </c>
      <c r="R454" t="s">
        <v>28</v>
      </c>
      <c r="S454" t="s">
        <v>2134</v>
      </c>
      <c r="T454" t="s">
        <v>2135</v>
      </c>
      <c r="U454" t="s">
        <v>60</v>
      </c>
      <c r="V454" t="s">
        <v>60</v>
      </c>
      <c r="W454" t="s">
        <v>214</v>
      </c>
      <c r="X454" t="s">
        <v>34</v>
      </c>
      <c r="Y454" t="str">
        <f>"774692049   "</f>
        <v xml:space="preserve">774692049   </v>
      </c>
    </row>
    <row r="455" spans="1:25" x14ac:dyDescent="0.25">
      <c r="A455" t="s">
        <v>2136</v>
      </c>
      <c r="B455" t="s">
        <v>2137</v>
      </c>
      <c r="C455">
        <v>2021</v>
      </c>
      <c r="D455">
        <v>8001</v>
      </c>
      <c r="E455">
        <v>1</v>
      </c>
      <c r="F455" t="s">
        <v>2138</v>
      </c>
      <c r="G455">
        <v>0</v>
      </c>
      <c r="J455">
        <v>278.52999999999997</v>
      </c>
      <c r="L455">
        <v>48713548</v>
      </c>
      <c r="M455" s="1">
        <v>44558</v>
      </c>
      <c r="N455" t="str">
        <f>"L211228"</f>
        <v>L211228</v>
      </c>
      <c r="O455" t="s">
        <v>28</v>
      </c>
      <c r="Q455" t="s">
        <v>29</v>
      </c>
      <c r="R455" t="s">
        <v>28</v>
      </c>
      <c r="S455" t="s">
        <v>2138</v>
      </c>
      <c r="T455" t="s">
        <v>2139</v>
      </c>
      <c r="U455" t="s">
        <v>60</v>
      </c>
      <c r="V455" t="s">
        <v>60</v>
      </c>
      <c r="W455" t="s">
        <v>214</v>
      </c>
      <c r="X455" t="s">
        <v>34</v>
      </c>
      <c r="Y455" t="str">
        <f>"774692018   "</f>
        <v xml:space="preserve">774692018   </v>
      </c>
    </row>
    <row r="456" spans="1:25" x14ac:dyDescent="0.25">
      <c r="A456" t="s">
        <v>2140</v>
      </c>
      <c r="B456" t="s">
        <v>2141</v>
      </c>
      <c r="C456">
        <v>2020</v>
      </c>
      <c r="D456">
        <v>8001</v>
      </c>
      <c r="E456">
        <v>1</v>
      </c>
      <c r="F456" t="s">
        <v>2142</v>
      </c>
      <c r="G456">
        <v>0</v>
      </c>
      <c r="J456">
        <v>540</v>
      </c>
      <c r="L456">
        <v>45927963</v>
      </c>
      <c r="M456" s="1">
        <v>44209</v>
      </c>
      <c r="N456" t="str">
        <f>"J210113K1"</f>
        <v>J210113K1</v>
      </c>
      <c r="O456" t="s">
        <v>28</v>
      </c>
      <c r="Q456" t="s">
        <v>29</v>
      </c>
      <c r="R456" t="s">
        <v>28</v>
      </c>
      <c r="S456" t="s">
        <v>2142</v>
      </c>
      <c r="T456" t="s">
        <v>2143</v>
      </c>
      <c r="U456" t="s">
        <v>60</v>
      </c>
      <c r="V456" t="s">
        <v>60</v>
      </c>
      <c r="W456" t="s">
        <v>219</v>
      </c>
      <c r="X456" t="s">
        <v>34</v>
      </c>
      <c r="Y456" t="str">
        <f>"774793101   "</f>
        <v xml:space="preserve">774793101   </v>
      </c>
    </row>
    <row r="457" spans="1:25" x14ac:dyDescent="0.25">
      <c r="A457" t="s">
        <v>2144</v>
      </c>
      <c r="B457" t="s">
        <v>2145</v>
      </c>
      <c r="C457">
        <v>2021</v>
      </c>
      <c r="D457">
        <v>8001</v>
      </c>
      <c r="E457">
        <v>1</v>
      </c>
      <c r="F457" t="s">
        <v>2146</v>
      </c>
      <c r="G457">
        <v>0</v>
      </c>
      <c r="J457">
        <v>22.09</v>
      </c>
      <c r="L457">
        <v>48704988</v>
      </c>
      <c r="M457" s="1">
        <v>44558</v>
      </c>
      <c r="N457" t="str">
        <f>"J211228BW8"</f>
        <v>J211228BW8</v>
      </c>
      <c r="O457" t="s">
        <v>28</v>
      </c>
      <c r="Q457" t="s">
        <v>29</v>
      </c>
      <c r="R457" t="s">
        <v>28</v>
      </c>
      <c r="S457" t="s">
        <v>2146</v>
      </c>
      <c r="T457" t="s">
        <v>2147</v>
      </c>
      <c r="U457" t="s">
        <v>2148</v>
      </c>
      <c r="V457" t="s">
        <v>2149</v>
      </c>
      <c r="W457" t="s">
        <v>214</v>
      </c>
      <c r="X457" t="s">
        <v>34</v>
      </c>
      <c r="Y457" t="str">
        <f>"782321443   "</f>
        <v xml:space="preserve">782321443   </v>
      </c>
    </row>
    <row r="458" spans="1:25" x14ac:dyDescent="0.25">
      <c r="A458" t="s">
        <v>2150</v>
      </c>
      <c r="B458" t="s">
        <v>2151</v>
      </c>
      <c r="C458">
        <v>2020</v>
      </c>
      <c r="D458">
        <v>8001</v>
      </c>
      <c r="E458">
        <v>1</v>
      </c>
      <c r="F458" t="s">
        <v>2152</v>
      </c>
      <c r="G458">
        <v>29491482</v>
      </c>
      <c r="J458" s="2">
        <v>9998.98</v>
      </c>
      <c r="L458">
        <v>46793029</v>
      </c>
      <c r="M458" s="1">
        <v>44232</v>
      </c>
      <c r="N458" t="str">
        <f>"T210205BO2"</f>
        <v>T210205BO2</v>
      </c>
      <c r="O458" t="s">
        <v>28</v>
      </c>
      <c r="Q458" t="s">
        <v>29</v>
      </c>
      <c r="R458" t="s">
        <v>28</v>
      </c>
      <c r="S458" t="s">
        <v>2037</v>
      </c>
      <c r="T458" t="s">
        <v>2153</v>
      </c>
      <c r="W458" t="s">
        <v>2154</v>
      </c>
      <c r="X458" t="s">
        <v>227</v>
      </c>
      <c r="Y458" t="str">
        <f>"852603966"</f>
        <v>852603966</v>
      </c>
    </row>
    <row r="459" spans="1:25" x14ac:dyDescent="0.25">
      <c r="A459" t="s">
        <v>2155</v>
      </c>
      <c r="B459" t="s">
        <v>2156</v>
      </c>
      <c r="C459">
        <v>2020</v>
      </c>
      <c r="D459">
        <v>8001</v>
      </c>
      <c r="E459">
        <v>1</v>
      </c>
      <c r="F459" t="s">
        <v>2157</v>
      </c>
      <c r="G459">
        <v>29491482</v>
      </c>
      <c r="J459">
        <v>5</v>
      </c>
      <c r="L459">
        <v>46793029</v>
      </c>
      <c r="M459" s="1">
        <v>44232</v>
      </c>
      <c r="N459" t="str">
        <f>"T210205BO2"</f>
        <v>T210205BO2</v>
      </c>
      <c r="O459" t="s">
        <v>28</v>
      </c>
      <c r="Q459" t="s">
        <v>29</v>
      </c>
      <c r="R459" t="s">
        <v>28</v>
      </c>
      <c r="S459" t="s">
        <v>2037</v>
      </c>
      <c r="T459" t="s">
        <v>2153</v>
      </c>
      <c r="W459" t="s">
        <v>2154</v>
      </c>
      <c r="X459" t="s">
        <v>227</v>
      </c>
      <c r="Y459" t="str">
        <f>"852603966"</f>
        <v>852603966</v>
      </c>
    </row>
    <row r="460" spans="1:25" x14ac:dyDescent="0.25">
      <c r="A460" t="s">
        <v>2158</v>
      </c>
      <c r="B460" t="s">
        <v>2159</v>
      </c>
      <c r="C460">
        <v>2020</v>
      </c>
      <c r="D460">
        <v>8001</v>
      </c>
      <c r="E460">
        <v>1</v>
      </c>
      <c r="F460" t="s">
        <v>2160</v>
      </c>
      <c r="G460">
        <v>0</v>
      </c>
      <c r="J460">
        <v>280.37</v>
      </c>
      <c r="L460">
        <v>46026839</v>
      </c>
      <c r="M460" s="1">
        <v>44211</v>
      </c>
      <c r="N460" t="str">
        <f>"L210115"</f>
        <v>L210115</v>
      </c>
      <c r="O460" t="s">
        <v>28</v>
      </c>
      <c r="Q460" t="s">
        <v>29</v>
      </c>
      <c r="R460" t="s">
        <v>28</v>
      </c>
      <c r="S460" t="s">
        <v>2160</v>
      </c>
      <c r="T460" t="s">
        <v>2161</v>
      </c>
      <c r="U460" t="s">
        <v>60</v>
      </c>
      <c r="V460" t="s">
        <v>60</v>
      </c>
      <c r="W460" t="s">
        <v>219</v>
      </c>
      <c r="X460" t="s">
        <v>34</v>
      </c>
      <c r="Y460" t="str">
        <f>"774982526   "</f>
        <v xml:space="preserve">774982526   </v>
      </c>
    </row>
    <row r="461" spans="1:25" x14ac:dyDescent="0.25">
      <c r="A461" t="s">
        <v>2162</v>
      </c>
      <c r="B461" t="s">
        <v>2163</v>
      </c>
      <c r="C461">
        <v>2021</v>
      </c>
      <c r="D461">
        <v>8001</v>
      </c>
      <c r="E461">
        <v>11</v>
      </c>
      <c r="F461" t="s">
        <v>2164</v>
      </c>
      <c r="G461">
        <v>29647308</v>
      </c>
      <c r="J461">
        <v>305.07</v>
      </c>
      <c r="L461">
        <v>47743779</v>
      </c>
      <c r="M461" s="1">
        <v>44516</v>
      </c>
      <c r="N461" t="str">
        <f>"TE211116"</f>
        <v>TE211116</v>
      </c>
      <c r="O461" t="s">
        <v>28</v>
      </c>
      <c r="Q461" t="s">
        <v>29</v>
      </c>
      <c r="R461" t="s">
        <v>28</v>
      </c>
      <c r="S461" t="s">
        <v>2165</v>
      </c>
      <c r="T461" t="s">
        <v>2166</v>
      </c>
      <c r="W461" t="s">
        <v>75</v>
      </c>
      <c r="X461" t="s">
        <v>34</v>
      </c>
      <c r="Y461" t="str">
        <f>"770943413"</f>
        <v>770943413</v>
      </c>
    </row>
    <row r="462" spans="1:25" x14ac:dyDescent="0.25">
      <c r="A462" t="s">
        <v>2162</v>
      </c>
      <c r="B462" t="s">
        <v>2163</v>
      </c>
      <c r="C462">
        <v>2021</v>
      </c>
      <c r="D462">
        <v>8001</v>
      </c>
      <c r="E462">
        <v>11</v>
      </c>
      <c r="F462" t="s">
        <v>2164</v>
      </c>
      <c r="G462">
        <v>27705767</v>
      </c>
      <c r="J462">
        <v>778.33</v>
      </c>
      <c r="L462">
        <v>47806289</v>
      </c>
      <c r="M462" s="1">
        <v>44516</v>
      </c>
      <c r="N462" t="str">
        <f>"TE211116"</f>
        <v>TE211116</v>
      </c>
      <c r="O462" t="s">
        <v>28</v>
      </c>
      <c r="Q462" t="s">
        <v>29</v>
      </c>
      <c r="R462" t="s">
        <v>28</v>
      </c>
      <c r="S462" t="s">
        <v>2167</v>
      </c>
      <c r="T462" t="s">
        <v>2168</v>
      </c>
      <c r="W462" t="s">
        <v>75</v>
      </c>
      <c r="X462" t="s">
        <v>34</v>
      </c>
      <c r="Y462" t="str">
        <f>"770943413"</f>
        <v>770943413</v>
      </c>
    </row>
    <row r="463" spans="1:25" x14ac:dyDescent="0.25">
      <c r="A463" t="s">
        <v>2162</v>
      </c>
      <c r="B463" t="s">
        <v>2163</v>
      </c>
      <c r="C463">
        <v>2021</v>
      </c>
      <c r="D463">
        <v>8001</v>
      </c>
      <c r="E463">
        <v>11</v>
      </c>
      <c r="F463" t="s">
        <v>2164</v>
      </c>
      <c r="G463">
        <v>29647308</v>
      </c>
      <c r="J463">
        <v>778.33</v>
      </c>
      <c r="L463">
        <v>48080850</v>
      </c>
      <c r="M463" s="1">
        <v>44516</v>
      </c>
      <c r="N463" t="str">
        <f>"TE211116"</f>
        <v>TE211116</v>
      </c>
      <c r="O463" t="s">
        <v>28</v>
      </c>
      <c r="Q463" t="s">
        <v>29</v>
      </c>
      <c r="R463" t="s">
        <v>28</v>
      </c>
      <c r="S463" t="s">
        <v>2165</v>
      </c>
      <c r="T463" t="s">
        <v>2166</v>
      </c>
      <c r="W463" t="s">
        <v>75</v>
      </c>
      <c r="X463" t="s">
        <v>34</v>
      </c>
      <c r="Y463" t="str">
        <f>"770943413"</f>
        <v>770943413</v>
      </c>
    </row>
    <row r="464" spans="1:25" x14ac:dyDescent="0.25">
      <c r="A464" t="s">
        <v>2169</v>
      </c>
      <c r="B464" t="s">
        <v>2170</v>
      </c>
      <c r="C464">
        <v>2021</v>
      </c>
      <c r="D464">
        <v>8001</v>
      </c>
      <c r="E464">
        <v>1</v>
      </c>
      <c r="F464" t="s">
        <v>2171</v>
      </c>
      <c r="G464">
        <v>22888334</v>
      </c>
      <c r="J464" s="2">
        <v>13331.5</v>
      </c>
      <c r="L464">
        <v>49154664</v>
      </c>
      <c r="M464" s="1">
        <v>44573</v>
      </c>
      <c r="N464" t="str">
        <f>"RC220221"</f>
        <v>RC220221</v>
      </c>
      <c r="O464" t="s">
        <v>28</v>
      </c>
      <c r="Q464" t="s">
        <v>29</v>
      </c>
      <c r="R464" t="s">
        <v>28</v>
      </c>
      <c r="S464" t="s">
        <v>2172</v>
      </c>
      <c r="T464" t="s">
        <v>2173</v>
      </c>
      <c r="W464" t="s">
        <v>2174</v>
      </c>
      <c r="X464" t="s">
        <v>2175</v>
      </c>
      <c r="Y464" t="str">
        <f>"281178520"</f>
        <v>281178520</v>
      </c>
    </row>
    <row r="465" spans="1:25" x14ac:dyDescent="0.25">
      <c r="A465" t="s">
        <v>2176</v>
      </c>
      <c r="B465" t="s">
        <v>2177</v>
      </c>
      <c r="C465">
        <v>2019</v>
      </c>
      <c r="D465">
        <v>8001</v>
      </c>
      <c r="E465">
        <v>1</v>
      </c>
      <c r="F465" t="s">
        <v>2178</v>
      </c>
      <c r="G465">
        <v>0</v>
      </c>
      <c r="J465">
        <v>200</v>
      </c>
      <c r="L465">
        <v>44500438</v>
      </c>
      <c r="M465" s="1">
        <v>44063</v>
      </c>
      <c r="N465" t="str">
        <f>"O200820BZ1"</f>
        <v>O200820BZ1</v>
      </c>
      <c r="O465" t="s">
        <v>28</v>
      </c>
      <c r="Q465" t="s">
        <v>29</v>
      </c>
      <c r="R465" t="s">
        <v>28</v>
      </c>
      <c r="S465" t="s">
        <v>2178</v>
      </c>
      <c r="T465" t="s">
        <v>2179</v>
      </c>
      <c r="U465" t="s">
        <v>60</v>
      </c>
      <c r="V465" t="s">
        <v>60</v>
      </c>
      <c r="W465" t="s">
        <v>214</v>
      </c>
      <c r="X465" t="s">
        <v>34</v>
      </c>
      <c r="Y465" t="str">
        <f>"774698956   "</f>
        <v xml:space="preserve">774698956   </v>
      </c>
    </row>
    <row r="466" spans="1:25" x14ac:dyDescent="0.25">
      <c r="A466" t="s">
        <v>2180</v>
      </c>
      <c r="B466" t="s">
        <v>2181</v>
      </c>
      <c r="C466">
        <v>2020</v>
      </c>
      <c r="D466">
        <v>8001</v>
      </c>
      <c r="E466">
        <v>1</v>
      </c>
      <c r="F466" t="s">
        <v>2182</v>
      </c>
      <c r="G466">
        <v>28593430</v>
      </c>
      <c r="J466">
        <v>23.15</v>
      </c>
      <c r="L466">
        <v>44431413</v>
      </c>
      <c r="M466" s="1">
        <v>44147</v>
      </c>
      <c r="N466" t="str">
        <f>"TE201112"</f>
        <v>TE201112</v>
      </c>
      <c r="O466" t="s">
        <v>28</v>
      </c>
      <c r="Q466" t="s">
        <v>29</v>
      </c>
      <c r="R466" t="s">
        <v>28</v>
      </c>
      <c r="S466" t="s">
        <v>2183</v>
      </c>
      <c r="T466" t="s">
        <v>2184</v>
      </c>
      <c r="W466" t="s">
        <v>2185</v>
      </c>
      <c r="X466" t="s">
        <v>34</v>
      </c>
      <c r="Y466" t="str">
        <f>"78612"</f>
        <v>78612</v>
      </c>
    </row>
    <row r="467" spans="1:25" x14ac:dyDescent="0.25">
      <c r="A467" t="s">
        <v>2186</v>
      </c>
      <c r="B467" t="s">
        <v>2187</v>
      </c>
      <c r="C467">
        <v>2019</v>
      </c>
      <c r="D467">
        <v>8001</v>
      </c>
      <c r="E467">
        <v>2</v>
      </c>
      <c r="F467" t="s">
        <v>2188</v>
      </c>
      <c r="G467">
        <v>0</v>
      </c>
      <c r="J467">
        <v>26.88</v>
      </c>
      <c r="L467">
        <v>42844150</v>
      </c>
      <c r="M467" s="1">
        <v>43843</v>
      </c>
      <c r="N467" t="str">
        <f>"O200113E1"</f>
        <v>O200113E1</v>
      </c>
      <c r="O467" t="s">
        <v>28</v>
      </c>
      <c r="Q467" t="s">
        <v>29</v>
      </c>
      <c r="R467" t="s">
        <v>28</v>
      </c>
      <c r="S467" t="s">
        <v>2188</v>
      </c>
      <c r="T467" t="s">
        <v>2189</v>
      </c>
      <c r="U467" t="s">
        <v>60</v>
      </c>
      <c r="V467" t="s">
        <v>60</v>
      </c>
      <c r="W467" t="s">
        <v>649</v>
      </c>
      <c r="X467" t="s">
        <v>34</v>
      </c>
      <c r="Y467" t="str">
        <f>"774719768   "</f>
        <v xml:space="preserve">774719768   </v>
      </c>
    </row>
    <row r="468" spans="1:25" x14ac:dyDescent="0.25">
      <c r="A468" t="s">
        <v>2190</v>
      </c>
      <c r="B468" t="s">
        <v>2191</v>
      </c>
      <c r="C468">
        <v>2020</v>
      </c>
      <c r="D468">
        <v>8001</v>
      </c>
      <c r="E468">
        <v>2</v>
      </c>
      <c r="F468" t="s">
        <v>2192</v>
      </c>
      <c r="G468">
        <v>0</v>
      </c>
      <c r="J468">
        <v>53.75</v>
      </c>
      <c r="L468">
        <v>46942627</v>
      </c>
      <c r="M468" s="1">
        <v>44249</v>
      </c>
      <c r="N468" t="str">
        <f>"EL210222"</f>
        <v>EL210222</v>
      </c>
      <c r="O468" t="s">
        <v>28</v>
      </c>
      <c r="Q468" t="s">
        <v>29</v>
      </c>
      <c r="R468" t="s">
        <v>28</v>
      </c>
      <c r="S468" t="s">
        <v>2192</v>
      </c>
      <c r="T468" t="s">
        <v>2193</v>
      </c>
      <c r="U468" t="s">
        <v>60</v>
      </c>
      <c r="V468" t="s">
        <v>60</v>
      </c>
      <c r="W468" t="s">
        <v>376</v>
      </c>
      <c r="X468" t="s">
        <v>34</v>
      </c>
      <c r="Y468" t="str">
        <f>"774776011   "</f>
        <v xml:space="preserve">774776011   </v>
      </c>
    </row>
    <row r="469" spans="1:25" x14ac:dyDescent="0.25">
      <c r="A469" t="s">
        <v>2194</v>
      </c>
      <c r="B469" t="s">
        <v>2195</v>
      </c>
      <c r="C469">
        <v>2019</v>
      </c>
      <c r="D469">
        <v>8001</v>
      </c>
      <c r="E469">
        <v>2</v>
      </c>
      <c r="F469" t="s">
        <v>2196</v>
      </c>
      <c r="G469">
        <v>28569696</v>
      </c>
      <c r="J469">
        <v>16.989999999999998</v>
      </c>
      <c r="L469">
        <v>44386530</v>
      </c>
      <c r="M469" s="1">
        <v>44022</v>
      </c>
      <c r="N469" t="str">
        <f>"J200710K4"</f>
        <v>J200710K4</v>
      </c>
      <c r="O469" t="s">
        <v>28</v>
      </c>
      <c r="Q469" t="s">
        <v>29</v>
      </c>
      <c r="R469" t="s">
        <v>28</v>
      </c>
      <c r="S469" t="s">
        <v>380</v>
      </c>
      <c r="T469" t="s">
        <v>2197</v>
      </c>
      <c r="U469" t="s">
        <v>2198</v>
      </c>
      <c r="V469" t="s">
        <v>2199</v>
      </c>
      <c r="W469" t="s">
        <v>75</v>
      </c>
      <c r="X469" t="s">
        <v>34</v>
      </c>
      <c r="Y469" t="str">
        <f>"77024"</f>
        <v>77024</v>
      </c>
    </row>
    <row r="470" spans="1:25" x14ac:dyDescent="0.25">
      <c r="A470" t="s">
        <v>2200</v>
      </c>
      <c r="B470" t="s">
        <v>2201</v>
      </c>
      <c r="C470">
        <v>2018</v>
      </c>
      <c r="D470">
        <v>8001</v>
      </c>
      <c r="E470">
        <v>1</v>
      </c>
      <c r="F470" t="s">
        <v>2202</v>
      </c>
      <c r="G470">
        <v>27328764</v>
      </c>
      <c r="J470">
        <v>42.8</v>
      </c>
      <c r="L470">
        <v>41063805</v>
      </c>
      <c r="M470" s="1">
        <v>43558</v>
      </c>
      <c r="N470" t="str">
        <f>"EK190403"</f>
        <v>EK190403</v>
      </c>
      <c r="O470" t="s">
        <v>28</v>
      </c>
      <c r="Q470" t="s">
        <v>29</v>
      </c>
      <c r="R470" t="s">
        <v>28</v>
      </c>
      <c r="S470" t="s">
        <v>2203</v>
      </c>
      <c r="T470" t="s">
        <v>2204</v>
      </c>
      <c r="W470" t="s">
        <v>2205</v>
      </c>
      <c r="X470" t="s">
        <v>34</v>
      </c>
      <c r="Y470" t="str">
        <f>"77354"</f>
        <v>77354</v>
      </c>
    </row>
    <row r="471" spans="1:25" x14ac:dyDescent="0.25">
      <c r="A471" t="s">
        <v>2206</v>
      </c>
      <c r="B471" t="s">
        <v>2207</v>
      </c>
      <c r="C471">
        <v>2020</v>
      </c>
      <c r="D471">
        <v>8001</v>
      </c>
      <c r="E471">
        <v>2</v>
      </c>
      <c r="F471" t="s">
        <v>2208</v>
      </c>
      <c r="G471">
        <v>29742328</v>
      </c>
      <c r="J471">
        <v>120.25</v>
      </c>
      <c r="L471">
        <v>47258308</v>
      </c>
      <c r="M471" s="1">
        <v>44293</v>
      </c>
      <c r="N471" t="str">
        <f>"RC210414"</f>
        <v>RC210414</v>
      </c>
      <c r="O471" t="s">
        <v>28</v>
      </c>
      <c r="Q471" t="s">
        <v>29</v>
      </c>
      <c r="R471" t="s">
        <v>28</v>
      </c>
      <c r="S471" t="s">
        <v>285</v>
      </c>
      <c r="T471" t="s">
        <v>2209</v>
      </c>
      <c r="W471" t="s">
        <v>75</v>
      </c>
      <c r="X471" t="s">
        <v>34</v>
      </c>
      <c r="Y471" t="str">
        <f>"77042"</f>
        <v>77042</v>
      </c>
    </row>
    <row r="472" spans="1:25" x14ac:dyDescent="0.25">
      <c r="A472" t="s">
        <v>2210</v>
      </c>
      <c r="B472" t="s">
        <v>2211</v>
      </c>
      <c r="C472">
        <v>2019</v>
      </c>
      <c r="D472">
        <v>8001</v>
      </c>
      <c r="E472">
        <v>2</v>
      </c>
      <c r="F472" t="s">
        <v>2212</v>
      </c>
      <c r="G472">
        <v>0</v>
      </c>
      <c r="J472">
        <v>78.58</v>
      </c>
      <c r="L472">
        <v>44028989</v>
      </c>
      <c r="M472" s="1">
        <v>43924</v>
      </c>
      <c r="N472" t="str">
        <f>"J200403K2"</f>
        <v>J200403K2</v>
      </c>
      <c r="O472" t="s">
        <v>28</v>
      </c>
      <c r="Q472" t="s">
        <v>29</v>
      </c>
      <c r="R472" t="s">
        <v>28</v>
      </c>
      <c r="S472" t="s">
        <v>2212</v>
      </c>
      <c r="T472" t="s">
        <v>2213</v>
      </c>
      <c r="U472" t="s">
        <v>60</v>
      </c>
      <c r="V472" t="s">
        <v>60</v>
      </c>
      <c r="W472" t="s">
        <v>135</v>
      </c>
      <c r="X472" t="s">
        <v>34</v>
      </c>
      <c r="Y472" t="str">
        <f>"770681113   "</f>
        <v xml:space="preserve">770681113   </v>
      </c>
    </row>
    <row r="473" spans="1:25" x14ac:dyDescent="0.25">
      <c r="A473" t="s">
        <v>2214</v>
      </c>
      <c r="B473" t="s">
        <v>2215</v>
      </c>
      <c r="C473">
        <v>2019</v>
      </c>
      <c r="D473">
        <v>8001</v>
      </c>
      <c r="E473">
        <v>1</v>
      </c>
      <c r="F473" t="s">
        <v>2216</v>
      </c>
      <c r="G473">
        <v>0</v>
      </c>
      <c r="J473">
        <v>36.06</v>
      </c>
      <c r="L473">
        <v>39825982</v>
      </c>
      <c r="M473" s="1">
        <v>43766</v>
      </c>
      <c r="N473" t="str">
        <f>"TE191028"</f>
        <v>TE191028</v>
      </c>
      <c r="O473" t="s">
        <v>28</v>
      </c>
      <c r="Q473" t="s">
        <v>29</v>
      </c>
      <c r="R473" t="s">
        <v>28</v>
      </c>
      <c r="S473" t="s">
        <v>2216</v>
      </c>
      <c r="T473" t="s">
        <v>2217</v>
      </c>
      <c r="U473" t="s">
        <v>2218</v>
      </c>
      <c r="V473" t="s">
        <v>60</v>
      </c>
      <c r="W473" t="s">
        <v>135</v>
      </c>
      <c r="X473" t="s">
        <v>34</v>
      </c>
      <c r="Y473" t="str">
        <f>"770643528   "</f>
        <v xml:space="preserve">770643528   </v>
      </c>
    </row>
    <row r="474" spans="1:25" x14ac:dyDescent="0.25">
      <c r="A474" t="s">
        <v>2219</v>
      </c>
      <c r="B474" t="s">
        <v>2220</v>
      </c>
      <c r="C474">
        <v>2020</v>
      </c>
      <c r="D474">
        <v>8001</v>
      </c>
      <c r="E474">
        <v>1</v>
      </c>
      <c r="F474" t="s">
        <v>2221</v>
      </c>
      <c r="G474">
        <v>29576655</v>
      </c>
      <c r="J474">
        <v>420.24</v>
      </c>
      <c r="L474">
        <v>46785757</v>
      </c>
      <c r="M474" s="1">
        <v>44231</v>
      </c>
      <c r="N474" t="str">
        <f>"RC210301"</f>
        <v>RC210301</v>
      </c>
      <c r="O474" t="s">
        <v>28</v>
      </c>
      <c r="Q474" t="s">
        <v>29</v>
      </c>
      <c r="R474" t="s">
        <v>28</v>
      </c>
      <c r="S474" t="s">
        <v>2222</v>
      </c>
      <c r="T474" t="s">
        <v>2223</v>
      </c>
      <c r="W474" t="s">
        <v>40</v>
      </c>
      <c r="X474" t="s">
        <v>34</v>
      </c>
      <c r="Y474" t="str">
        <f>"774784473"</f>
        <v>774784473</v>
      </c>
    </row>
    <row r="475" spans="1:25" x14ac:dyDescent="0.25">
      <c r="A475" t="s">
        <v>2224</v>
      </c>
      <c r="B475" t="s">
        <v>2225</v>
      </c>
      <c r="C475">
        <v>2020</v>
      </c>
      <c r="D475">
        <v>8001</v>
      </c>
      <c r="E475">
        <v>1</v>
      </c>
      <c r="F475" t="s">
        <v>2226</v>
      </c>
      <c r="G475">
        <v>0</v>
      </c>
      <c r="J475">
        <v>121.36</v>
      </c>
      <c r="L475">
        <v>47323528</v>
      </c>
      <c r="M475" s="1">
        <v>44308</v>
      </c>
      <c r="N475" t="str">
        <f>"J210422K4"</f>
        <v>J210422K4</v>
      </c>
      <c r="O475" t="s">
        <v>28</v>
      </c>
      <c r="Q475" t="s">
        <v>29</v>
      </c>
      <c r="R475" t="s">
        <v>28</v>
      </c>
      <c r="S475" t="s">
        <v>2227</v>
      </c>
      <c r="T475" t="s">
        <v>2228</v>
      </c>
      <c r="U475" t="s">
        <v>60</v>
      </c>
      <c r="V475" t="s">
        <v>60</v>
      </c>
      <c r="W475" t="s">
        <v>219</v>
      </c>
      <c r="X475" t="s">
        <v>34</v>
      </c>
      <c r="Y475" t="str">
        <f>"774784450   "</f>
        <v xml:space="preserve">774784450   </v>
      </c>
    </row>
    <row r="476" spans="1:25" x14ac:dyDescent="0.25">
      <c r="A476" t="s">
        <v>2229</v>
      </c>
      <c r="B476" t="s">
        <v>2230</v>
      </c>
      <c r="C476">
        <v>2019</v>
      </c>
      <c r="D476">
        <v>8001</v>
      </c>
      <c r="E476">
        <v>1</v>
      </c>
      <c r="F476" t="s">
        <v>212</v>
      </c>
      <c r="G476">
        <v>0</v>
      </c>
      <c r="J476">
        <v>262.58999999999997</v>
      </c>
      <c r="L476">
        <v>42618474</v>
      </c>
      <c r="M476" s="1">
        <v>43833</v>
      </c>
      <c r="N476" t="str">
        <f>"L200103"</f>
        <v>L200103</v>
      </c>
      <c r="O476" t="s">
        <v>28</v>
      </c>
      <c r="Q476" t="s">
        <v>29</v>
      </c>
      <c r="R476" t="s">
        <v>28</v>
      </c>
      <c r="S476" t="s">
        <v>212</v>
      </c>
      <c r="T476" t="s">
        <v>2231</v>
      </c>
      <c r="U476" t="s">
        <v>60</v>
      </c>
      <c r="V476" t="s">
        <v>60</v>
      </c>
      <c r="W476" t="s">
        <v>214</v>
      </c>
      <c r="X476" t="s">
        <v>34</v>
      </c>
      <c r="Y476" t="str">
        <f>"774063707   "</f>
        <v xml:space="preserve">774063707   </v>
      </c>
    </row>
    <row r="477" spans="1:25" x14ac:dyDescent="0.25">
      <c r="A477" t="s">
        <v>2232</v>
      </c>
      <c r="B477" t="s">
        <v>2233</v>
      </c>
      <c r="C477">
        <v>2021</v>
      </c>
      <c r="D477">
        <v>8001</v>
      </c>
      <c r="E477">
        <v>2</v>
      </c>
      <c r="F477" t="s">
        <v>2234</v>
      </c>
      <c r="G477">
        <v>30761584</v>
      </c>
      <c r="J477">
        <v>30</v>
      </c>
      <c r="L477">
        <v>49670292</v>
      </c>
      <c r="M477" s="1">
        <v>44589</v>
      </c>
      <c r="N477" t="str">
        <f>"O220128F1"</f>
        <v>O220128F1</v>
      </c>
      <c r="O477" t="s">
        <v>28</v>
      </c>
      <c r="Q477" t="s">
        <v>29</v>
      </c>
      <c r="R477" t="s">
        <v>28</v>
      </c>
      <c r="S477" t="s">
        <v>2235</v>
      </c>
      <c r="T477" t="s">
        <v>2236</v>
      </c>
      <c r="W477" t="s">
        <v>81</v>
      </c>
      <c r="X477" t="s">
        <v>34</v>
      </c>
      <c r="Y477" t="str">
        <f>"774063708"</f>
        <v>774063708</v>
      </c>
    </row>
    <row r="478" spans="1:25" x14ac:dyDescent="0.25">
      <c r="A478" t="s">
        <v>2237</v>
      </c>
      <c r="B478" t="s">
        <v>2238</v>
      </c>
      <c r="C478">
        <v>2021</v>
      </c>
      <c r="D478">
        <v>8001</v>
      </c>
      <c r="E478">
        <v>1</v>
      </c>
      <c r="F478" t="s">
        <v>2239</v>
      </c>
      <c r="G478">
        <v>25607113</v>
      </c>
      <c r="J478">
        <v>6.46</v>
      </c>
      <c r="L478">
        <v>47704755</v>
      </c>
      <c r="M478" s="1">
        <v>44516</v>
      </c>
      <c r="N478" t="str">
        <f>"TE211116"</f>
        <v>TE211116</v>
      </c>
      <c r="O478" t="s">
        <v>28</v>
      </c>
      <c r="Q478" t="s">
        <v>29</v>
      </c>
      <c r="R478" t="s">
        <v>28</v>
      </c>
      <c r="S478" t="s">
        <v>79</v>
      </c>
      <c r="T478" t="s">
        <v>80</v>
      </c>
      <c r="W478" t="s">
        <v>81</v>
      </c>
      <c r="X478" t="s">
        <v>34</v>
      </c>
      <c r="Y478" t="str">
        <f>"774069802"</f>
        <v>774069802</v>
      </c>
    </row>
    <row r="479" spans="1:25" x14ac:dyDescent="0.25">
      <c r="A479" t="s">
        <v>2240</v>
      </c>
      <c r="B479" t="s">
        <v>2241</v>
      </c>
      <c r="C479">
        <v>2018</v>
      </c>
      <c r="D479">
        <v>8001</v>
      </c>
      <c r="E479">
        <v>3</v>
      </c>
      <c r="F479" t="s">
        <v>2242</v>
      </c>
      <c r="G479">
        <v>27259104</v>
      </c>
      <c r="J479">
        <v>153.53</v>
      </c>
      <c r="L479">
        <v>40895436</v>
      </c>
      <c r="M479" s="1">
        <v>43529</v>
      </c>
      <c r="N479" t="str">
        <f>"EK390305"</f>
        <v>EK390305</v>
      </c>
      <c r="O479" t="s">
        <v>28</v>
      </c>
      <c r="Q479" t="s">
        <v>29</v>
      </c>
      <c r="R479" t="s">
        <v>28</v>
      </c>
      <c r="S479" t="s">
        <v>2243</v>
      </c>
      <c r="T479" t="s">
        <v>2244</v>
      </c>
      <c r="W479" t="s">
        <v>112</v>
      </c>
      <c r="X479" t="s">
        <v>34</v>
      </c>
      <c r="Y479" t="str">
        <f>"77479"</f>
        <v>77479</v>
      </c>
    </row>
    <row r="480" spans="1:25" x14ac:dyDescent="0.25">
      <c r="A480" t="s">
        <v>2245</v>
      </c>
      <c r="B480" t="s">
        <v>2246</v>
      </c>
      <c r="C480">
        <v>2020</v>
      </c>
      <c r="D480">
        <v>8001</v>
      </c>
      <c r="E480">
        <v>3</v>
      </c>
      <c r="F480" t="s">
        <v>2247</v>
      </c>
      <c r="G480">
        <v>29575259</v>
      </c>
      <c r="J480">
        <v>30</v>
      </c>
      <c r="L480">
        <v>46989655</v>
      </c>
      <c r="M480" s="1">
        <v>44253</v>
      </c>
      <c r="N480" t="str">
        <f>"O210226U1"</f>
        <v>O210226U1</v>
      </c>
      <c r="O480" t="s">
        <v>28</v>
      </c>
      <c r="Q480" t="s">
        <v>29</v>
      </c>
      <c r="R480" t="s">
        <v>28</v>
      </c>
      <c r="S480" t="s">
        <v>2248</v>
      </c>
      <c r="T480" t="s">
        <v>2249</v>
      </c>
      <c r="W480" t="s">
        <v>40</v>
      </c>
      <c r="X480" t="s">
        <v>34</v>
      </c>
      <c r="Y480" t="str">
        <f>"774782789"</f>
        <v>774782789</v>
      </c>
    </row>
    <row r="481" spans="1:25" x14ac:dyDescent="0.25">
      <c r="A481" t="s">
        <v>2250</v>
      </c>
      <c r="B481" t="s">
        <v>2251</v>
      </c>
      <c r="C481">
        <v>2019</v>
      </c>
      <c r="D481">
        <v>8001</v>
      </c>
      <c r="E481">
        <v>2</v>
      </c>
      <c r="F481" t="s">
        <v>2252</v>
      </c>
      <c r="G481">
        <v>27683269</v>
      </c>
      <c r="J481">
        <v>7.54</v>
      </c>
      <c r="L481">
        <v>44471277</v>
      </c>
      <c r="M481" s="1">
        <v>44048</v>
      </c>
      <c r="N481" t="str">
        <f>"O200805AN1"</f>
        <v>O200805AN1</v>
      </c>
      <c r="O481" t="s">
        <v>28</v>
      </c>
      <c r="Q481" t="s">
        <v>29</v>
      </c>
      <c r="R481" t="s">
        <v>28</v>
      </c>
      <c r="S481" t="s">
        <v>2253</v>
      </c>
      <c r="T481" t="s">
        <v>2254</v>
      </c>
      <c r="W481" t="s">
        <v>40</v>
      </c>
      <c r="X481" t="s">
        <v>34</v>
      </c>
      <c r="Y481" t="str">
        <f>"774782399"</f>
        <v>774782399</v>
      </c>
    </row>
    <row r="482" spans="1:25" x14ac:dyDescent="0.25">
      <c r="A482" t="s">
        <v>2255</v>
      </c>
      <c r="B482" t="s">
        <v>2256</v>
      </c>
      <c r="C482">
        <v>2020</v>
      </c>
      <c r="D482">
        <v>8001</v>
      </c>
      <c r="E482">
        <v>1</v>
      </c>
      <c r="F482" t="s">
        <v>2257</v>
      </c>
      <c r="G482">
        <v>29584671</v>
      </c>
      <c r="J482">
        <v>379.63</v>
      </c>
      <c r="L482">
        <v>46875289</v>
      </c>
      <c r="M482" s="1">
        <v>44236</v>
      </c>
      <c r="N482" t="str">
        <f>"RC210304"</f>
        <v>RC210304</v>
      </c>
      <c r="O482" t="s">
        <v>28</v>
      </c>
      <c r="Q482" t="s">
        <v>29</v>
      </c>
      <c r="R482" t="s">
        <v>28</v>
      </c>
      <c r="S482" t="s">
        <v>2258</v>
      </c>
      <c r="T482" t="s">
        <v>2259</v>
      </c>
      <c r="W482" t="s">
        <v>75</v>
      </c>
      <c r="X482" t="s">
        <v>34</v>
      </c>
      <c r="Y482" t="str">
        <f>"77042"</f>
        <v>77042</v>
      </c>
    </row>
    <row r="483" spans="1:25" x14ac:dyDescent="0.25">
      <c r="A483" t="s">
        <v>2260</v>
      </c>
      <c r="B483" t="s">
        <v>2261</v>
      </c>
      <c r="C483">
        <v>2019</v>
      </c>
      <c r="D483">
        <v>8001</v>
      </c>
      <c r="E483">
        <v>2</v>
      </c>
      <c r="F483" t="s">
        <v>2262</v>
      </c>
      <c r="G483">
        <v>0</v>
      </c>
      <c r="J483">
        <v>385.11</v>
      </c>
      <c r="L483">
        <v>43974889</v>
      </c>
      <c r="M483" s="1">
        <v>43914</v>
      </c>
      <c r="N483" t="str">
        <f>"O200324BL1"</f>
        <v>O200324BL1</v>
      </c>
      <c r="O483" t="s">
        <v>28</v>
      </c>
      <c r="Q483" t="s">
        <v>29</v>
      </c>
      <c r="R483" t="s">
        <v>28</v>
      </c>
      <c r="S483" t="s">
        <v>2262</v>
      </c>
      <c r="T483" t="s">
        <v>2263</v>
      </c>
      <c r="U483" t="s">
        <v>60</v>
      </c>
      <c r="V483" t="s">
        <v>60</v>
      </c>
      <c r="W483" t="s">
        <v>219</v>
      </c>
      <c r="X483" t="s">
        <v>34</v>
      </c>
      <c r="Y483" t="str">
        <f>"774982265   "</f>
        <v xml:space="preserve">774982265   </v>
      </c>
    </row>
    <row r="484" spans="1:25" x14ac:dyDescent="0.25">
      <c r="A484" t="s">
        <v>2264</v>
      </c>
      <c r="B484" t="s">
        <v>2265</v>
      </c>
      <c r="C484">
        <v>2020</v>
      </c>
      <c r="D484">
        <v>8001</v>
      </c>
      <c r="E484">
        <v>3</v>
      </c>
      <c r="F484" t="s">
        <v>2266</v>
      </c>
      <c r="G484">
        <v>29576657</v>
      </c>
      <c r="J484">
        <v>33.56</v>
      </c>
      <c r="L484">
        <v>46739482</v>
      </c>
      <c r="M484" s="1">
        <v>44230</v>
      </c>
      <c r="N484" t="str">
        <f>"RC210301"</f>
        <v>RC210301</v>
      </c>
      <c r="O484" t="s">
        <v>28</v>
      </c>
      <c r="Q484" t="s">
        <v>29</v>
      </c>
      <c r="R484" t="s">
        <v>28</v>
      </c>
      <c r="S484" t="s">
        <v>2267</v>
      </c>
      <c r="T484" t="s">
        <v>2268</v>
      </c>
      <c r="U484" t="s">
        <v>2269</v>
      </c>
      <c r="W484" t="s">
        <v>392</v>
      </c>
      <c r="X484" t="s">
        <v>34</v>
      </c>
      <c r="Y484" t="str">
        <f>"774591840"</f>
        <v>774591840</v>
      </c>
    </row>
    <row r="485" spans="1:25" x14ac:dyDescent="0.25">
      <c r="A485" t="s">
        <v>2270</v>
      </c>
      <c r="B485" t="s">
        <v>2271</v>
      </c>
      <c r="C485">
        <v>2020</v>
      </c>
      <c r="D485">
        <v>8001</v>
      </c>
      <c r="E485">
        <v>3</v>
      </c>
      <c r="F485" t="s">
        <v>2266</v>
      </c>
      <c r="G485">
        <v>29576657</v>
      </c>
      <c r="J485">
        <v>5.26</v>
      </c>
      <c r="L485">
        <v>46674310</v>
      </c>
      <c r="M485" s="1">
        <v>44229</v>
      </c>
      <c r="N485" t="str">
        <f>"RC210301"</f>
        <v>RC210301</v>
      </c>
      <c r="O485" t="s">
        <v>28</v>
      </c>
      <c r="Q485" t="s">
        <v>29</v>
      </c>
      <c r="R485" t="s">
        <v>28</v>
      </c>
      <c r="S485" t="s">
        <v>2267</v>
      </c>
      <c r="T485" t="s">
        <v>2268</v>
      </c>
      <c r="U485" t="s">
        <v>2269</v>
      </c>
      <c r="W485" t="s">
        <v>392</v>
      </c>
      <c r="X485" t="s">
        <v>34</v>
      </c>
      <c r="Y485" t="str">
        <f>"774591840"</f>
        <v>774591840</v>
      </c>
    </row>
    <row r="486" spans="1:25" x14ac:dyDescent="0.25">
      <c r="A486" t="s">
        <v>2270</v>
      </c>
      <c r="B486" t="s">
        <v>2271</v>
      </c>
      <c r="C486">
        <v>2020</v>
      </c>
      <c r="D486">
        <v>8001</v>
      </c>
      <c r="E486">
        <v>3</v>
      </c>
      <c r="F486" t="s">
        <v>2266</v>
      </c>
      <c r="G486">
        <v>29576657</v>
      </c>
      <c r="J486">
        <v>5.26</v>
      </c>
      <c r="L486">
        <v>46785793</v>
      </c>
      <c r="M486" s="1">
        <v>44231</v>
      </c>
      <c r="N486" t="str">
        <f>"RC210301"</f>
        <v>RC210301</v>
      </c>
      <c r="O486" t="s">
        <v>28</v>
      </c>
      <c r="Q486" t="s">
        <v>29</v>
      </c>
      <c r="R486" t="s">
        <v>28</v>
      </c>
      <c r="S486" t="s">
        <v>2267</v>
      </c>
      <c r="T486" t="s">
        <v>2268</v>
      </c>
      <c r="U486" t="s">
        <v>2269</v>
      </c>
      <c r="W486" t="s">
        <v>392</v>
      </c>
      <c r="X486" t="s">
        <v>34</v>
      </c>
      <c r="Y486" t="str">
        <f>"774591840"</f>
        <v>774591840</v>
      </c>
    </row>
    <row r="487" spans="1:25" x14ac:dyDescent="0.25">
      <c r="A487" t="s">
        <v>2272</v>
      </c>
      <c r="B487" t="s">
        <v>2273</v>
      </c>
      <c r="C487">
        <v>2021</v>
      </c>
      <c r="D487">
        <v>8001</v>
      </c>
      <c r="E487">
        <v>13</v>
      </c>
      <c r="F487" t="s">
        <v>2274</v>
      </c>
      <c r="G487">
        <v>0</v>
      </c>
      <c r="J487">
        <v>380.15</v>
      </c>
      <c r="L487">
        <v>47756905</v>
      </c>
      <c r="M487" s="1">
        <v>44516</v>
      </c>
      <c r="N487" t="str">
        <f>"TE211116"</f>
        <v>TE211116</v>
      </c>
      <c r="O487" t="s">
        <v>28</v>
      </c>
      <c r="Q487" t="s">
        <v>29</v>
      </c>
      <c r="R487" t="s">
        <v>28</v>
      </c>
      <c r="S487" t="s">
        <v>2274</v>
      </c>
      <c r="T487" t="s">
        <v>2275</v>
      </c>
      <c r="U487" t="s">
        <v>60</v>
      </c>
      <c r="V487" t="s">
        <v>60</v>
      </c>
      <c r="W487" t="s">
        <v>649</v>
      </c>
      <c r="X487" t="s">
        <v>34</v>
      </c>
      <c r="Y487" t="str">
        <f>"774716704   "</f>
        <v xml:space="preserve">774716704   </v>
      </c>
    </row>
    <row r="488" spans="1:25" x14ac:dyDescent="0.25">
      <c r="A488" t="s">
        <v>2276</v>
      </c>
      <c r="B488" t="s">
        <v>2277</v>
      </c>
      <c r="C488">
        <v>2020</v>
      </c>
      <c r="D488">
        <v>8001</v>
      </c>
      <c r="E488">
        <v>2</v>
      </c>
      <c r="F488" t="s">
        <v>2278</v>
      </c>
      <c r="G488">
        <v>28692840</v>
      </c>
      <c r="J488">
        <v>25.4</v>
      </c>
      <c r="L488">
        <v>47256486</v>
      </c>
      <c r="M488" s="1">
        <v>44292</v>
      </c>
      <c r="N488" t="str">
        <f>"RC210414"</f>
        <v>RC210414</v>
      </c>
      <c r="O488" t="s">
        <v>28</v>
      </c>
      <c r="Q488" t="s">
        <v>29</v>
      </c>
      <c r="R488" t="s">
        <v>28</v>
      </c>
      <c r="S488" t="s">
        <v>1019</v>
      </c>
      <c r="T488" t="s">
        <v>562</v>
      </c>
      <c r="W488" t="s">
        <v>563</v>
      </c>
      <c r="X488" t="s">
        <v>34</v>
      </c>
      <c r="Y488" t="str">
        <f>"750630156"</f>
        <v>750630156</v>
      </c>
    </row>
    <row r="489" spans="1:25" x14ac:dyDescent="0.25">
      <c r="A489" t="s">
        <v>2279</v>
      </c>
      <c r="B489" t="s">
        <v>2280</v>
      </c>
      <c r="C489">
        <v>2020</v>
      </c>
      <c r="D489">
        <v>8001</v>
      </c>
      <c r="E489">
        <v>1</v>
      </c>
      <c r="F489" t="s">
        <v>2281</v>
      </c>
      <c r="G489">
        <v>29576658</v>
      </c>
      <c r="J489">
        <v>142.4</v>
      </c>
      <c r="L489">
        <v>46755716</v>
      </c>
      <c r="M489" s="1">
        <v>44231</v>
      </c>
      <c r="N489" t="str">
        <f>"RC210301"</f>
        <v>RC210301</v>
      </c>
      <c r="O489" t="s">
        <v>28</v>
      </c>
      <c r="Q489" t="s">
        <v>29</v>
      </c>
      <c r="R489" t="s">
        <v>28</v>
      </c>
      <c r="S489" t="s">
        <v>2282</v>
      </c>
      <c r="T489" t="s">
        <v>2283</v>
      </c>
      <c r="W489" t="s">
        <v>107</v>
      </c>
      <c r="X489" t="s">
        <v>34</v>
      </c>
      <c r="Y489" t="str">
        <f>"774946620"</f>
        <v>774946620</v>
      </c>
    </row>
    <row r="490" spans="1:25" x14ac:dyDescent="0.25">
      <c r="A490" t="s">
        <v>2284</v>
      </c>
      <c r="B490" t="s">
        <v>2285</v>
      </c>
      <c r="C490">
        <v>2018</v>
      </c>
      <c r="D490">
        <v>8001</v>
      </c>
      <c r="E490">
        <v>1</v>
      </c>
      <c r="F490" t="s">
        <v>2286</v>
      </c>
      <c r="G490">
        <v>27352318</v>
      </c>
      <c r="J490">
        <v>12.59</v>
      </c>
      <c r="L490">
        <v>41112460</v>
      </c>
      <c r="M490" s="1">
        <v>43571</v>
      </c>
      <c r="N490" t="str">
        <f>"J190416K7"</f>
        <v>J190416K7</v>
      </c>
      <c r="O490" t="s">
        <v>28</v>
      </c>
      <c r="Q490" t="s">
        <v>29</v>
      </c>
      <c r="R490" t="s">
        <v>28</v>
      </c>
      <c r="S490" t="s">
        <v>2118</v>
      </c>
      <c r="T490" t="s">
        <v>2287</v>
      </c>
      <c r="U490" t="s">
        <v>2288</v>
      </c>
      <c r="V490" t="s">
        <v>2289</v>
      </c>
      <c r="W490" t="s">
        <v>75</v>
      </c>
      <c r="X490" t="s">
        <v>34</v>
      </c>
      <c r="Y490" t="str">
        <f>"770435268"</f>
        <v>770435268</v>
      </c>
    </row>
    <row r="491" spans="1:25" x14ac:dyDescent="0.25">
      <c r="A491" t="s">
        <v>2290</v>
      </c>
      <c r="B491" t="s">
        <v>2291</v>
      </c>
      <c r="C491">
        <v>2020</v>
      </c>
      <c r="D491">
        <v>8001</v>
      </c>
      <c r="E491">
        <v>2</v>
      </c>
      <c r="F491" t="s">
        <v>2292</v>
      </c>
      <c r="G491">
        <v>21548035</v>
      </c>
      <c r="J491" s="2">
        <v>6444.45</v>
      </c>
      <c r="L491">
        <v>45561282</v>
      </c>
      <c r="M491" s="1">
        <v>44195</v>
      </c>
      <c r="N491" t="str">
        <f>"P201230E1"</f>
        <v>P201230E1</v>
      </c>
      <c r="O491" t="s">
        <v>28</v>
      </c>
      <c r="Q491" t="s">
        <v>29</v>
      </c>
      <c r="R491" t="s">
        <v>28</v>
      </c>
      <c r="S491" t="s">
        <v>2293</v>
      </c>
      <c r="T491" t="s">
        <v>2294</v>
      </c>
      <c r="W491" t="s">
        <v>2295</v>
      </c>
      <c r="X491" t="s">
        <v>34</v>
      </c>
      <c r="Y491" t="str">
        <f>"77840"</f>
        <v>77840</v>
      </c>
    </row>
    <row r="492" spans="1:25" x14ac:dyDescent="0.25">
      <c r="A492" t="s">
        <v>2296</v>
      </c>
      <c r="B492" t="s">
        <v>2297</v>
      </c>
      <c r="C492">
        <v>2019</v>
      </c>
      <c r="D492">
        <v>8001</v>
      </c>
      <c r="E492">
        <v>1</v>
      </c>
      <c r="F492" t="s">
        <v>2298</v>
      </c>
      <c r="G492">
        <v>0</v>
      </c>
      <c r="J492">
        <v>6.95</v>
      </c>
      <c r="L492">
        <v>42883145</v>
      </c>
      <c r="M492" s="1">
        <v>43844</v>
      </c>
      <c r="N492" t="str">
        <f>"J200114K6"</f>
        <v>J200114K6</v>
      </c>
      <c r="O492" t="s">
        <v>28</v>
      </c>
      <c r="Q492" t="s">
        <v>29</v>
      </c>
      <c r="R492" t="s">
        <v>28</v>
      </c>
      <c r="S492" t="s">
        <v>2298</v>
      </c>
      <c r="T492" t="s">
        <v>2299</v>
      </c>
      <c r="U492" t="s">
        <v>60</v>
      </c>
      <c r="V492" t="s">
        <v>60</v>
      </c>
      <c r="W492" t="s">
        <v>2300</v>
      </c>
      <c r="X492" t="s">
        <v>34</v>
      </c>
      <c r="Y492" t="str">
        <f>"774414429   "</f>
        <v xml:space="preserve">774414429   </v>
      </c>
    </row>
    <row r="493" spans="1:25" x14ac:dyDescent="0.25">
      <c r="A493" t="s">
        <v>2301</v>
      </c>
      <c r="B493" t="s">
        <v>2302</v>
      </c>
      <c r="C493">
        <v>2020</v>
      </c>
      <c r="D493">
        <v>8001</v>
      </c>
      <c r="E493">
        <v>1</v>
      </c>
      <c r="F493" t="s">
        <v>2303</v>
      </c>
      <c r="G493">
        <v>29461800</v>
      </c>
      <c r="J493">
        <v>392.68</v>
      </c>
      <c r="L493">
        <v>46728800</v>
      </c>
      <c r="M493" s="1">
        <v>44230</v>
      </c>
      <c r="N493" t="str">
        <f>"EK210203"</f>
        <v>EK210203</v>
      </c>
      <c r="O493" t="s">
        <v>28</v>
      </c>
      <c r="Q493" t="s">
        <v>29</v>
      </c>
      <c r="R493" t="s">
        <v>28</v>
      </c>
      <c r="S493" t="s">
        <v>2304</v>
      </c>
      <c r="T493" t="s">
        <v>2305</v>
      </c>
      <c r="W493" t="s">
        <v>193</v>
      </c>
      <c r="X493" t="s">
        <v>34</v>
      </c>
      <c r="Y493" t="str">
        <f>"77441"</f>
        <v>77441</v>
      </c>
    </row>
    <row r="494" spans="1:25" x14ac:dyDescent="0.25">
      <c r="A494" t="s">
        <v>2306</v>
      </c>
      <c r="B494" t="s">
        <v>2307</v>
      </c>
      <c r="C494">
        <v>2019</v>
      </c>
      <c r="D494">
        <v>8001</v>
      </c>
      <c r="E494">
        <v>2</v>
      </c>
      <c r="F494" t="s">
        <v>2308</v>
      </c>
      <c r="G494">
        <v>0</v>
      </c>
      <c r="J494">
        <v>79.91</v>
      </c>
      <c r="L494">
        <v>42176506</v>
      </c>
      <c r="M494" s="1">
        <v>43809</v>
      </c>
      <c r="N494" t="str">
        <f>"J191210K3"</f>
        <v>J191210K3</v>
      </c>
      <c r="O494" t="s">
        <v>28</v>
      </c>
      <c r="Q494" t="s">
        <v>29</v>
      </c>
      <c r="R494" t="s">
        <v>28</v>
      </c>
      <c r="S494" t="s">
        <v>2308</v>
      </c>
      <c r="T494" t="s">
        <v>2309</v>
      </c>
      <c r="U494" t="s">
        <v>2310</v>
      </c>
      <c r="V494" t="s">
        <v>60</v>
      </c>
      <c r="W494" t="s">
        <v>2311</v>
      </c>
      <c r="X494" t="s">
        <v>34</v>
      </c>
      <c r="Y494" t="str">
        <f>"752650255   "</f>
        <v xml:space="preserve">752650255   </v>
      </c>
    </row>
    <row r="495" spans="1:25" x14ac:dyDescent="0.25">
      <c r="A495" t="s">
        <v>2306</v>
      </c>
      <c r="B495" t="s">
        <v>2307</v>
      </c>
      <c r="C495">
        <v>2019</v>
      </c>
      <c r="D495">
        <v>8001</v>
      </c>
      <c r="E495">
        <v>2</v>
      </c>
      <c r="F495" t="s">
        <v>2308</v>
      </c>
      <c r="G495">
        <v>24800942</v>
      </c>
      <c r="J495">
        <v>8.02</v>
      </c>
      <c r="L495">
        <v>42189329</v>
      </c>
      <c r="M495" s="1">
        <v>43809</v>
      </c>
      <c r="N495" t="str">
        <f>"J191210AW18"</f>
        <v>J191210AW18</v>
      </c>
      <c r="O495" t="s">
        <v>28</v>
      </c>
      <c r="Q495" t="s">
        <v>29</v>
      </c>
      <c r="R495" t="s">
        <v>28</v>
      </c>
      <c r="S495" t="s">
        <v>2312</v>
      </c>
      <c r="T495" t="s">
        <v>2313</v>
      </c>
      <c r="W495" t="s">
        <v>332</v>
      </c>
      <c r="X495" t="s">
        <v>34</v>
      </c>
      <c r="Y495" t="str">
        <f>"752650255"</f>
        <v>752650255</v>
      </c>
    </row>
    <row r="496" spans="1:25" x14ac:dyDescent="0.25">
      <c r="A496" t="s">
        <v>2314</v>
      </c>
      <c r="B496" t="s">
        <v>2315</v>
      </c>
      <c r="C496">
        <v>2020</v>
      </c>
      <c r="D496">
        <v>8001</v>
      </c>
      <c r="E496">
        <v>1</v>
      </c>
      <c r="F496" t="s">
        <v>2316</v>
      </c>
      <c r="G496">
        <v>29873332</v>
      </c>
      <c r="J496">
        <v>126.27</v>
      </c>
      <c r="L496">
        <v>47506481</v>
      </c>
      <c r="M496" s="1">
        <v>44354</v>
      </c>
      <c r="N496" t="str">
        <f>"RC210614"</f>
        <v>RC210614</v>
      </c>
      <c r="O496" t="s">
        <v>28</v>
      </c>
      <c r="Q496" t="s">
        <v>29</v>
      </c>
      <c r="R496" t="s">
        <v>28</v>
      </c>
      <c r="S496" t="s">
        <v>2317</v>
      </c>
      <c r="T496" t="s">
        <v>2318</v>
      </c>
      <c r="W496" t="s">
        <v>40</v>
      </c>
      <c r="X496" t="s">
        <v>34</v>
      </c>
      <c r="Y496" t="str">
        <f>"77479-6215"</f>
        <v>77479-6215</v>
      </c>
    </row>
    <row r="497" spans="1:25" x14ac:dyDescent="0.25">
      <c r="A497" t="s">
        <v>2319</v>
      </c>
      <c r="B497" t="s">
        <v>2320</v>
      </c>
      <c r="C497">
        <v>2020</v>
      </c>
      <c r="D497">
        <v>8001</v>
      </c>
      <c r="E497">
        <v>3</v>
      </c>
      <c r="F497" t="s">
        <v>2321</v>
      </c>
      <c r="G497">
        <v>28893921</v>
      </c>
      <c r="J497">
        <v>417.48</v>
      </c>
      <c r="L497">
        <v>45153058</v>
      </c>
      <c r="M497" s="1">
        <v>44173</v>
      </c>
      <c r="N497" t="str">
        <f>"RC201217"</f>
        <v>RC201217</v>
      </c>
      <c r="O497" t="s">
        <v>28</v>
      </c>
      <c r="Q497" t="s">
        <v>29</v>
      </c>
      <c r="R497" t="s">
        <v>28</v>
      </c>
      <c r="S497" t="s">
        <v>2322</v>
      </c>
      <c r="T497" t="s">
        <v>2323</v>
      </c>
      <c r="U497" t="s">
        <v>2324</v>
      </c>
      <c r="V497" t="s">
        <v>2325</v>
      </c>
      <c r="W497" t="s">
        <v>112</v>
      </c>
      <c r="X497" t="s">
        <v>34</v>
      </c>
      <c r="Y497" t="str">
        <f>"77479"</f>
        <v>77479</v>
      </c>
    </row>
    <row r="498" spans="1:25" x14ac:dyDescent="0.25">
      <c r="A498" t="s">
        <v>2326</v>
      </c>
      <c r="B498" t="s">
        <v>2327</v>
      </c>
      <c r="C498">
        <v>2019</v>
      </c>
      <c r="D498">
        <v>8001</v>
      </c>
      <c r="E498">
        <v>1</v>
      </c>
      <c r="F498" t="s">
        <v>2328</v>
      </c>
      <c r="G498">
        <v>25581032</v>
      </c>
      <c r="J498">
        <v>158.22999999999999</v>
      </c>
      <c r="L498">
        <v>44091716</v>
      </c>
      <c r="M498" s="1">
        <v>43944</v>
      </c>
      <c r="N498" t="str">
        <f>"RC200428"</f>
        <v>RC200428</v>
      </c>
      <c r="O498" t="s">
        <v>28</v>
      </c>
      <c r="Q498" t="s">
        <v>29</v>
      </c>
      <c r="R498" t="s">
        <v>28</v>
      </c>
      <c r="S498" t="s">
        <v>561</v>
      </c>
      <c r="T498" t="s">
        <v>562</v>
      </c>
      <c r="W498" t="s">
        <v>563</v>
      </c>
      <c r="X498" t="s">
        <v>34</v>
      </c>
      <c r="Y498" t="str">
        <f>"750630156"</f>
        <v>750630156</v>
      </c>
    </row>
    <row r="499" spans="1:25" x14ac:dyDescent="0.25">
      <c r="A499" t="s">
        <v>2329</v>
      </c>
      <c r="B499" t="s">
        <v>2330</v>
      </c>
      <c r="C499">
        <v>2020</v>
      </c>
      <c r="D499">
        <v>8001</v>
      </c>
      <c r="E499">
        <v>1</v>
      </c>
      <c r="F499" t="s">
        <v>2331</v>
      </c>
      <c r="G499">
        <v>29955093</v>
      </c>
      <c r="J499">
        <v>61.72</v>
      </c>
      <c r="L499">
        <v>47678386</v>
      </c>
      <c r="M499" s="1">
        <v>44412</v>
      </c>
      <c r="N499" t="str">
        <f>"CC410804"</f>
        <v>CC410804</v>
      </c>
      <c r="O499" t="s">
        <v>28</v>
      </c>
      <c r="Q499" t="s">
        <v>29</v>
      </c>
      <c r="R499" t="s">
        <v>28</v>
      </c>
      <c r="S499" t="s">
        <v>2332</v>
      </c>
      <c r="T499" t="s">
        <v>2333</v>
      </c>
      <c r="W499" t="s">
        <v>40</v>
      </c>
      <c r="X499" t="s">
        <v>34</v>
      </c>
      <c r="Y499" t="str">
        <f>"77479"</f>
        <v>77479</v>
      </c>
    </row>
    <row r="500" spans="1:25" x14ac:dyDescent="0.25">
      <c r="A500" t="s">
        <v>2334</v>
      </c>
      <c r="B500" t="s">
        <v>2335</v>
      </c>
      <c r="C500">
        <v>2021</v>
      </c>
      <c r="D500">
        <v>8001</v>
      </c>
      <c r="E500">
        <v>1</v>
      </c>
      <c r="F500" t="s">
        <v>2336</v>
      </c>
      <c r="G500">
        <v>27688457</v>
      </c>
      <c r="J500">
        <v>55</v>
      </c>
      <c r="L500">
        <v>49522244</v>
      </c>
      <c r="M500" s="1">
        <v>44586</v>
      </c>
      <c r="N500" t="str">
        <f>"RC220309"</f>
        <v>RC220309</v>
      </c>
      <c r="O500" t="s">
        <v>28</v>
      </c>
      <c r="Q500" t="s">
        <v>29</v>
      </c>
      <c r="R500" t="s">
        <v>28</v>
      </c>
      <c r="S500" t="s">
        <v>2337</v>
      </c>
      <c r="T500" t="s">
        <v>2338</v>
      </c>
      <c r="W500" t="s">
        <v>40</v>
      </c>
      <c r="X500" t="s">
        <v>34</v>
      </c>
      <c r="Y500" t="str">
        <f>"774796009"</f>
        <v>774796009</v>
      </c>
    </row>
    <row r="501" spans="1:25" x14ac:dyDescent="0.25">
      <c r="A501" t="s">
        <v>2339</v>
      </c>
      <c r="B501" t="s">
        <v>2340</v>
      </c>
      <c r="C501">
        <v>2021</v>
      </c>
      <c r="D501">
        <v>8001</v>
      </c>
      <c r="E501">
        <v>1</v>
      </c>
      <c r="F501" t="s">
        <v>2341</v>
      </c>
      <c r="G501">
        <v>0</v>
      </c>
      <c r="J501">
        <v>408.59</v>
      </c>
      <c r="L501">
        <v>48517891</v>
      </c>
      <c r="M501" s="1">
        <v>44546</v>
      </c>
      <c r="N501" t="str">
        <f>"L211216"</f>
        <v>L211216</v>
      </c>
      <c r="O501" t="s">
        <v>28</v>
      </c>
      <c r="Q501" t="s">
        <v>29</v>
      </c>
      <c r="R501" t="s">
        <v>28</v>
      </c>
      <c r="S501" t="s">
        <v>2341</v>
      </c>
      <c r="T501" t="s">
        <v>2342</v>
      </c>
      <c r="U501" t="s">
        <v>60</v>
      </c>
      <c r="V501" t="s">
        <v>60</v>
      </c>
      <c r="W501" t="s">
        <v>219</v>
      </c>
      <c r="X501" t="s">
        <v>34</v>
      </c>
      <c r="Y501" t="str">
        <f>"774796012   "</f>
        <v xml:space="preserve">774796012   </v>
      </c>
    </row>
    <row r="502" spans="1:25" x14ac:dyDescent="0.25">
      <c r="A502" t="s">
        <v>2343</v>
      </c>
      <c r="B502" t="s">
        <v>2344</v>
      </c>
      <c r="C502">
        <v>2019</v>
      </c>
      <c r="D502">
        <v>8001</v>
      </c>
      <c r="E502">
        <v>1</v>
      </c>
      <c r="F502" t="s">
        <v>2345</v>
      </c>
      <c r="G502">
        <v>26777569</v>
      </c>
      <c r="J502">
        <v>80.319999999999993</v>
      </c>
      <c r="L502">
        <v>44137811</v>
      </c>
      <c r="M502" s="1">
        <v>43957</v>
      </c>
      <c r="N502" t="str">
        <f>"J200506AW7"</f>
        <v>J200506AW7</v>
      </c>
      <c r="O502" t="s">
        <v>28</v>
      </c>
      <c r="Q502" t="s">
        <v>29</v>
      </c>
      <c r="R502" t="s">
        <v>28</v>
      </c>
      <c r="S502" t="s">
        <v>1828</v>
      </c>
      <c r="T502" t="s">
        <v>1829</v>
      </c>
      <c r="W502" t="s">
        <v>1830</v>
      </c>
      <c r="X502" t="s">
        <v>1831</v>
      </c>
      <c r="Y502" t="str">
        <f>"142401288"</f>
        <v>142401288</v>
      </c>
    </row>
    <row r="503" spans="1:25" x14ac:dyDescent="0.25">
      <c r="A503" t="s">
        <v>2346</v>
      </c>
      <c r="B503" t="s">
        <v>2347</v>
      </c>
      <c r="C503">
        <v>2019</v>
      </c>
      <c r="D503">
        <v>8001</v>
      </c>
      <c r="E503">
        <v>10</v>
      </c>
      <c r="F503" t="s">
        <v>2348</v>
      </c>
      <c r="G503">
        <v>28002805</v>
      </c>
      <c r="J503">
        <v>30.84</v>
      </c>
      <c r="L503">
        <v>44283316</v>
      </c>
      <c r="M503" s="1">
        <v>43987</v>
      </c>
      <c r="N503" t="str">
        <f>"J200605K2"</f>
        <v>J200605K2</v>
      </c>
      <c r="O503" t="s">
        <v>28</v>
      </c>
      <c r="Q503" t="s">
        <v>29</v>
      </c>
      <c r="R503" t="s">
        <v>28</v>
      </c>
      <c r="S503" t="s">
        <v>2349</v>
      </c>
      <c r="T503" t="s">
        <v>2350</v>
      </c>
      <c r="W503" t="s">
        <v>2351</v>
      </c>
      <c r="X503" t="s">
        <v>2352</v>
      </c>
      <c r="Y503" t="str">
        <f>"841193284"</f>
        <v>841193284</v>
      </c>
    </row>
    <row r="504" spans="1:25" x14ac:dyDescent="0.25">
      <c r="A504" t="s">
        <v>2353</v>
      </c>
      <c r="B504" t="s">
        <v>2354</v>
      </c>
      <c r="C504">
        <v>2020</v>
      </c>
      <c r="D504">
        <v>8001</v>
      </c>
      <c r="E504">
        <v>2</v>
      </c>
      <c r="F504" t="s">
        <v>2355</v>
      </c>
      <c r="G504">
        <v>28692840</v>
      </c>
      <c r="J504">
        <v>49.76</v>
      </c>
      <c r="L504">
        <v>47254552</v>
      </c>
      <c r="M504" s="1">
        <v>44292</v>
      </c>
      <c r="N504" t="str">
        <f>"RC210414"</f>
        <v>RC210414</v>
      </c>
      <c r="O504" t="s">
        <v>28</v>
      </c>
      <c r="Q504" t="s">
        <v>29</v>
      </c>
      <c r="R504" t="s">
        <v>28</v>
      </c>
      <c r="S504" t="s">
        <v>1019</v>
      </c>
      <c r="T504" t="s">
        <v>562</v>
      </c>
      <c r="W504" t="s">
        <v>563</v>
      </c>
      <c r="X504" t="s">
        <v>34</v>
      </c>
      <c r="Y504" t="str">
        <f>"750630156"</f>
        <v>750630156</v>
      </c>
    </row>
    <row r="505" spans="1:25" x14ac:dyDescent="0.25">
      <c r="A505" t="s">
        <v>2356</v>
      </c>
      <c r="B505" t="s">
        <v>2357</v>
      </c>
      <c r="C505">
        <v>2020</v>
      </c>
      <c r="D505">
        <v>8001</v>
      </c>
      <c r="E505">
        <v>1</v>
      </c>
      <c r="F505" t="s">
        <v>2358</v>
      </c>
      <c r="G505">
        <v>29037699</v>
      </c>
      <c r="J505">
        <v>765.25</v>
      </c>
      <c r="L505">
        <v>45313242</v>
      </c>
      <c r="M505" s="1">
        <v>44181</v>
      </c>
      <c r="N505" t="str">
        <f>"RC210107"</f>
        <v>RC210107</v>
      </c>
      <c r="O505" t="s">
        <v>28</v>
      </c>
      <c r="Q505" t="s">
        <v>29</v>
      </c>
      <c r="R505" t="s">
        <v>28</v>
      </c>
      <c r="S505" t="s">
        <v>2112</v>
      </c>
      <c r="T505" t="s">
        <v>2113</v>
      </c>
      <c r="U505" t="s">
        <v>2114</v>
      </c>
      <c r="W505" t="s">
        <v>244</v>
      </c>
      <c r="X505" t="s">
        <v>245</v>
      </c>
      <c r="Y505" t="str">
        <f>"48226"</f>
        <v>48226</v>
      </c>
    </row>
    <row r="506" spans="1:25" x14ac:dyDescent="0.25">
      <c r="A506" t="s">
        <v>2359</v>
      </c>
      <c r="B506" t="s">
        <v>2360</v>
      </c>
      <c r="C506">
        <v>2020</v>
      </c>
      <c r="D506">
        <v>8001</v>
      </c>
      <c r="E506">
        <v>2</v>
      </c>
      <c r="F506" t="s">
        <v>2361</v>
      </c>
      <c r="G506">
        <v>26727094</v>
      </c>
      <c r="J506">
        <v>78.05</v>
      </c>
      <c r="L506">
        <v>44975965</v>
      </c>
      <c r="M506" s="1">
        <v>44159</v>
      </c>
      <c r="N506" t="str">
        <f>"O201124AB1"</f>
        <v>O201124AB1</v>
      </c>
      <c r="O506" t="s">
        <v>28</v>
      </c>
      <c r="Q506" t="s">
        <v>29</v>
      </c>
      <c r="R506" t="s">
        <v>28</v>
      </c>
      <c r="S506" t="s">
        <v>380</v>
      </c>
      <c r="T506" t="s">
        <v>2362</v>
      </c>
      <c r="U506" t="s">
        <v>2363</v>
      </c>
      <c r="V506" t="s">
        <v>2364</v>
      </c>
      <c r="W506" t="s">
        <v>75</v>
      </c>
      <c r="X506" t="s">
        <v>34</v>
      </c>
      <c r="Y506" t="str">
        <f>"770273282"</f>
        <v>770273282</v>
      </c>
    </row>
    <row r="507" spans="1:25" x14ac:dyDescent="0.25">
      <c r="A507" t="s">
        <v>2365</v>
      </c>
      <c r="B507" t="s">
        <v>2366</v>
      </c>
      <c r="C507">
        <v>2020</v>
      </c>
      <c r="D507">
        <v>8001</v>
      </c>
      <c r="E507">
        <v>1</v>
      </c>
      <c r="F507" t="s">
        <v>2367</v>
      </c>
      <c r="G507">
        <v>0</v>
      </c>
      <c r="J507">
        <v>243.39</v>
      </c>
      <c r="L507">
        <v>45881346</v>
      </c>
      <c r="M507" s="1">
        <v>44207</v>
      </c>
      <c r="N507" t="str">
        <f>"L210111"</f>
        <v>L210111</v>
      </c>
      <c r="O507" t="s">
        <v>28</v>
      </c>
      <c r="Q507" t="s">
        <v>29</v>
      </c>
      <c r="R507" t="s">
        <v>28</v>
      </c>
      <c r="S507" t="s">
        <v>2367</v>
      </c>
      <c r="T507" t="s">
        <v>2368</v>
      </c>
      <c r="U507" t="s">
        <v>60</v>
      </c>
      <c r="V507" t="s">
        <v>60</v>
      </c>
      <c r="W507" t="s">
        <v>219</v>
      </c>
      <c r="X507" t="s">
        <v>34</v>
      </c>
      <c r="Y507" t="str">
        <f>"774796349   "</f>
        <v xml:space="preserve">774796349   </v>
      </c>
    </row>
    <row r="508" spans="1:25" x14ac:dyDescent="0.25">
      <c r="A508" t="s">
        <v>2369</v>
      </c>
      <c r="B508" t="s">
        <v>2370</v>
      </c>
      <c r="C508">
        <v>2020</v>
      </c>
      <c r="D508">
        <v>8001</v>
      </c>
      <c r="E508">
        <v>1</v>
      </c>
      <c r="F508" t="s">
        <v>2371</v>
      </c>
      <c r="G508">
        <v>0</v>
      </c>
      <c r="J508">
        <v>36</v>
      </c>
      <c r="L508">
        <v>45976421</v>
      </c>
      <c r="M508" s="1">
        <v>44210</v>
      </c>
      <c r="N508" t="str">
        <f>"L210114"</f>
        <v>L210114</v>
      </c>
      <c r="O508" t="s">
        <v>28</v>
      </c>
      <c r="Q508" t="s">
        <v>29</v>
      </c>
      <c r="R508" t="s">
        <v>28</v>
      </c>
      <c r="S508" t="s">
        <v>2371</v>
      </c>
      <c r="T508" t="s">
        <v>2372</v>
      </c>
      <c r="U508" t="s">
        <v>60</v>
      </c>
      <c r="V508" t="s">
        <v>60</v>
      </c>
      <c r="W508" t="s">
        <v>219</v>
      </c>
      <c r="X508" t="s">
        <v>34</v>
      </c>
      <c r="Y508" t="str">
        <f>"774791897   "</f>
        <v xml:space="preserve">774791897   </v>
      </c>
    </row>
    <row r="509" spans="1:25" x14ac:dyDescent="0.25">
      <c r="A509" t="s">
        <v>2373</v>
      </c>
      <c r="B509" t="s">
        <v>2374</v>
      </c>
      <c r="C509">
        <v>2021</v>
      </c>
      <c r="D509">
        <v>8001</v>
      </c>
      <c r="E509">
        <v>15</v>
      </c>
      <c r="F509" t="s">
        <v>2375</v>
      </c>
      <c r="G509">
        <v>24967226</v>
      </c>
      <c r="J509">
        <v>40.229999999999997</v>
      </c>
      <c r="L509">
        <v>47762208</v>
      </c>
      <c r="M509" s="1">
        <v>44516</v>
      </c>
      <c r="N509" t="str">
        <f>"TE211116"</f>
        <v>TE211116</v>
      </c>
      <c r="O509" t="s">
        <v>28</v>
      </c>
      <c r="Q509" t="s">
        <v>29</v>
      </c>
      <c r="R509" t="s">
        <v>28</v>
      </c>
      <c r="S509" t="s">
        <v>2376</v>
      </c>
      <c r="T509" t="s">
        <v>2377</v>
      </c>
      <c r="W509" t="s">
        <v>40</v>
      </c>
      <c r="X509" t="s">
        <v>34</v>
      </c>
      <c r="Y509" t="str">
        <f>"774791884"</f>
        <v>774791884</v>
      </c>
    </row>
    <row r="510" spans="1:25" x14ac:dyDescent="0.25">
      <c r="A510" t="s">
        <v>2378</v>
      </c>
      <c r="B510" t="s">
        <v>2379</v>
      </c>
      <c r="C510">
        <v>2020</v>
      </c>
      <c r="D510">
        <v>8001</v>
      </c>
      <c r="E510">
        <v>26</v>
      </c>
      <c r="F510" t="s">
        <v>2380</v>
      </c>
      <c r="G510">
        <v>0</v>
      </c>
      <c r="J510">
        <v>159.66999999999999</v>
      </c>
      <c r="L510">
        <v>44536004</v>
      </c>
      <c r="M510" s="1">
        <v>44147</v>
      </c>
      <c r="N510" t="str">
        <f>"TE201112"</f>
        <v>TE201112</v>
      </c>
      <c r="O510" t="s">
        <v>28</v>
      </c>
      <c r="Q510" t="s">
        <v>29</v>
      </c>
      <c r="R510" t="s">
        <v>28</v>
      </c>
      <c r="S510" t="s">
        <v>2380</v>
      </c>
      <c r="T510" t="s">
        <v>2381</v>
      </c>
      <c r="U510" t="s">
        <v>60</v>
      </c>
      <c r="V510" t="s">
        <v>60</v>
      </c>
      <c r="W510" t="s">
        <v>219</v>
      </c>
      <c r="X510" t="s">
        <v>34</v>
      </c>
      <c r="Y510" t="str">
        <f>"774791871   "</f>
        <v xml:space="preserve">774791871   </v>
      </c>
    </row>
    <row r="511" spans="1:25" x14ac:dyDescent="0.25">
      <c r="A511" t="s">
        <v>2378</v>
      </c>
      <c r="B511" t="s">
        <v>2379</v>
      </c>
      <c r="C511">
        <v>2020</v>
      </c>
      <c r="D511">
        <v>8001</v>
      </c>
      <c r="E511">
        <v>26</v>
      </c>
      <c r="F511" t="s">
        <v>2380</v>
      </c>
      <c r="G511">
        <v>0</v>
      </c>
      <c r="J511">
        <v>528.98</v>
      </c>
      <c r="L511">
        <v>44582459</v>
      </c>
      <c r="M511" s="1">
        <v>44147</v>
      </c>
      <c r="N511" t="str">
        <f>"TE201112"</f>
        <v>TE201112</v>
      </c>
      <c r="O511" t="s">
        <v>28</v>
      </c>
      <c r="Q511" t="s">
        <v>29</v>
      </c>
      <c r="R511" t="s">
        <v>28</v>
      </c>
      <c r="S511" t="s">
        <v>2380</v>
      </c>
      <c r="T511" t="s">
        <v>2381</v>
      </c>
      <c r="U511" t="s">
        <v>60</v>
      </c>
      <c r="V511" t="s">
        <v>60</v>
      </c>
      <c r="W511" t="s">
        <v>219</v>
      </c>
      <c r="X511" t="s">
        <v>34</v>
      </c>
      <c r="Y511" t="str">
        <f>"774791871   "</f>
        <v xml:space="preserve">774791871   </v>
      </c>
    </row>
    <row r="512" spans="1:25" x14ac:dyDescent="0.25">
      <c r="A512" t="s">
        <v>2382</v>
      </c>
      <c r="B512" t="s">
        <v>2383</v>
      </c>
      <c r="C512">
        <v>2021</v>
      </c>
      <c r="D512">
        <v>8001</v>
      </c>
      <c r="E512">
        <v>1</v>
      </c>
      <c r="F512" t="s">
        <v>2384</v>
      </c>
      <c r="G512">
        <v>26962220</v>
      </c>
      <c r="J512">
        <v>245.27</v>
      </c>
      <c r="L512">
        <v>49131031</v>
      </c>
      <c r="M512" s="1">
        <v>44573</v>
      </c>
      <c r="N512" t="str">
        <f>"RC220221"</f>
        <v>RC220221</v>
      </c>
      <c r="O512" t="s">
        <v>28</v>
      </c>
      <c r="Q512" t="s">
        <v>29</v>
      </c>
      <c r="R512" t="s">
        <v>28</v>
      </c>
      <c r="S512" t="s">
        <v>561</v>
      </c>
      <c r="T512" t="s">
        <v>1015</v>
      </c>
      <c r="W512" t="s">
        <v>563</v>
      </c>
      <c r="X512" t="s">
        <v>34</v>
      </c>
      <c r="Y512" t="str">
        <f>"750630156"</f>
        <v>750630156</v>
      </c>
    </row>
    <row r="513" spans="1:25" x14ac:dyDescent="0.25">
      <c r="A513" t="s">
        <v>2385</v>
      </c>
      <c r="B513" t="s">
        <v>2386</v>
      </c>
      <c r="C513">
        <v>2019</v>
      </c>
      <c r="D513">
        <v>8001</v>
      </c>
      <c r="E513">
        <v>1</v>
      </c>
      <c r="F513" t="s">
        <v>2387</v>
      </c>
      <c r="G513">
        <v>28198215</v>
      </c>
      <c r="J513">
        <v>255.86</v>
      </c>
      <c r="L513">
        <v>43644468</v>
      </c>
      <c r="M513" s="1">
        <v>43867</v>
      </c>
      <c r="N513" t="str">
        <f>"O200206F1"</f>
        <v>O200206F1</v>
      </c>
      <c r="O513" t="s">
        <v>28</v>
      </c>
      <c r="Q513" t="s">
        <v>29</v>
      </c>
      <c r="R513" t="s">
        <v>28</v>
      </c>
      <c r="S513" t="s">
        <v>380</v>
      </c>
      <c r="T513" t="s">
        <v>2388</v>
      </c>
      <c r="W513" t="s">
        <v>75</v>
      </c>
      <c r="X513" t="s">
        <v>34</v>
      </c>
      <c r="Y513" t="str">
        <f>"770273214"</f>
        <v>770273214</v>
      </c>
    </row>
    <row r="514" spans="1:25" x14ac:dyDescent="0.25">
      <c r="A514" t="s">
        <v>2389</v>
      </c>
      <c r="B514" t="s">
        <v>2390</v>
      </c>
      <c r="C514">
        <v>2020</v>
      </c>
      <c r="D514">
        <v>8001</v>
      </c>
      <c r="E514">
        <v>2</v>
      </c>
      <c r="F514" t="s">
        <v>2391</v>
      </c>
      <c r="G514">
        <v>29855875</v>
      </c>
      <c r="J514">
        <v>44.43</v>
      </c>
      <c r="L514">
        <v>47493672</v>
      </c>
      <c r="M514" s="1">
        <v>44350</v>
      </c>
      <c r="N514" t="str">
        <f>"EK210603"</f>
        <v>EK210603</v>
      </c>
      <c r="O514" t="s">
        <v>28</v>
      </c>
      <c r="Q514" t="s">
        <v>29</v>
      </c>
      <c r="R514" t="s">
        <v>28</v>
      </c>
      <c r="S514" t="s">
        <v>2392</v>
      </c>
      <c r="T514" t="s">
        <v>2393</v>
      </c>
      <c r="W514" t="s">
        <v>392</v>
      </c>
      <c r="X514" t="s">
        <v>34</v>
      </c>
      <c r="Y514" t="str">
        <f>"77459"</f>
        <v>77459</v>
      </c>
    </row>
    <row r="515" spans="1:25" x14ac:dyDescent="0.25">
      <c r="A515" t="s">
        <v>2394</v>
      </c>
      <c r="B515" t="s">
        <v>2395</v>
      </c>
      <c r="C515">
        <v>2019</v>
      </c>
      <c r="D515">
        <v>8001</v>
      </c>
      <c r="E515">
        <v>1</v>
      </c>
      <c r="F515" t="s">
        <v>2396</v>
      </c>
      <c r="G515">
        <v>0</v>
      </c>
      <c r="J515">
        <v>403.92</v>
      </c>
      <c r="L515">
        <v>42730308</v>
      </c>
      <c r="M515" s="1">
        <v>43838</v>
      </c>
      <c r="N515" t="str">
        <f>"L200108"</f>
        <v>L200108</v>
      </c>
      <c r="O515" t="s">
        <v>28</v>
      </c>
      <c r="Q515" t="s">
        <v>29</v>
      </c>
      <c r="R515" t="s">
        <v>28</v>
      </c>
      <c r="S515" t="s">
        <v>2396</v>
      </c>
      <c r="T515" t="s">
        <v>2397</v>
      </c>
      <c r="U515" t="s">
        <v>60</v>
      </c>
      <c r="V515" t="s">
        <v>60</v>
      </c>
      <c r="W515" t="s">
        <v>2398</v>
      </c>
      <c r="X515" t="s">
        <v>169</v>
      </c>
      <c r="Y515" t="str">
        <f>"802298204   "</f>
        <v xml:space="preserve">802298204   </v>
      </c>
    </row>
    <row r="516" spans="1:25" x14ac:dyDescent="0.25">
      <c r="A516" t="s">
        <v>2399</v>
      </c>
      <c r="B516" t="s">
        <v>2400</v>
      </c>
      <c r="C516">
        <v>2020</v>
      </c>
      <c r="D516">
        <v>8001</v>
      </c>
      <c r="E516">
        <v>2</v>
      </c>
      <c r="F516" t="s">
        <v>2401</v>
      </c>
      <c r="G516">
        <v>25961396</v>
      </c>
      <c r="J516">
        <v>26.87</v>
      </c>
      <c r="L516">
        <v>44858811</v>
      </c>
      <c r="M516" s="1">
        <v>44148</v>
      </c>
      <c r="N516" t="str">
        <f>"O201113BA7"</f>
        <v>O201113BA7</v>
      </c>
      <c r="O516" t="s">
        <v>28</v>
      </c>
      <c r="Q516" t="s">
        <v>29</v>
      </c>
      <c r="R516" t="s">
        <v>28</v>
      </c>
      <c r="S516" t="s">
        <v>2402</v>
      </c>
      <c r="T516" t="s">
        <v>2403</v>
      </c>
      <c r="U516" t="s">
        <v>2404</v>
      </c>
      <c r="W516" t="s">
        <v>2405</v>
      </c>
      <c r="X516" t="s">
        <v>2352</v>
      </c>
      <c r="Y516" t="str">
        <f>"84020"</f>
        <v>84020</v>
      </c>
    </row>
    <row r="517" spans="1:25" x14ac:dyDescent="0.25">
      <c r="A517" t="s">
        <v>2406</v>
      </c>
      <c r="B517" t="s">
        <v>2407</v>
      </c>
      <c r="C517">
        <v>2021</v>
      </c>
      <c r="D517">
        <v>8001</v>
      </c>
      <c r="E517">
        <v>1</v>
      </c>
      <c r="F517" t="s">
        <v>2408</v>
      </c>
      <c r="G517">
        <v>26419208</v>
      </c>
      <c r="J517">
        <v>361.87</v>
      </c>
      <c r="L517">
        <v>48228660</v>
      </c>
      <c r="M517" s="1">
        <v>44530</v>
      </c>
      <c r="N517" t="str">
        <f>"RC211222"</f>
        <v>RC211222</v>
      </c>
      <c r="O517" t="s">
        <v>28</v>
      </c>
      <c r="Q517" t="s">
        <v>29</v>
      </c>
      <c r="R517" t="s">
        <v>28</v>
      </c>
      <c r="S517" t="s">
        <v>1073</v>
      </c>
      <c r="T517" t="s">
        <v>1074</v>
      </c>
      <c r="W517" t="s">
        <v>1075</v>
      </c>
      <c r="X517" t="s">
        <v>34</v>
      </c>
      <c r="Y517" t="str">
        <f>"76177"</f>
        <v>76177</v>
      </c>
    </row>
    <row r="518" spans="1:25" x14ac:dyDescent="0.25">
      <c r="A518" t="s">
        <v>2409</v>
      </c>
      <c r="B518" t="s">
        <v>2410</v>
      </c>
      <c r="C518">
        <v>2020</v>
      </c>
      <c r="D518">
        <v>8001</v>
      </c>
      <c r="E518">
        <v>1</v>
      </c>
      <c r="F518" t="s">
        <v>2411</v>
      </c>
      <c r="G518">
        <v>0</v>
      </c>
      <c r="J518">
        <v>761.49</v>
      </c>
      <c r="L518">
        <v>44539531</v>
      </c>
      <c r="M518" s="1">
        <v>44147</v>
      </c>
      <c r="N518" t="str">
        <f>"TE201112"</f>
        <v>TE201112</v>
      </c>
      <c r="O518" t="s">
        <v>28</v>
      </c>
      <c r="Q518" t="s">
        <v>29</v>
      </c>
      <c r="R518" t="s">
        <v>28</v>
      </c>
      <c r="S518" t="s">
        <v>2411</v>
      </c>
      <c r="T518" t="s">
        <v>2412</v>
      </c>
      <c r="U518" t="s">
        <v>60</v>
      </c>
      <c r="V518" t="s">
        <v>60</v>
      </c>
      <c r="W518" t="s">
        <v>214</v>
      </c>
      <c r="X518" t="s">
        <v>34</v>
      </c>
      <c r="Y518" t="str">
        <f>"774074167   "</f>
        <v xml:space="preserve">774074167   </v>
      </c>
    </row>
    <row r="519" spans="1:25" x14ac:dyDescent="0.25">
      <c r="A519" t="s">
        <v>2409</v>
      </c>
      <c r="B519" t="s">
        <v>2410</v>
      </c>
      <c r="C519">
        <v>2021</v>
      </c>
      <c r="D519">
        <v>8001</v>
      </c>
      <c r="E519">
        <v>1</v>
      </c>
      <c r="F519" t="s">
        <v>2411</v>
      </c>
      <c r="G519">
        <v>0</v>
      </c>
      <c r="J519">
        <v>421.2</v>
      </c>
      <c r="L519">
        <v>48410957</v>
      </c>
      <c r="M519" s="1">
        <v>44540</v>
      </c>
      <c r="N519" t="str">
        <f>"O211210AT9"</f>
        <v>O211210AT9</v>
      </c>
      <c r="O519" t="s">
        <v>28</v>
      </c>
      <c r="Q519" t="s">
        <v>29</v>
      </c>
      <c r="R519" t="s">
        <v>28</v>
      </c>
      <c r="S519" t="s">
        <v>2411</v>
      </c>
      <c r="T519" t="s">
        <v>2412</v>
      </c>
      <c r="U519" t="s">
        <v>60</v>
      </c>
      <c r="V519" t="s">
        <v>60</v>
      </c>
      <c r="W519" t="s">
        <v>214</v>
      </c>
      <c r="X519" t="s">
        <v>34</v>
      </c>
      <c r="Y519" t="str">
        <f>"774074167   "</f>
        <v xml:space="preserve">774074167   </v>
      </c>
    </row>
    <row r="520" spans="1:25" x14ac:dyDescent="0.25">
      <c r="A520" t="s">
        <v>2413</v>
      </c>
      <c r="B520" t="s">
        <v>2414</v>
      </c>
      <c r="C520">
        <v>2019</v>
      </c>
      <c r="D520">
        <v>8001</v>
      </c>
      <c r="E520">
        <v>2</v>
      </c>
      <c r="F520" t="s">
        <v>2415</v>
      </c>
      <c r="G520">
        <v>24895475</v>
      </c>
      <c r="J520">
        <v>12.79</v>
      </c>
      <c r="L520">
        <v>44471141</v>
      </c>
      <c r="M520" s="1">
        <v>44048</v>
      </c>
      <c r="N520" t="str">
        <f>"J200805K10"</f>
        <v>J200805K10</v>
      </c>
      <c r="O520" t="s">
        <v>28</v>
      </c>
      <c r="Q520" t="s">
        <v>29</v>
      </c>
      <c r="R520" t="s">
        <v>28</v>
      </c>
      <c r="S520" t="s">
        <v>2416</v>
      </c>
      <c r="T520" t="s">
        <v>2417</v>
      </c>
      <c r="U520" t="s">
        <v>2418</v>
      </c>
      <c r="W520" t="s">
        <v>2419</v>
      </c>
      <c r="X520" t="s">
        <v>2175</v>
      </c>
      <c r="Y520" t="str">
        <f>"282199409"</f>
        <v>282199409</v>
      </c>
    </row>
    <row r="521" spans="1:25" x14ac:dyDescent="0.25">
      <c r="A521" t="s">
        <v>2420</v>
      </c>
      <c r="B521" t="s">
        <v>2421</v>
      </c>
      <c r="C521">
        <v>2021</v>
      </c>
      <c r="D521">
        <v>8001</v>
      </c>
      <c r="E521">
        <v>2</v>
      </c>
      <c r="F521" t="s">
        <v>2422</v>
      </c>
      <c r="G521">
        <v>0</v>
      </c>
      <c r="J521">
        <v>30</v>
      </c>
      <c r="L521">
        <v>50199952</v>
      </c>
      <c r="M521" s="1">
        <v>44614</v>
      </c>
      <c r="N521" t="str">
        <f>"O220222AO1"</f>
        <v>O220222AO1</v>
      </c>
      <c r="O521" t="s">
        <v>28</v>
      </c>
      <c r="Q521" t="s">
        <v>29</v>
      </c>
      <c r="R521" t="s">
        <v>28</v>
      </c>
      <c r="S521" t="s">
        <v>2422</v>
      </c>
      <c r="T521" t="s">
        <v>2423</v>
      </c>
      <c r="U521" t="s">
        <v>60</v>
      </c>
      <c r="V521" t="s">
        <v>60</v>
      </c>
      <c r="W521" t="s">
        <v>214</v>
      </c>
      <c r="X521" t="s">
        <v>34</v>
      </c>
      <c r="Y521" t="str">
        <f>"774071456   "</f>
        <v xml:space="preserve">774071456   </v>
      </c>
    </row>
    <row r="522" spans="1:25" x14ac:dyDescent="0.25">
      <c r="A522" t="s">
        <v>2424</v>
      </c>
      <c r="B522" t="s">
        <v>2425</v>
      </c>
      <c r="C522">
        <v>2019</v>
      </c>
      <c r="D522">
        <v>8001</v>
      </c>
      <c r="E522">
        <v>2</v>
      </c>
      <c r="F522" t="s">
        <v>2426</v>
      </c>
      <c r="G522">
        <v>25590022</v>
      </c>
      <c r="J522">
        <v>42.35</v>
      </c>
      <c r="L522">
        <v>44292350</v>
      </c>
      <c r="M522" s="1">
        <v>43991</v>
      </c>
      <c r="N522" t="str">
        <f>"J200609K2"</f>
        <v>J200609K2</v>
      </c>
      <c r="O522" t="s">
        <v>28</v>
      </c>
      <c r="Q522" t="s">
        <v>29</v>
      </c>
      <c r="R522" t="s">
        <v>28</v>
      </c>
      <c r="S522" t="s">
        <v>904</v>
      </c>
      <c r="T522" t="s">
        <v>243</v>
      </c>
      <c r="W522" t="s">
        <v>244</v>
      </c>
      <c r="X522" t="s">
        <v>245</v>
      </c>
      <c r="Y522" t="str">
        <f>"482261906"</f>
        <v>482261906</v>
      </c>
    </row>
    <row r="523" spans="1:25" x14ac:dyDescent="0.25">
      <c r="A523" t="s">
        <v>2427</v>
      </c>
      <c r="B523" t="s">
        <v>2428</v>
      </c>
      <c r="C523">
        <v>2021</v>
      </c>
      <c r="D523">
        <v>8001</v>
      </c>
      <c r="E523">
        <v>2</v>
      </c>
      <c r="F523" t="s">
        <v>2429</v>
      </c>
      <c r="G523">
        <v>31035973</v>
      </c>
      <c r="J523">
        <v>10</v>
      </c>
      <c r="L523">
        <v>49149330</v>
      </c>
      <c r="M523" s="1">
        <v>44573</v>
      </c>
      <c r="N523" t="str">
        <f>"RC220221"</f>
        <v>RC220221</v>
      </c>
      <c r="O523" t="s">
        <v>28</v>
      </c>
      <c r="Q523" t="s">
        <v>29</v>
      </c>
      <c r="R523" t="s">
        <v>28</v>
      </c>
      <c r="S523" t="s">
        <v>2430</v>
      </c>
      <c r="T523" t="s">
        <v>2431</v>
      </c>
      <c r="W523" t="s">
        <v>107</v>
      </c>
      <c r="X523" t="s">
        <v>34</v>
      </c>
      <c r="Y523" t="str">
        <f>"774944995"</f>
        <v>774944995</v>
      </c>
    </row>
    <row r="524" spans="1:25" x14ac:dyDescent="0.25">
      <c r="A524" t="s">
        <v>2432</v>
      </c>
      <c r="B524" t="s">
        <v>2433</v>
      </c>
      <c r="C524">
        <v>2020</v>
      </c>
      <c r="D524">
        <v>8001</v>
      </c>
      <c r="E524">
        <v>1</v>
      </c>
      <c r="F524" t="s">
        <v>2434</v>
      </c>
      <c r="G524">
        <v>29642211</v>
      </c>
      <c r="J524">
        <v>62.03</v>
      </c>
      <c r="L524">
        <v>47078233</v>
      </c>
      <c r="M524" s="1">
        <v>44266</v>
      </c>
      <c r="N524" t="str">
        <f>"RC210317"</f>
        <v>RC210317</v>
      </c>
      <c r="O524" t="s">
        <v>28</v>
      </c>
      <c r="Q524" t="s">
        <v>29</v>
      </c>
      <c r="R524" t="s">
        <v>28</v>
      </c>
      <c r="S524" t="s">
        <v>2435</v>
      </c>
      <c r="T524" t="s">
        <v>2418</v>
      </c>
      <c r="W524" t="s">
        <v>2419</v>
      </c>
      <c r="X524" t="s">
        <v>2175</v>
      </c>
      <c r="Y524" t="str">
        <f>"28219409"</f>
        <v>28219409</v>
      </c>
    </row>
    <row r="525" spans="1:25" x14ac:dyDescent="0.25">
      <c r="A525" t="s">
        <v>2436</v>
      </c>
      <c r="B525" t="s">
        <v>2437</v>
      </c>
      <c r="C525">
        <v>2020</v>
      </c>
      <c r="D525">
        <v>8001</v>
      </c>
      <c r="E525">
        <v>12</v>
      </c>
      <c r="F525" t="s">
        <v>2438</v>
      </c>
      <c r="G525">
        <v>28600715</v>
      </c>
      <c r="J525">
        <v>816.14</v>
      </c>
      <c r="L525">
        <v>44764514</v>
      </c>
      <c r="M525" s="1">
        <v>44147</v>
      </c>
      <c r="N525" t="str">
        <f>"TE201112"</f>
        <v>TE201112</v>
      </c>
      <c r="O525" t="s">
        <v>28</v>
      </c>
      <c r="Q525" t="s">
        <v>29</v>
      </c>
      <c r="R525" t="s">
        <v>28</v>
      </c>
      <c r="S525" t="s">
        <v>2439</v>
      </c>
      <c r="T525" t="s">
        <v>2440</v>
      </c>
      <c r="W525" t="s">
        <v>75</v>
      </c>
      <c r="X525" t="s">
        <v>34</v>
      </c>
      <c r="Y525" t="str">
        <f>"770028856"</f>
        <v>770028856</v>
      </c>
    </row>
    <row r="526" spans="1:25" x14ac:dyDescent="0.25">
      <c r="A526" t="s">
        <v>2441</v>
      </c>
      <c r="B526" t="s">
        <v>2442</v>
      </c>
      <c r="C526">
        <v>2020</v>
      </c>
      <c r="D526">
        <v>8001</v>
      </c>
      <c r="E526">
        <v>1</v>
      </c>
      <c r="F526" t="s">
        <v>2443</v>
      </c>
      <c r="G526">
        <v>29461711</v>
      </c>
      <c r="J526">
        <v>697.81</v>
      </c>
      <c r="L526">
        <v>46728711</v>
      </c>
      <c r="M526" s="1">
        <v>44230</v>
      </c>
      <c r="N526" t="str">
        <f>"EK210203"</f>
        <v>EK210203</v>
      </c>
      <c r="O526" t="s">
        <v>28</v>
      </c>
      <c r="Q526" t="s">
        <v>29</v>
      </c>
      <c r="R526" t="s">
        <v>28</v>
      </c>
      <c r="S526" t="s">
        <v>2444</v>
      </c>
      <c r="T526" t="s">
        <v>2445</v>
      </c>
      <c r="W526" t="s">
        <v>107</v>
      </c>
      <c r="X526" t="s">
        <v>34</v>
      </c>
      <c r="Y526" t="str">
        <f>"77494"</f>
        <v>77494</v>
      </c>
    </row>
    <row r="527" spans="1:25" x14ac:dyDescent="0.25">
      <c r="A527" t="s">
        <v>2446</v>
      </c>
      <c r="B527" t="s">
        <v>2447</v>
      </c>
      <c r="C527">
        <v>2021</v>
      </c>
      <c r="D527">
        <v>8001</v>
      </c>
      <c r="E527">
        <v>12</v>
      </c>
      <c r="F527" t="s">
        <v>2448</v>
      </c>
      <c r="G527">
        <v>0</v>
      </c>
      <c r="J527">
        <v>99.84</v>
      </c>
      <c r="L527">
        <v>47684947</v>
      </c>
      <c r="M527" s="1">
        <v>44516</v>
      </c>
      <c r="N527" t="str">
        <f>"TE211116"</f>
        <v>TE211116</v>
      </c>
      <c r="O527" t="s">
        <v>28</v>
      </c>
      <c r="Q527" t="s">
        <v>29</v>
      </c>
      <c r="R527" t="s">
        <v>28</v>
      </c>
      <c r="S527" t="s">
        <v>2448</v>
      </c>
      <c r="T527" t="s">
        <v>2449</v>
      </c>
      <c r="U527" t="s">
        <v>60</v>
      </c>
      <c r="V527" t="s">
        <v>60</v>
      </c>
      <c r="W527" t="s">
        <v>1333</v>
      </c>
      <c r="X527" t="s">
        <v>34</v>
      </c>
      <c r="Y527" t="str">
        <f>"774590041   "</f>
        <v xml:space="preserve">774590041   </v>
      </c>
    </row>
    <row r="528" spans="1:25" x14ac:dyDescent="0.25">
      <c r="A528" t="s">
        <v>2446</v>
      </c>
      <c r="B528" t="s">
        <v>2447</v>
      </c>
      <c r="C528">
        <v>2021</v>
      </c>
      <c r="D528">
        <v>8001</v>
      </c>
      <c r="E528">
        <v>12</v>
      </c>
      <c r="F528" t="s">
        <v>2448</v>
      </c>
      <c r="G528">
        <v>0</v>
      </c>
      <c r="J528">
        <v>114.76</v>
      </c>
      <c r="L528">
        <v>47766943</v>
      </c>
      <c r="M528" s="1">
        <v>44516</v>
      </c>
      <c r="N528" t="str">
        <f>"TE211116"</f>
        <v>TE211116</v>
      </c>
      <c r="O528" t="s">
        <v>28</v>
      </c>
      <c r="Q528" t="s">
        <v>29</v>
      </c>
      <c r="R528" t="s">
        <v>28</v>
      </c>
      <c r="S528" t="s">
        <v>2448</v>
      </c>
      <c r="T528" t="s">
        <v>2449</v>
      </c>
      <c r="U528" t="s">
        <v>60</v>
      </c>
      <c r="V528" t="s">
        <v>60</v>
      </c>
      <c r="W528" t="s">
        <v>1333</v>
      </c>
      <c r="X528" t="s">
        <v>34</v>
      </c>
      <c r="Y528" t="str">
        <f>"774590041   "</f>
        <v xml:space="preserve">774590041   </v>
      </c>
    </row>
    <row r="529" spans="1:25" x14ac:dyDescent="0.25">
      <c r="A529" t="s">
        <v>2450</v>
      </c>
      <c r="B529" t="s">
        <v>2451</v>
      </c>
      <c r="C529">
        <v>2020</v>
      </c>
      <c r="D529">
        <v>8001</v>
      </c>
      <c r="E529">
        <v>2</v>
      </c>
      <c r="F529" t="s">
        <v>2452</v>
      </c>
      <c r="G529">
        <v>24463478</v>
      </c>
      <c r="J529">
        <v>113.34</v>
      </c>
      <c r="L529">
        <v>47550429</v>
      </c>
      <c r="M529" s="1">
        <v>44371</v>
      </c>
      <c r="N529" t="str">
        <f>"O210624BE1"</f>
        <v>O210624BE1</v>
      </c>
      <c r="O529" t="s">
        <v>28</v>
      </c>
      <c r="Q529" t="s">
        <v>29</v>
      </c>
      <c r="R529" t="s">
        <v>28</v>
      </c>
      <c r="S529" t="s">
        <v>2453</v>
      </c>
      <c r="T529" t="s">
        <v>2454</v>
      </c>
      <c r="W529" t="s">
        <v>2455</v>
      </c>
      <c r="X529" t="s">
        <v>900</v>
      </c>
      <c r="Y529" t="str">
        <f>"605631198"</f>
        <v>605631198</v>
      </c>
    </row>
    <row r="530" spans="1:25" x14ac:dyDescent="0.25">
      <c r="A530" t="s">
        <v>2456</v>
      </c>
      <c r="B530" t="s">
        <v>2457</v>
      </c>
      <c r="C530">
        <v>2020</v>
      </c>
      <c r="D530">
        <v>8001</v>
      </c>
      <c r="E530">
        <v>1</v>
      </c>
      <c r="F530" t="s">
        <v>2458</v>
      </c>
      <c r="G530">
        <v>29461621</v>
      </c>
      <c r="J530">
        <v>205.73</v>
      </c>
      <c r="L530">
        <v>46728621</v>
      </c>
      <c r="M530" s="1">
        <v>44230</v>
      </c>
      <c r="N530" t="str">
        <f>"EK210203"</f>
        <v>EK210203</v>
      </c>
      <c r="O530" t="s">
        <v>28</v>
      </c>
      <c r="Q530" t="s">
        <v>29</v>
      </c>
      <c r="R530" t="s">
        <v>28</v>
      </c>
      <c r="S530" t="s">
        <v>2459</v>
      </c>
      <c r="T530" t="s">
        <v>2460</v>
      </c>
      <c r="W530" t="s">
        <v>81</v>
      </c>
      <c r="X530" t="s">
        <v>34</v>
      </c>
      <c r="Y530" t="str">
        <f>"77406"</f>
        <v>77406</v>
      </c>
    </row>
    <row r="531" spans="1:25" x14ac:dyDescent="0.25">
      <c r="A531" t="s">
        <v>2461</v>
      </c>
      <c r="B531" t="s">
        <v>2462</v>
      </c>
      <c r="C531">
        <v>2020</v>
      </c>
      <c r="D531">
        <v>8001</v>
      </c>
      <c r="E531">
        <v>1</v>
      </c>
      <c r="F531" t="s">
        <v>2463</v>
      </c>
      <c r="G531">
        <v>0</v>
      </c>
      <c r="J531">
        <v>132.44999999999999</v>
      </c>
      <c r="L531">
        <v>44755451</v>
      </c>
      <c r="M531" s="1">
        <v>44147</v>
      </c>
      <c r="N531" t="str">
        <f>"TE201112"</f>
        <v>TE201112</v>
      </c>
      <c r="O531" t="s">
        <v>28</v>
      </c>
      <c r="Q531" t="s">
        <v>29</v>
      </c>
      <c r="R531" t="s">
        <v>28</v>
      </c>
      <c r="S531" t="s">
        <v>2463</v>
      </c>
      <c r="T531" t="s">
        <v>2464</v>
      </c>
      <c r="U531" t="s">
        <v>60</v>
      </c>
      <c r="V531" t="s">
        <v>60</v>
      </c>
      <c r="W531" t="s">
        <v>2465</v>
      </c>
      <c r="X531" t="s">
        <v>34</v>
      </c>
      <c r="Y531" t="str">
        <f>"786103675   "</f>
        <v xml:space="preserve">786103675   </v>
      </c>
    </row>
    <row r="532" spans="1:25" x14ac:dyDescent="0.25">
      <c r="A532" t="s">
        <v>2466</v>
      </c>
      <c r="B532" t="s">
        <v>2467</v>
      </c>
      <c r="C532">
        <v>2019</v>
      </c>
      <c r="D532">
        <v>8001</v>
      </c>
      <c r="E532">
        <v>1</v>
      </c>
      <c r="F532" t="s">
        <v>2468</v>
      </c>
      <c r="G532">
        <v>28310294</v>
      </c>
      <c r="J532">
        <v>22.79</v>
      </c>
      <c r="L532">
        <v>43887115</v>
      </c>
      <c r="M532" s="1">
        <v>43895</v>
      </c>
      <c r="N532" t="str">
        <f>"CC200305"</f>
        <v>CC200305</v>
      </c>
      <c r="O532" t="s">
        <v>28</v>
      </c>
      <c r="Q532" t="s">
        <v>29</v>
      </c>
      <c r="R532" t="s">
        <v>28</v>
      </c>
      <c r="S532" t="s">
        <v>2469</v>
      </c>
      <c r="T532" t="s">
        <v>2470</v>
      </c>
      <c r="W532" t="s">
        <v>1160</v>
      </c>
      <c r="X532" t="s">
        <v>34</v>
      </c>
      <c r="Y532" t="str">
        <f>"775457753"</f>
        <v>775457753</v>
      </c>
    </row>
    <row r="533" spans="1:25" x14ac:dyDescent="0.25">
      <c r="A533" t="s">
        <v>2471</v>
      </c>
      <c r="B533" t="s">
        <v>2472</v>
      </c>
      <c r="C533">
        <v>2020</v>
      </c>
      <c r="D533">
        <v>8001</v>
      </c>
      <c r="E533">
        <v>3</v>
      </c>
      <c r="F533" t="s">
        <v>2473</v>
      </c>
      <c r="G533">
        <v>28749769</v>
      </c>
      <c r="J533">
        <v>7.19</v>
      </c>
      <c r="L533">
        <v>44773772</v>
      </c>
      <c r="M533" s="1">
        <v>44140</v>
      </c>
      <c r="N533" t="str">
        <f>"CC301105"</f>
        <v>CC301105</v>
      </c>
      <c r="O533" t="s">
        <v>28</v>
      </c>
      <c r="Q533" t="s">
        <v>29</v>
      </c>
      <c r="R533" t="s">
        <v>28</v>
      </c>
      <c r="S533" t="s">
        <v>2474</v>
      </c>
      <c r="T533" t="s">
        <v>2475</v>
      </c>
      <c r="W533" t="s">
        <v>81</v>
      </c>
      <c r="X533" t="s">
        <v>34</v>
      </c>
      <c r="Y533" t="str">
        <f>"77469"</f>
        <v>77469</v>
      </c>
    </row>
    <row r="534" spans="1:25" x14ac:dyDescent="0.25">
      <c r="A534" t="s">
        <v>2476</v>
      </c>
      <c r="B534" t="s">
        <v>2477</v>
      </c>
      <c r="C534">
        <v>2020</v>
      </c>
      <c r="D534">
        <v>8001</v>
      </c>
      <c r="E534">
        <v>1</v>
      </c>
      <c r="F534" t="s">
        <v>2478</v>
      </c>
      <c r="G534">
        <v>24797788</v>
      </c>
      <c r="J534">
        <v>849.96</v>
      </c>
      <c r="L534">
        <v>46910219</v>
      </c>
      <c r="M534" s="1">
        <v>44239</v>
      </c>
      <c r="N534" t="str">
        <f>"O210212AB1"</f>
        <v>O210212AB1</v>
      </c>
      <c r="O534" t="s">
        <v>28</v>
      </c>
      <c r="Q534" t="s">
        <v>29</v>
      </c>
      <c r="R534" t="s">
        <v>28</v>
      </c>
      <c r="S534" t="s">
        <v>2479</v>
      </c>
      <c r="T534" t="s">
        <v>2480</v>
      </c>
      <c r="W534" t="s">
        <v>2481</v>
      </c>
      <c r="X534" t="s">
        <v>34</v>
      </c>
      <c r="Y534" t="str">
        <f>"77423"</f>
        <v>77423</v>
      </c>
    </row>
    <row r="535" spans="1:25" x14ac:dyDescent="0.25">
      <c r="A535" t="s">
        <v>2482</v>
      </c>
      <c r="B535" t="s">
        <v>2483</v>
      </c>
      <c r="C535">
        <v>2020</v>
      </c>
      <c r="D535">
        <v>8001</v>
      </c>
      <c r="E535">
        <v>2</v>
      </c>
      <c r="F535" t="s">
        <v>2484</v>
      </c>
      <c r="G535">
        <v>29749959</v>
      </c>
      <c r="J535">
        <v>422.35</v>
      </c>
      <c r="L535">
        <v>47301742</v>
      </c>
      <c r="M535" s="1">
        <v>44301</v>
      </c>
      <c r="N535" t="str">
        <f>"O210415D9"</f>
        <v>O210415D9</v>
      </c>
      <c r="O535" t="s">
        <v>28</v>
      </c>
      <c r="Q535" t="s">
        <v>29</v>
      </c>
      <c r="R535" t="s">
        <v>28</v>
      </c>
      <c r="S535" t="s">
        <v>2485</v>
      </c>
      <c r="T535" t="s">
        <v>2486</v>
      </c>
      <c r="W535" t="s">
        <v>193</v>
      </c>
      <c r="X535" t="s">
        <v>34</v>
      </c>
      <c r="Y535" t="str">
        <f>"774113727"</f>
        <v>774113727</v>
      </c>
    </row>
    <row r="536" spans="1:25" x14ac:dyDescent="0.25">
      <c r="A536" t="s">
        <v>2487</v>
      </c>
      <c r="B536" t="s">
        <v>2488</v>
      </c>
      <c r="C536">
        <v>2021</v>
      </c>
      <c r="D536">
        <v>8001</v>
      </c>
      <c r="E536">
        <v>1</v>
      </c>
      <c r="F536" t="s">
        <v>2489</v>
      </c>
      <c r="G536">
        <v>26419208</v>
      </c>
      <c r="J536">
        <v>603.88</v>
      </c>
      <c r="L536">
        <v>48244941</v>
      </c>
      <c r="M536" s="1">
        <v>44530</v>
      </c>
      <c r="N536" t="str">
        <f>"RC211222"</f>
        <v>RC211222</v>
      </c>
      <c r="O536" t="s">
        <v>28</v>
      </c>
      <c r="Q536" t="s">
        <v>29</v>
      </c>
      <c r="R536" t="s">
        <v>28</v>
      </c>
      <c r="S536" t="s">
        <v>1073</v>
      </c>
      <c r="T536" t="s">
        <v>1074</v>
      </c>
      <c r="W536" t="s">
        <v>1075</v>
      </c>
      <c r="X536" t="s">
        <v>34</v>
      </c>
      <c r="Y536" t="str">
        <f>"76177"</f>
        <v>76177</v>
      </c>
    </row>
    <row r="537" spans="1:25" x14ac:dyDescent="0.25">
      <c r="A537" t="s">
        <v>2490</v>
      </c>
      <c r="B537" t="s">
        <v>2491</v>
      </c>
      <c r="C537">
        <v>2020</v>
      </c>
      <c r="D537">
        <v>8001</v>
      </c>
      <c r="E537">
        <v>1</v>
      </c>
      <c r="F537" t="s">
        <v>2492</v>
      </c>
      <c r="G537">
        <v>26731341</v>
      </c>
      <c r="J537">
        <v>62.87</v>
      </c>
      <c r="L537">
        <v>47682221</v>
      </c>
      <c r="M537" s="1">
        <v>44414</v>
      </c>
      <c r="N537" t="str">
        <f>"RC210810"</f>
        <v>RC210810</v>
      </c>
      <c r="O537" t="s">
        <v>28</v>
      </c>
      <c r="Q537" t="s">
        <v>29</v>
      </c>
      <c r="R537" t="s">
        <v>28</v>
      </c>
      <c r="S537" t="s">
        <v>380</v>
      </c>
      <c r="T537" t="s">
        <v>2362</v>
      </c>
      <c r="U537" t="s">
        <v>2363</v>
      </c>
      <c r="V537" t="s">
        <v>2493</v>
      </c>
      <c r="W537" t="s">
        <v>107</v>
      </c>
      <c r="X537" t="s">
        <v>34</v>
      </c>
      <c r="Y537" t="str">
        <f>"77494"</f>
        <v>77494</v>
      </c>
    </row>
    <row r="538" spans="1:25" x14ac:dyDescent="0.25">
      <c r="A538" t="s">
        <v>2494</v>
      </c>
      <c r="B538" t="s">
        <v>2495</v>
      </c>
      <c r="C538">
        <v>2020</v>
      </c>
      <c r="D538">
        <v>8001</v>
      </c>
      <c r="E538">
        <v>1</v>
      </c>
      <c r="F538" t="s">
        <v>2496</v>
      </c>
      <c r="G538">
        <v>0</v>
      </c>
      <c r="J538">
        <v>730.46</v>
      </c>
      <c r="L538">
        <v>46861420</v>
      </c>
      <c r="M538" s="1">
        <v>44235</v>
      </c>
      <c r="N538" t="str">
        <f>"L210208"</f>
        <v>L210208</v>
      </c>
      <c r="O538" t="s">
        <v>28</v>
      </c>
      <c r="Q538" t="s">
        <v>29</v>
      </c>
      <c r="R538" t="s">
        <v>28</v>
      </c>
      <c r="S538" t="s">
        <v>2496</v>
      </c>
      <c r="T538" t="s">
        <v>2497</v>
      </c>
      <c r="U538" t="s">
        <v>60</v>
      </c>
      <c r="V538" t="s">
        <v>60</v>
      </c>
      <c r="W538" t="s">
        <v>273</v>
      </c>
      <c r="X538" t="s">
        <v>34</v>
      </c>
      <c r="Y538" t="str">
        <f>"774413724   "</f>
        <v xml:space="preserve">774413724   </v>
      </c>
    </row>
    <row r="539" spans="1:25" x14ac:dyDescent="0.25">
      <c r="A539" t="s">
        <v>2498</v>
      </c>
      <c r="B539" t="s">
        <v>2499</v>
      </c>
      <c r="C539">
        <v>2020</v>
      </c>
      <c r="D539">
        <v>8001</v>
      </c>
      <c r="E539">
        <v>1</v>
      </c>
      <c r="F539" t="s">
        <v>2500</v>
      </c>
      <c r="G539">
        <v>0</v>
      </c>
      <c r="J539">
        <v>366.37</v>
      </c>
      <c r="L539">
        <v>46471481</v>
      </c>
      <c r="M539" s="1">
        <v>44225</v>
      </c>
      <c r="N539" t="str">
        <f>"O210129AS6"</f>
        <v>O210129AS6</v>
      </c>
      <c r="O539" t="s">
        <v>28</v>
      </c>
      <c r="Q539" t="s">
        <v>29</v>
      </c>
      <c r="R539" t="s">
        <v>28</v>
      </c>
      <c r="S539" t="s">
        <v>2500</v>
      </c>
      <c r="T539" t="s">
        <v>2501</v>
      </c>
      <c r="U539" t="s">
        <v>60</v>
      </c>
      <c r="V539" t="s">
        <v>60</v>
      </c>
      <c r="W539" t="s">
        <v>2502</v>
      </c>
      <c r="X539" t="s">
        <v>34</v>
      </c>
      <c r="Y539" t="str">
        <f>"775457472   "</f>
        <v xml:space="preserve">775457472   </v>
      </c>
    </row>
    <row r="540" spans="1:25" x14ac:dyDescent="0.25">
      <c r="A540" t="s">
        <v>2503</v>
      </c>
      <c r="B540" t="s">
        <v>2504</v>
      </c>
      <c r="C540">
        <v>2019</v>
      </c>
      <c r="D540">
        <v>8001</v>
      </c>
      <c r="E540">
        <v>1</v>
      </c>
      <c r="F540" t="s">
        <v>2505</v>
      </c>
      <c r="G540">
        <v>28298297</v>
      </c>
      <c r="J540">
        <v>39.04</v>
      </c>
      <c r="L540">
        <v>43864413</v>
      </c>
      <c r="M540" s="1">
        <v>43893</v>
      </c>
      <c r="N540" t="str">
        <f>"EK400303"</f>
        <v>EK400303</v>
      </c>
      <c r="O540" t="s">
        <v>28</v>
      </c>
      <c r="Q540" t="s">
        <v>29</v>
      </c>
      <c r="R540" t="s">
        <v>28</v>
      </c>
      <c r="S540" t="s">
        <v>2506</v>
      </c>
      <c r="T540" t="s">
        <v>2507</v>
      </c>
      <c r="W540" t="s">
        <v>1160</v>
      </c>
      <c r="X540" t="s">
        <v>34</v>
      </c>
      <c r="Y540" t="str">
        <f>"77545"</f>
        <v>77545</v>
      </c>
    </row>
    <row r="541" spans="1:25" x14ac:dyDescent="0.25">
      <c r="A541" t="s">
        <v>2508</v>
      </c>
      <c r="B541" t="s">
        <v>2509</v>
      </c>
      <c r="C541">
        <v>2020</v>
      </c>
      <c r="D541">
        <v>8001</v>
      </c>
      <c r="E541">
        <v>1</v>
      </c>
      <c r="F541" t="s">
        <v>2510</v>
      </c>
      <c r="G541">
        <v>29907759</v>
      </c>
      <c r="J541">
        <v>423.58</v>
      </c>
      <c r="L541">
        <v>47557319</v>
      </c>
      <c r="M541" s="1">
        <v>44375</v>
      </c>
      <c r="N541" t="str">
        <f>"RC210706"</f>
        <v>RC210706</v>
      </c>
      <c r="O541" t="s">
        <v>28</v>
      </c>
      <c r="Q541" t="s">
        <v>29</v>
      </c>
      <c r="R541" t="s">
        <v>28</v>
      </c>
      <c r="S541" t="s">
        <v>2511</v>
      </c>
      <c r="T541" t="s">
        <v>2512</v>
      </c>
      <c r="W541" t="s">
        <v>75</v>
      </c>
      <c r="X541" t="s">
        <v>34</v>
      </c>
      <c r="Y541" t="str">
        <f>"77027"</f>
        <v>77027</v>
      </c>
    </row>
    <row r="542" spans="1:25" x14ac:dyDescent="0.25">
      <c r="A542" t="s">
        <v>2513</v>
      </c>
      <c r="B542" t="s">
        <v>2514</v>
      </c>
      <c r="C542">
        <v>2019</v>
      </c>
      <c r="D542">
        <v>8001</v>
      </c>
      <c r="E542">
        <v>1</v>
      </c>
      <c r="F542" t="s">
        <v>2515</v>
      </c>
      <c r="G542">
        <v>21099934</v>
      </c>
      <c r="J542">
        <v>20</v>
      </c>
      <c r="L542">
        <v>42551018</v>
      </c>
      <c r="M542" s="1">
        <v>43832</v>
      </c>
      <c r="N542" t="str">
        <f>"O200102U1"</f>
        <v>O200102U1</v>
      </c>
      <c r="O542" t="s">
        <v>28</v>
      </c>
      <c r="Q542" t="s">
        <v>29</v>
      </c>
      <c r="R542" t="s">
        <v>28</v>
      </c>
      <c r="S542" t="s">
        <v>2516</v>
      </c>
      <c r="T542" t="s">
        <v>2517</v>
      </c>
      <c r="U542" t="s">
        <v>2518</v>
      </c>
      <c r="W542" t="s">
        <v>40</v>
      </c>
      <c r="X542" t="s">
        <v>34</v>
      </c>
      <c r="Y542" t="str">
        <f>"774982872"</f>
        <v>774982872</v>
      </c>
    </row>
    <row r="543" spans="1:25" x14ac:dyDescent="0.25">
      <c r="A543" t="s">
        <v>2519</v>
      </c>
      <c r="B543" t="s">
        <v>2520</v>
      </c>
      <c r="C543">
        <v>2019</v>
      </c>
      <c r="D543">
        <v>8001</v>
      </c>
      <c r="E543">
        <v>1</v>
      </c>
      <c r="F543" t="s">
        <v>2521</v>
      </c>
      <c r="G543">
        <v>28298276</v>
      </c>
      <c r="J543">
        <v>18.98</v>
      </c>
      <c r="L543">
        <v>43864392</v>
      </c>
      <c r="M543" s="1">
        <v>43893</v>
      </c>
      <c r="N543" t="str">
        <f>"EK400303"</f>
        <v>EK400303</v>
      </c>
      <c r="O543" t="s">
        <v>28</v>
      </c>
      <c r="Q543" t="s">
        <v>29</v>
      </c>
      <c r="R543" t="s">
        <v>28</v>
      </c>
      <c r="S543" t="s">
        <v>2522</v>
      </c>
      <c r="T543" t="s">
        <v>2523</v>
      </c>
      <c r="W543" t="s">
        <v>392</v>
      </c>
      <c r="X543" t="s">
        <v>34</v>
      </c>
      <c r="Y543" t="str">
        <f>"77459"</f>
        <v>77459</v>
      </c>
    </row>
    <row r="544" spans="1:25" x14ac:dyDescent="0.25">
      <c r="A544" t="s">
        <v>2524</v>
      </c>
      <c r="B544" t="s">
        <v>2525</v>
      </c>
      <c r="C544">
        <v>2020</v>
      </c>
      <c r="D544">
        <v>8001</v>
      </c>
      <c r="E544">
        <v>1</v>
      </c>
      <c r="F544" t="s">
        <v>2526</v>
      </c>
      <c r="G544">
        <v>29461641</v>
      </c>
      <c r="J544">
        <v>45.05</v>
      </c>
      <c r="L544">
        <v>46728641</v>
      </c>
      <c r="M544" s="1">
        <v>44230</v>
      </c>
      <c r="N544" t="str">
        <f>"EK210203"</f>
        <v>EK210203</v>
      </c>
      <c r="O544" t="s">
        <v>28</v>
      </c>
      <c r="Q544" t="s">
        <v>29</v>
      </c>
      <c r="R544" t="s">
        <v>28</v>
      </c>
      <c r="S544" t="s">
        <v>2527</v>
      </c>
      <c r="T544" t="s">
        <v>2528</v>
      </c>
      <c r="W544" t="s">
        <v>1160</v>
      </c>
      <c r="X544" t="s">
        <v>34</v>
      </c>
      <c r="Y544" t="str">
        <f>"77545"</f>
        <v>77545</v>
      </c>
    </row>
    <row r="545" spans="1:25" x14ac:dyDescent="0.25">
      <c r="A545" t="s">
        <v>2529</v>
      </c>
      <c r="B545" t="s">
        <v>2530</v>
      </c>
      <c r="C545">
        <v>2020</v>
      </c>
      <c r="D545">
        <v>8001</v>
      </c>
      <c r="E545">
        <v>3</v>
      </c>
      <c r="F545" t="s">
        <v>2531</v>
      </c>
      <c r="G545">
        <v>0</v>
      </c>
      <c r="J545">
        <v>89.87</v>
      </c>
      <c r="L545">
        <v>47697372</v>
      </c>
      <c r="M545" s="1">
        <v>44421</v>
      </c>
      <c r="N545" t="str">
        <f>"L210813"</f>
        <v>L210813</v>
      </c>
      <c r="O545" t="s">
        <v>28</v>
      </c>
      <c r="Q545" t="s">
        <v>29</v>
      </c>
      <c r="R545" t="s">
        <v>28</v>
      </c>
      <c r="S545" t="s">
        <v>2531</v>
      </c>
      <c r="T545" t="s">
        <v>2532</v>
      </c>
      <c r="U545" t="s">
        <v>60</v>
      </c>
      <c r="V545" t="s">
        <v>60</v>
      </c>
      <c r="W545" t="s">
        <v>2502</v>
      </c>
      <c r="X545" t="s">
        <v>34</v>
      </c>
      <c r="Y545" t="str">
        <f>"775457821   "</f>
        <v xml:space="preserve">775457821   </v>
      </c>
    </row>
    <row r="546" spans="1:25" x14ac:dyDescent="0.25">
      <c r="A546" t="s">
        <v>2533</v>
      </c>
      <c r="B546" t="s">
        <v>2534</v>
      </c>
      <c r="C546">
        <v>2019</v>
      </c>
      <c r="D546">
        <v>8001</v>
      </c>
      <c r="E546">
        <v>1</v>
      </c>
      <c r="F546" t="s">
        <v>2535</v>
      </c>
      <c r="G546">
        <v>0</v>
      </c>
      <c r="J546">
        <v>13.06</v>
      </c>
      <c r="L546">
        <v>44137702</v>
      </c>
      <c r="M546" s="1">
        <v>43957</v>
      </c>
      <c r="N546" t="str">
        <f>"J200506AW6"</f>
        <v>J200506AW6</v>
      </c>
      <c r="O546" t="s">
        <v>28</v>
      </c>
      <c r="Q546" t="s">
        <v>29</v>
      </c>
      <c r="R546" t="s">
        <v>28</v>
      </c>
      <c r="S546" t="s">
        <v>2535</v>
      </c>
      <c r="T546" t="s">
        <v>2536</v>
      </c>
      <c r="U546" t="s">
        <v>60</v>
      </c>
      <c r="V546" t="s">
        <v>60</v>
      </c>
      <c r="W546" t="s">
        <v>2537</v>
      </c>
      <c r="X546" t="s">
        <v>2538</v>
      </c>
      <c r="Y546" t="str">
        <f>"870089478   "</f>
        <v xml:space="preserve">870089478   </v>
      </c>
    </row>
    <row r="547" spans="1:25" x14ac:dyDescent="0.25">
      <c r="A547" t="s">
        <v>2539</v>
      </c>
      <c r="B547" t="s">
        <v>2540</v>
      </c>
      <c r="C547">
        <v>2021</v>
      </c>
      <c r="D547">
        <v>8001</v>
      </c>
      <c r="E547">
        <v>2</v>
      </c>
      <c r="F547" t="s">
        <v>2541</v>
      </c>
      <c r="G547">
        <v>0</v>
      </c>
      <c r="J547">
        <v>8</v>
      </c>
      <c r="L547">
        <v>48810096</v>
      </c>
      <c r="M547" s="1">
        <v>44560</v>
      </c>
      <c r="N547" t="str">
        <f>"O211230AG5"</f>
        <v>O211230AG5</v>
      </c>
      <c r="O547" t="s">
        <v>28</v>
      </c>
      <c r="Q547" t="s">
        <v>29</v>
      </c>
      <c r="R547" t="s">
        <v>28</v>
      </c>
      <c r="S547" t="s">
        <v>2541</v>
      </c>
      <c r="T547" t="s">
        <v>2542</v>
      </c>
      <c r="U547" t="s">
        <v>60</v>
      </c>
      <c r="V547" t="s">
        <v>60</v>
      </c>
      <c r="W547" t="s">
        <v>2502</v>
      </c>
      <c r="X547" t="s">
        <v>34</v>
      </c>
      <c r="Y547" t="str">
        <f>"775457426   "</f>
        <v xml:space="preserve">775457426   </v>
      </c>
    </row>
    <row r="548" spans="1:25" x14ac:dyDescent="0.25">
      <c r="A548" t="s">
        <v>2543</v>
      </c>
      <c r="B548" t="s">
        <v>2544</v>
      </c>
      <c r="C548">
        <v>2020</v>
      </c>
      <c r="D548">
        <v>8001</v>
      </c>
      <c r="E548">
        <v>2</v>
      </c>
      <c r="F548" t="s">
        <v>2545</v>
      </c>
      <c r="G548">
        <v>24314221</v>
      </c>
      <c r="J548">
        <v>27.15</v>
      </c>
      <c r="L548">
        <v>47379078</v>
      </c>
      <c r="M548" s="1">
        <v>44322</v>
      </c>
      <c r="N548" t="str">
        <f>"RC210512"</f>
        <v>RC210512</v>
      </c>
      <c r="O548" t="s">
        <v>28</v>
      </c>
      <c r="Q548" t="s">
        <v>29</v>
      </c>
      <c r="R548" t="s">
        <v>28</v>
      </c>
      <c r="S548" t="s">
        <v>1326</v>
      </c>
      <c r="T548" t="s">
        <v>1327</v>
      </c>
      <c r="W548" t="s">
        <v>1328</v>
      </c>
      <c r="X548" t="s">
        <v>162</v>
      </c>
      <c r="Y548" t="str">
        <f>"080541287"</f>
        <v>080541287</v>
      </c>
    </row>
    <row r="549" spans="1:25" x14ac:dyDescent="0.25">
      <c r="A549" t="s">
        <v>2546</v>
      </c>
      <c r="B549" t="s">
        <v>2547</v>
      </c>
      <c r="C549">
        <v>2020</v>
      </c>
      <c r="D549">
        <v>8001</v>
      </c>
      <c r="E549">
        <v>1</v>
      </c>
      <c r="F549" t="s">
        <v>2548</v>
      </c>
      <c r="G549">
        <v>26468754</v>
      </c>
      <c r="J549">
        <v>50.7</v>
      </c>
      <c r="L549">
        <v>47046525</v>
      </c>
      <c r="M549" s="1">
        <v>44260</v>
      </c>
      <c r="N549" t="str">
        <f>"RC210310"</f>
        <v>RC210310</v>
      </c>
      <c r="O549" t="s">
        <v>28</v>
      </c>
      <c r="Q549" t="s">
        <v>29</v>
      </c>
      <c r="R549" t="s">
        <v>28</v>
      </c>
      <c r="S549" t="s">
        <v>2549</v>
      </c>
      <c r="T549" t="s">
        <v>2550</v>
      </c>
      <c r="W549" t="s">
        <v>2551</v>
      </c>
      <c r="X549" t="s">
        <v>317</v>
      </c>
      <c r="Y549" t="str">
        <f>"90620"</f>
        <v>90620</v>
      </c>
    </row>
    <row r="550" spans="1:25" x14ac:dyDescent="0.25">
      <c r="A550" t="s">
        <v>2552</v>
      </c>
      <c r="B550" t="s">
        <v>2553</v>
      </c>
      <c r="C550">
        <v>2021</v>
      </c>
      <c r="D550">
        <v>8001</v>
      </c>
      <c r="E550">
        <v>1</v>
      </c>
      <c r="F550" t="s">
        <v>2554</v>
      </c>
      <c r="G550">
        <v>0</v>
      </c>
      <c r="J550">
        <v>16.37</v>
      </c>
      <c r="L550">
        <v>49600640</v>
      </c>
      <c r="M550" s="1">
        <v>44588</v>
      </c>
      <c r="N550" t="str">
        <f>"EL220127"</f>
        <v>EL220127</v>
      </c>
      <c r="O550" t="s">
        <v>28</v>
      </c>
      <c r="Q550" t="s">
        <v>29</v>
      </c>
      <c r="R550" t="s">
        <v>28</v>
      </c>
      <c r="S550" t="s">
        <v>2554</v>
      </c>
      <c r="T550" t="s">
        <v>2555</v>
      </c>
      <c r="U550" t="s">
        <v>60</v>
      </c>
      <c r="V550" t="s">
        <v>60</v>
      </c>
      <c r="W550" t="s">
        <v>135</v>
      </c>
      <c r="X550" t="s">
        <v>34</v>
      </c>
      <c r="Y550" t="str">
        <f>"770926244   "</f>
        <v xml:space="preserve">770926244   </v>
      </c>
    </row>
    <row r="551" spans="1:25" x14ac:dyDescent="0.25">
      <c r="A551" t="s">
        <v>2556</v>
      </c>
      <c r="B551" t="s">
        <v>2557</v>
      </c>
      <c r="C551">
        <v>2020</v>
      </c>
      <c r="D551">
        <v>8001</v>
      </c>
      <c r="E551">
        <v>1</v>
      </c>
      <c r="F551" t="s">
        <v>2558</v>
      </c>
      <c r="G551">
        <v>29461867</v>
      </c>
      <c r="J551">
        <v>274.16000000000003</v>
      </c>
      <c r="L551">
        <v>46728867</v>
      </c>
      <c r="M551" s="1">
        <v>44230</v>
      </c>
      <c r="N551" t="str">
        <f>"EK210203"</f>
        <v>EK210203</v>
      </c>
      <c r="O551" t="s">
        <v>28</v>
      </c>
      <c r="Q551" t="s">
        <v>29</v>
      </c>
      <c r="R551" t="s">
        <v>28</v>
      </c>
      <c r="S551" t="s">
        <v>2559</v>
      </c>
      <c r="T551" t="s">
        <v>2560</v>
      </c>
      <c r="W551" t="s">
        <v>392</v>
      </c>
      <c r="X551" t="s">
        <v>34</v>
      </c>
      <c r="Y551" t="str">
        <f>"77489"</f>
        <v>77489</v>
      </c>
    </row>
    <row r="552" spans="1:25" x14ac:dyDescent="0.25">
      <c r="A552" t="s">
        <v>2561</v>
      </c>
      <c r="B552" t="s">
        <v>2562</v>
      </c>
      <c r="C552">
        <v>2020</v>
      </c>
      <c r="D552">
        <v>8001</v>
      </c>
      <c r="E552">
        <v>5</v>
      </c>
      <c r="F552" t="s">
        <v>2563</v>
      </c>
      <c r="G552">
        <v>29901507</v>
      </c>
      <c r="J552">
        <v>178.91</v>
      </c>
      <c r="L552">
        <v>47577215</v>
      </c>
      <c r="M552" s="1">
        <v>44386</v>
      </c>
      <c r="N552" t="str">
        <f>"V210709E2"</f>
        <v>V210709E2</v>
      </c>
      <c r="O552" t="s">
        <v>28</v>
      </c>
      <c r="Q552" t="s">
        <v>29</v>
      </c>
      <c r="R552" t="s">
        <v>28</v>
      </c>
      <c r="S552" t="s">
        <v>2564</v>
      </c>
      <c r="T552" t="s">
        <v>2565</v>
      </c>
      <c r="W552" t="s">
        <v>40</v>
      </c>
      <c r="X552" t="s">
        <v>34</v>
      </c>
      <c r="Y552" t="str">
        <f>"77498"</f>
        <v>77498</v>
      </c>
    </row>
    <row r="553" spans="1:25" x14ac:dyDescent="0.25">
      <c r="A553" t="s">
        <v>2566</v>
      </c>
      <c r="B553" t="s">
        <v>2567</v>
      </c>
      <c r="C553">
        <v>2021</v>
      </c>
      <c r="D553">
        <v>8001</v>
      </c>
      <c r="E553">
        <v>1</v>
      </c>
      <c r="F553" t="s">
        <v>2568</v>
      </c>
      <c r="G553">
        <v>30593593</v>
      </c>
      <c r="J553">
        <v>92.03</v>
      </c>
      <c r="L553">
        <v>48713434</v>
      </c>
      <c r="M553" s="1">
        <v>44558</v>
      </c>
      <c r="N553" t="str">
        <f>"RC220125"</f>
        <v>RC220125</v>
      </c>
      <c r="O553" t="s">
        <v>28</v>
      </c>
      <c r="Q553" t="s">
        <v>29</v>
      </c>
      <c r="R553" t="s">
        <v>28</v>
      </c>
      <c r="S553" t="s">
        <v>2569</v>
      </c>
      <c r="T553" t="s">
        <v>2570</v>
      </c>
      <c r="U553" t="s">
        <v>2571</v>
      </c>
      <c r="W553" t="s">
        <v>75</v>
      </c>
      <c r="X553" t="s">
        <v>34</v>
      </c>
      <c r="Y553" t="str">
        <f>"77099-3231"</f>
        <v>77099-3231</v>
      </c>
    </row>
    <row r="554" spans="1:25" x14ac:dyDescent="0.25">
      <c r="A554" t="s">
        <v>2572</v>
      </c>
      <c r="B554" t="s">
        <v>2573</v>
      </c>
      <c r="C554">
        <v>2019</v>
      </c>
      <c r="D554">
        <v>8001</v>
      </c>
      <c r="E554">
        <v>1</v>
      </c>
      <c r="F554" t="s">
        <v>2574</v>
      </c>
      <c r="G554">
        <v>0</v>
      </c>
      <c r="J554">
        <v>393.47</v>
      </c>
      <c r="L554">
        <v>42418781</v>
      </c>
      <c r="M554" s="1">
        <v>43825</v>
      </c>
      <c r="N554" t="str">
        <f>"L191226"</f>
        <v>L191226</v>
      </c>
      <c r="O554" t="s">
        <v>28</v>
      </c>
      <c r="Q554" t="s">
        <v>29</v>
      </c>
      <c r="R554" t="s">
        <v>28</v>
      </c>
      <c r="S554" t="s">
        <v>2574</v>
      </c>
      <c r="T554" t="s">
        <v>2575</v>
      </c>
      <c r="U554" t="s">
        <v>60</v>
      </c>
      <c r="V554" t="s">
        <v>60</v>
      </c>
      <c r="W554" t="s">
        <v>219</v>
      </c>
      <c r="X554" t="s">
        <v>34</v>
      </c>
      <c r="Y554" t="str">
        <f>"774981486   "</f>
        <v xml:space="preserve">774981486   </v>
      </c>
    </row>
    <row r="555" spans="1:25" x14ac:dyDescent="0.25">
      <c r="A555" t="s">
        <v>2576</v>
      </c>
      <c r="B555" t="s">
        <v>2577</v>
      </c>
      <c r="C555">
        <v>2019</v>
      </c>
      <c r="D555">
        <v>8001</v>
      </c>
      <c r="E555">
        <v>2</v>
      </c>
      <c r="F555" t="s">
        <v>2578</v>
      </c>
      <c r="G555">
        <v>28220942</v>
      </c>
      <c r="J555">
        <v>188.4</v>
      </c>
      <c r="L555">
        <v>44250400</v>
      </c>
      <c r="M555" s="1">
        <v>43983</v>
      </c>
      <c r="N555" t="str">
        <f>"J200601U4"</f>
        <v>J200601U4</v>
      </c>
      <c r="O555" t="s">
        <v>28</v>
      </c>
      <c r="Q555" t="s">
        <v>29</v>
      </c>
      <c r="R555" t="s">
        <v>28</v>
      </c>
      <c r="S555" t="s">
        <v>2579</v>
      </c>
      <c r="T555" t="s">
        <v>2052</v>
      </c>
      <c r="W555" t="s">
        <v>1328</v>
      </c>
      <c r="X555" t="s">
        <v>162</v>
      </c>
      <c r="Y555" t="str">
        <f>"080545452"</f>
        <v>080545452</v>
      </c>
    </row>
    <row r="556" spans="1:25" x14ac:dyDescent="0.25">
      <c r="A556" t="s">
        <v>2580</v>
      </c>
      <c r="B556" t="s">
        <v>2581</v>
      </c>
      <c r="C556">
        <v>2021</v>
      </c>
      <c r="D556">
        <v>8001</v>
      </c>
      <c r="E556">
        <v>2</v>
      </c>
      <c r="F556" t="s">
        <v>2582</v>
      </c>
      <c r="G556">
        <v>27372815</v>
      </c>
      <c r="J556">
        <v>319.99</v>
      </c>
      <c r="L556">
        <v>50146951</v>
      </c>
      <c r="M556" s="1">
        <v>44603</v>
      </c>
      <c r="N556" t="str">
        <f>"O220211AB1"</f>
        <v>O220211AB1</v>
      </c>
      <c r="O556" t="s">
        <v>28</v>
      </c>
      <c r="Q556" t="s">
        <v>29</v>
      </c>
      <c r="R556" t="s">
        <v>28</v>
      </c>
      <c r="S556" t="s">
        <v>231</v>
      </c>
      <c r="T556" t="s">
        <v>2583</v>
      </c>
      <c r="W556" t="s">
        <v>75</v>
      </c>
      <c r="X556" t="s">
        <v>34</v>
      </c>
      <c r="Y556" t="str">
        <f>"77007"</f>
        <v>77007</v>
      </c>
    </row>
    <row r="557" spans="1:25" x14ac:dyDescent="0.25">
      <c r="A557" t="s">
        <v>2584</v>
      </c>
      <c r="B557" t="s">
        <v>2585</v>
      </c>
      <c r="C557">
        <v>2020</v>
      </c>
      <c r="D557">
        <v>8001</v>
      </c>
      <c r="E557">
        <v>2</v>
      </c>
      <c r="F557" t="s">
        <v>2586</v>
      </c>
      <c r="G557">
        <v>29489561</v>
      </c>
      <c r="J557">
        <v>367</v>
      </c>
      <c r="L557">
        <v>46782260</v>
      </c>
      <c r="M557" s="1">
        <v>44231</v>
      </c>
      <c r="N557" t="str">
        <f>"CC210204"</f>
        <v>CC210204</v>
      </c>
      <c r="O557" t="s">
        <v>28</v>
      </c>
      <c r="Q557" t="s">
        <v>29</v>
      </c>
      <c r="R557" t="s">
        <v>28</v>
      </c>
      <c r="S557" t="s">
        <v>2587</v>
      </c>
      <c r="T557" t="s">
        <v>2588</v>
      </c>
      <c r="W557" t="s">
        <v>107</v>
      </c>
      <c r="X557" t="s">
        <v>34</v>
      </c>
      <c r="Y557" t="str">
        <f>"77494"</f>
        <v>77494</v>
      </c>
    </row>
    <row r="558" spans="1:25" x14ac:dyDescent="0.25">
      <c r="A558" t="s">
        <v>2589</v>
      </c>
      <c r="B558" t="s">
        <v>2590</v>
      </c>
      <c r="C558">
        <v>2020</v>
      </c>
      <c r="D558">
        <v>8001</v>
      </c>
      <c r="E558">
        <v>1</v>
      </c>
      <c r="F558" t="s">
        <v>2591</v>
      </c>
      <c r="G558">
        <v>29461564</v>
      </c>
      <c r="J558">
        <v>269.26</v>
      </c>
      <c r="L558">
        <v>46728564</v>
      </c>
      <c r="M558" s="1">
        <v>44230</v>
      </c>
      <c r="N558" t="str">
        <f>"EK210203"</f>
        <v>EK210203</v>
      </c>
      <c r="O558" t="s">
        <v>28</v>
      </c>
      <c r="Q558" t="s">
        <v>29</v>
      </c>
      <c r="R558" t="s">
        <v>28</v>
      </c>
      <c r="S558" t="s">
        <v>2592</v>
      </c>
      <c r="T558" t="s">
        <v>2593</v>
      </c>
      <c r="W558" t="s">
        <v>81</v>
      </c>
      <c r="X558" t="s">
        <v>34</v>
      </c>
      <c r="Y558" t="str">
        <f>"77407"</f>
        <v>77407</v>
      </c>
    </row>
    <row r="559" spans="1:25" x14ac:dyDescent="0.25">
      <c r="A559" t="s">
        <v>2594</v>
      </c>
      <c r="B559" t="s">
        <v>2595</v>
      </c>
      <c r="C559">
        <v>2019</v>
      </c>
      <c r="D559">
        <v>8001</v>
      </c>
      <c r="E559">
        <v>1</v>
      </c>
      <c r="F559" t="s">
        <v>2596</v>
      </c>
      <c r="G559">
        <v>22993312</v>
      </c>
      <c r="J559">
        <v>6.57</v>
      </c>
      <c r="L559">
        <v>44288761</v>
      </c>
      <c r="M559" s="1">
        <v>43990</v>
      </c>
      <c r="N559" t="str">
        <f>"J200608K5"</f>
        <v>J200608K5</v>
      </c>
      <c r="O559" t="s">
        <v>28</v>
      </c>
      <c r="Q559" t="s">
        <v>29</v>
      </c>
      <c r="R559" t="s">
        <v>28</v>
      </c>
      <c r="S559" t="s">
        <v>1794</v>
      </c>
      <c r="T559" t="s">
        <v>1795</v>
      </c>
      <c r="W559" t="s">
        <v>1615</v>
      </c>
      <c r="X559" t="s">
        <v>143</v>
      </c>
      <c r="Y559" t="str">
        <f>"191156320"</f>
        <v>191156320</v>
      </c>
    </row>
    <row r="560" spans="1:25" x14ac:dyDescent="0.25">
      <c r="A560" t="s">
        <v>2597</v>
      </c>
      <c r="B560" t="s">
        <v>2598</v>
      </c>
      <c r="C560">
        <v>2019</v>
      </c>
      <c r="D560">
        <v>8001</v>
      </c>
      <c r="E560">
        <v>1</v>
      </c>
      <c r="F560" t="s">
        <v>2599</v>
      </c>
      <c r="G560">
        <v>24250771</v>
      </c>
      <c r="J560">
        <v>158.38999999999999</v>
      </c>
      <c r="L560">
        <v>43695348</v>
      </c>
      <c r="M560" s="1">
        <v>43871</v>
      </c>
      <c r="N560" t="str">
        <f>"J200210AW6"</f>
        <v>J200210AW6</v>
      </c>
      <c r="O560" t="s">
        <v>28</v>
      </c>
      <c r="Q560" t="s">
        <v>29</v>
      </c>
      <c r="R560" t="s">
        <v>28</v>
      </c>
      <c r="S560" t="s">
        <v>2600</v>
      </c>
      <c r="T560" t="s">
        <v>1910</v>
      </c>
      <c r="W560" t="s">
        <v>1911</v>
      </c>
      <c r="X560" t="s">
        <v>317</v>
      </c>
      <c r="Y560" t="str">
        <f>"900514387"</f>
        <v>900514387</v>
      </c>
    </row>
    <row r="561" spans="1:25" x14ac:dyDescent="0.25">
      <c r="A561" t="s">
        <v>2601</v>
      </c>
      <c r="B561" t="s">
        <v>2602</v>
      </c>
      <c r="C561">
        <v>2020</v>
      </c>
      <c r="D561">
        <v>8001</v>
      </c>
      <c r="E561">
        <v>1</v>
      </c>
      <c r="F561" t="s">
        <v>2603</v>
      </c>
      <c r="G561">
        <v>29596068</v>
      </c>
      <c r="J561">
        <v>80.87</v>
      </c>
      <c r="L561">
        <v>47018837</v>
      </c>
      <c r="M561" s="1">
        <v>44258</v>
      </c>
      <c r="N561" t="str">
        <f>"EK210303"</f>
        <v>EK210303</v>
      </c>
      <c r="O561" t="s">
        <v>28</v>
      </c>
      <c r="Q561" t="s">
        <v>29</v>
      </c>
      <c r="R561" t="s">
        <v>28</v>
      </c>
      <c r="S561" t="s">
        <v>2604</v>
      </c>
      <c r="T561" t="s">
        <v>2605</v>
      </c>
      <c r="W561" t="s">
        <v>81</v>
      </c>
      <c r="X561" t="s">
        <v>34</v>
      </c>
      <c r="Y561" t="str">
        <f>"77407"</f>
        <v>77407</v>
      </c>
    </row>
    <row r="562" spans="1:25" x14ac:dyDescent="0.25">
      <c r="A562" t="s">
        <v>2606</v>
      </c>
      <c r="B562" t="s">
        <v>2607</v>
      </c>
      <c r="C562">
        <v>2021</v>
      </c>
      <c r="D562">
        <v>8001</v>
      </c>
      <c r="E562">
        <v>2</v>
      </c>
      <c r="F562" t="s">
        <v>2608</v>
      </c>
      <c r="G562">
        <v>30761562</v>
      </c>
      <c r="J562">
        <v>30</v>
      </c>
      <c r="L562">
        <v>49670196</v>
      </c>
      <c r="M562" s="1">
        <v>44589</v>
      </c>
      <c r="N562" t="str">
        <f>"O220128F1"</f>
        <v>O220128F1</v>
      </c>
      <c r="O562" t="s">
        <v>28</v>
      </c>
      <c r="Q562" t="s">
        <v>29</v>
      </c>
      <c r="R562" t="s">
        <v>28</v>
      </c>
      <c r="S562" t="s">
        <v>2235</v>
      </c>
      <c r="T562" t="s">
        <v>2609</v>
      </c>
      <c r="W562" t="s">
        <v>81</v>
      </c>
      <c r="X562" t="s">
        <v>34</v>
      </c>
      <c r="Y562" t="str">
        <f>"774061106"</f>
        <v>774061106</v>
      </c>
    </row>
    <row r="563" spans="1:25" x14ac:dyDescent="0.25">
      <c r="A563" t="s">
        <v>2610</v>
      </c>
      <c r="B563" t="s">
        <v>2611</v>
      </c>
      <c r="C563">
        <v>2019</v>
      </c>
      <c r="D563">
        <v>8001</v>
      </c>
      <c r="E563">
        <v>1</v>
      </c>
      <c r="F563" t="s">
        <v>2612</v>
      </c>
      <c r="G563">
        <v>27999073</v>
      </c>
      <c r="J563">
        <v>684.36</v>
      </c>
      <c r="L563">
        <v>43138819</v>
      </c>
      <c r="M563" s="1">
        <v>43854</v>
      </c>
      <c r="N563" t="str">
        <f>"J200124AW6"</f>
        <v>J200124AW6</v>
      </c>
      <c r="O563" t="s">
        <v>28</v>
      </c>
      <c r="Q563" t="s">
        <v>29</v>
      </c>
      <c r="R563" t="s">
        <v>28</v>
      </c>
      <c r="S563" t="s">
        <v>2613</v>
      </c>
      <c r="T563" t="s">
        <v>2614</v>
      </c>
      <c r="W563" t="s">
        <v>75</v>
      </c>
      <c r="X563" t="s">
        <v>34</v>
      </c>
      <c r="Y563" t="str">
        <f>"77095"</f>
        <v>77095</v>
      </c>
    </row>
    <row r="564" spans="1:25" x14ac:dyDescent="0.25">
      <c r="A564" t="s">
        <v>2615</v>
      </c>
      <c r="B564" t="s">
        <v>2616</v>
      </c>
      <c r="C564">
        <v>2019</v>
      </c>
      <c r="D564">
        <v>8001</v>
      </c>
      <c r="E564">
        <v>2</v>
      </c>
      <c r="F564" t="s">
        <v>2617</v>
      </c>
      <c r="G564">
        <v>21600983</v>
      </c>
      <c r="J564">
        <v>43.44</v>
      </c>
      <c r="L564">
        <v>44130321</v>
      </c>
      <c r="M564" s="1">
        <v>43956</v>
      </c>
      <c r="N564" t="str">
        <f>"J200505AW2"</f>
        <v>J200505AW2</v>
      </c>
      <c r="O564" t="s">
        <v>28</v>
      </c>
      <c r="Q564" t="s">
        <v>29</v>
      </c>
      <c r="R564" t="s">
        <v>28</v>
      </c>
      <c r="S564" t="s">
        <v>1454</v>
      </c>
      <c r="T564" t="s">
        <v>1455</v>
      </c>
      <c r="W564" t="s">
        <v>1456</v>
      </c>
      <c r="X564" t="s">
        <v>1457</v>
      </c>
      <c r="Y564" t="str">
        <f>"234504968"</f>
        <v>234504968</v>
      </c>
    </row>
    <row r="565" spans="1:25" x14ac:dyDescent="0.25">
      <c r="A565" t="s">
        <v>2618</v>
      </c>
      <c r="B565" t="s">
        <v>2619</v>
      </c>
      <c r="C565">
        <v>2020</v>
      </c>
      <c r="D565">
        <v>8001</v>
      </c>
      <c r="E565">
        <v>2</v>
      </c>
      <c r="F565" t="s">
        <v>2620</v>
      </c>
      <c r="G565">
        <v>0</v>
      </c>
      <c r="J565">
        <v>55.58</v>
      </c>
      <c r="L565">
        <v>47194456</v>
      </c>
      <c r="M565" s="1">
        <v>44284</v>
      </c>
      <c r="N565" t="str">
        <f>"J210329BW11"</f>
        <v>J210329BW11</v>
      </c>
      <c r="O565" t="s">
        <v>28</v>
      </c>
      <c r="Q565" t="s">
        <v>29</v>
      </c>
      <c r="R565" t="s">
        <v>28</v>
      </c>
      <c r="S565" t="s">
        <v>2620</v>
      </c>
      <c r="T565" t="s">
        <v>2621</v>
      </c>
      <c r="U565" t="s">
        <v>60</v>
      </c>
      <c r="V565" t="s">
        <v>60</v>
      </c>
      <c r="W565" t="s">
        <v>214</v>
      </c>
      <c r="X565" t="s">
        <v>34</v>
      </c>
      <c r="Y565" t="str">
        <f>"774071657   "</f>
        <v xml:space="preserve">774071657   </v>
      </c>
    </row>
    <row r="566" spans="1:25" x14ac:dyDescent="0.25">
      <c r="A566" t="s">
        <v>2622</v>
      </c>
      <c r="B566" t="s">
        <v>2623</v>
      </c>
      <c r="C566">
        <v>2020</v>
      </c>
      <c r="D566">
        <v>8001</v>
      </c>
      <c r="E566">
        <v>1</v>
      </c>
      <c r="F566" t="s">
        <v>2624</v>
      </c>
      <c r="G566">
        <v>23848194</v>
      </c>
      <c r="J566">
        <v>33.590000000000003</v>
      </c>
      <c r="L566">
        <v>47733509</v>
      </c>
      <c r="M566" s="1">
        <v>44442</v>
      </c>
      <c r="N566" t="str">
        <f>"RC210915"</f>
        <v>RC210915</v>
      </c>
      <c r="O566" t="s">
        <v>28</v>
      </c>
      <c r="Q566" t="s">
        <v>29</v>
      </c>
      <c r="R566" t="s">
        <v>28</v>
      </c>
      <c r="S566" t="s">
        <v>1326</v>
      </c>
      <c r="T566" t="s">
        <v>1327</v>
      </c>
      <c r="W566" t="s">
        <v>1328</v>
      </c>
      <c r="X566" t="s">
        <v>162</v>
      </c>
      <c r="Y566" t="str">
        <f>"08054"</f>
        <v>08054</v>
      </c>
    </row>
    <row r="567" spans="1:25" x14ac:dyDescent="0.25">
      <c r="A567" t="s">
        <v>2625</v>
      </c>
      <c r="B567" t="s">
        <v>2626</v>
      </c>
      <c r="C567">
        <v>2020</v>
      </c>
      <c r="D567">
        <v>8001</v>
      </c>
      <c r="E567">
        <v>2</v>
      </c>
      <c r="F567" t="s">
        <v>2627</v>
      </c>
      <c r="G567">
        <v>29859259</v>
      </c>
      <c r="J567">
        <v>181.65</v>
      </c>
      <c r="L567">
        <v>47500758</v>
      </c>
      <c r="M567" s="1">
        <v>44351</v>
      </c>
      <c r="N567" t="str">
        <f>"CC210604"</f>
        <v>CC210604</v>
      </c>
      <c r="O567" t="s">
        <v>28</v>
      </c>
      <c r="Q567" t="s">
        <v>29</v>
      </c>
      <c r="R567" t="s">
        <v>28</v>
      </c>
      <c r="S567" t="s">
        <v>2628</v>
      </c>
      <c r="T567" t="s">
        <v>2629</v>
      </c>
      <c r="W567" t="s">
        <v>81</v>
      </c>
      <c r="X567" t="s">
        <v>34</v>
      </c>
      <c r="Y567" t="str">
        <f>"77407"</f>
        <v>77407</v>
      </c>
    </row>
    <row r="568" spans="1:25" x14ac:dyDescent="0.25">
      <c r="A568" t="s">
        <v>2630</v>
      </c>
      <c r="B568" t="s">
        <v>2631</v>
      </c>
      <c r="C568">
        <v>2020</v>
      </c>
      <c r="D568">
        <v>8001</v>
      </c>
      <c r="E568">
        <v>1</v>
      </c>
      <c r="F568" t="s">
        <v>2632</v>
      </c>
      <c r="G568">
        <v>0</v>
      </c>
      <c r="J568">
        <v>6.56</v>
      </c>
      <c r="L568">
        <v>44488438</v>
      </c>
      <c r="M568" s="1">
        <v>44147</v>
      </c>
      <c r="N568" t="str">
        <f>"TE201112"</f>
        <v>TE201112</v>
      </c>
      <c r="O568" t="s">
        <v>28</v>
      </c>
      <c r="Q568" t="s">
        <v>29</v>
      </c>
      <c r="R568" t="s">
        <v>28</v>
      </c>
      <c r="S568" t="s">
        <v>2633</v>
      </c>
      <c r="T568" t="s">
        <v>2634</v>
      </c>
      <c r="U568" t="s">
        <v>60</v>
      </c>
      <c r="V568" t="s">
        <v>60</v>
      </c>
      <c r="W568" t="s">
        <v>214</v>
      </c>
      <c r="X568" t="s">
        <v>34</v>
      </c>
      <c r="Y568" t="str">
        <f>"774075501   "</f>
        <v xml:space="preserve">774075501   </v>
      </c>
    </row>
    <row r="569" spans="1:25" x14ac:dyDescent="0.25">
      <c r="A569" t="s">
        <v>2635</v>
      </c>
      <c r="B569" t="s">
        <v>2636</v>
      </c>
      <c r="C569">
        <v>2020</v>
      </c>
      <c r="D569">
        <v>8001</v>
      </c>
      <c r="E569">
        <v>3</v>
      </c>
      <c r="F569" t="s">
        <v>2637</v>
      </c>
      <c r="G569">
        <v>29999985</v>
      </c>
      <c r="J569">
        <v>316.31</v>
      </c>
      <c r="L569">
        <v>47839019</v>
      </c>
      <c r="M569" s="1">
        <v>44491</v>
      </c>
      <c r="N569" t="str">
        <f>"R211022S1"</f>
        <v>R211022S1</v>
      </c>
      <c r="O569" t="s">
        <v>28</v>
      </c>
      <c r="Q569" t="s">
        <v>29</v>
      </c>
      <c r="R569" t="s">
        <v>28</v>
      </c>
      <c r="S569" t="s">
        <v>2638</v>
      </c>
      <c r="T569" t="s">
        <v>2639</v>
      </c>
      <c r="W569" t="s">
        <v>2640</v>
      </c>
      <c r="X569" t="s">
        <v>34</v>
      </c>
      <c r="Y569" t="str">
        <f>"77036"</f>
        <v>77036</v>
      </c>
    </row>
    <row r="570" spans="1:25" x14ac:dyDescent="0.25">
      <c r="A570" t="s">
        <v>2641</v>
      </c>
      <c r="B570" t="s">
        <v>2642</v>
      </c>
      <c r="C570">
        <v>2020</v>
      </c>
      <c r="D570">
        <v>8001</v>
      </c>
      <c r="E570">
        <v>1</v>
      </c>
      <c r="F570" t="s">
        <v>2643</v>
      </c>
      <c r="G570">
        <v>25529297</v>
      </c>
      <c r="J570">
        <v>62.9</v>
      </c>
      <c r="L570">
        <v>47256495</v>
      </c>
      <c r="M570" s="1">
        <v>44292</v>
      </c>
      <c r="N570" t="str">
        <f>"RC210414"</f>
        <v>RC210414</v>
      </c>
      <c r="O570" t="s">
        <v>28</v>
      </c>
      <c r="Q570" t="s">
        <v>29</v>
      </c>
      <c r="R570" t="s">
        <v>28</v>
      </c>
      <c r="S570" t="s">
        <v>2644</v>
      </c>
      <c r="T570" t="s">
        <v>562</v>
      </c>
      <c r="W570" t="s">
        <v>563</v>
      </c>
      <c r="X570" t="s">
        <v>34</v>
      </c>
      <c r="Y570" t="str">
        <f>"750630156"</f>
        <v>750630156</v>
      </c>
    </row>
    <row r="571" spans="1:25" x14ac:dyDescent="0.25">
      <c r="A571" t="s">
        <v>2645</v>
      </c>
      <c r="B571" t="s">
        <v>2646</v>
      </c>
      <c r="C571">
        <v>2020</v>
      </c>
      <c r="D571">
        <v>8001</v>
      </c>
      <c r="E571">
        <v>1</v>
      </c>
      <c r="F571" t="s">
        <v>2647</v>
      </c>
      <c r="G571">
        <v>29461725</v>
      </c>
      <c r="J571">
        <v>786.34</v>
      </c>
      <c r="L571">
        <v>46728725</v>
      </c>
      <c r="M571" s="1">
        <v>44230</v>
      </c>
      <c r="N571" t="str">
        <f>"EK210203"</f>
        <v>EK210203</v>
      </c>
      <c r="O571" t="s">
        <v>28</v>
      </c>
      <c r="Q571" t="s">
        <v>29</v>
      </c>
      <c r="R571" t="s">
        <v>28</v>
      </c>
      <c r="S571" t="s">
        <v>2648</v>
      </c>
      <c r="T571" t="s">
        <v>2649</v>
      </c>
      <c r="W571" t="s">
        <v>107</v>
      </c>
      <c r="X571" t="s">
        <v>34</v>
      </c>
      <c r="Y571" t="str">
        <f>"77450"</f>
        <v>77450</v>
      </c>
    </row>
    <row r="572" spans="1:25" x14ac:dyDescent="0.25">
      <c r="A572" t="s">
        <v>2650</v>
      </c>
      <c r="B572" t="s">
        <v>2651</v>
      </c>
      <c r="C572">
        <v>2019</v>
      </c>
      <c r="D572">
        <v>8001</v>
      </c>
      <c r="E572">
        <v>2</v>
      </c>
      <c r="F572" t="s">
        <v>2652</v>
      </c>
      <c r="G572">
        <v>25035459</v>
      </c>
      <c r="J572">
        <v>192.07</v>
      </c>
      <c r="L572">
        <v>44283315</v>
      </c>
      <c r="M572" s="1">
        <v>43987</v>
      </c>
      <c r="N572" t="str">
        <f>"J200605K2"</f>
        <v>J200605K2</v>
      </c>
      <c r="O572" t="s">
        <v>28</v>
      </c>
      <c r="Q572" t="s">
        <v>29</v>
      </c>
      <c r="R572" t="s">
        <v>28</v>
      </c>
      <c r="S572" t="s">
        <v>1454</v>
      </c>
      <c r="T572" t="s">
        <v>2653</v>
      </c>
      <c r="U572" t="s">
        <v>2654</v>
      </c>
      <c r="W572" t="s">
        <v>1456</v>
      </c>
      <c r="X572" t="s">
        <v>1457</v>
      </c>
      <c r="Y572" t="str">
        <f>"234504968"</f>
        <v>234504968</v>
      </c>
    </row>
    <row r="573" spans="1:25" x14ac:dyDescent="0.25">
      <c r="A573" t="s">
        <v>2655</v>
      </c>
      <c r="B573" t="s">
        <v>2656</v>
      </c>
      <c r="C573">
        <v>2019</v>
      </c>
      <c r="D573">
        <v>8001</v>
      </c>
      <c r="E573">
        <v>2</v>
      </c>
      <c r="F573" t="s">
        <v>2657</v>
      </c>
      <c r="G573">
        <v>21600983</v>
      </c>
      <c r="J573">
        <v>50.48</v>
      </c>
      <c r="L573">
        <v>44130323</v>
      </c>
      <c r="M573" s="1">
        <v>43956</v>
      </c>
      <c r="N573" t="str">
        <f>"J200505AW2"</f>
        <v>J200505AW2</v>
      </c>
      <c r="O573" t="s">
        <v>28</v>
      </c>
      <c r="Q573" t="s">
        <v>29</v>
      </c>
      <c r="R573" t="s">
        <v>28</v>
      </c>
      <c r="S573" t="s">
        <v>1454</v>
      </c>
      <c r="T573" t="s">
        <v>1455</v>
      </c>
      <c r="W573" t="s">
        <v>1456</v>
      </c>
      <c r="X573" t="s">
        <v>1457</v>
      </c>
      <c r="Y573" t="str">
        <f>"234504968"</f>
        <v>234504968</v>
      </c>
    </row>
    <row r="574" spans="1:25" x14ac:dyDescent="0.25">
      <c r="A574" t="s">
        <v>2658</v>
      </c>
      <c r="B574" t="s">
        <v>2659</v>
      </c>
      <c r="C574">
        <v>2020</v>
      </c>
      <c r="D574">
        <v>8001</v>
      </c>
      <c r="E574">
        <v>3</v>
      </c>
      <c r="F574" t="s">
        <v>2660</v>
      </c>
      <c r="G574">
        <v>0</v>
      </c>
      <c r="J574">
        <v>746.6</v>
      </c>
      <c r="L574">
        <v>47083282</v>
      </c>
      <c r="M574" s="1">
        <v>44266</v>
      </c>
      <c r="N574" t="str">
        <f>"R210311AJ2"</f>
        <v>R210311AJ2</v>
      </c>
      <c r="O574" t="s">
        <v>28</v>
      </c>
      <c r="Q574" t="s">
        <v>29</v>
      </c>
      <c r="R574" t="s">
        <v>28</v>
      </c>
      <c r="S574" t="s">
        <v>2660</v>
      </c>
      <c r="T574" t="s">
        <v>2661</v>
      </c>
      <c r="U574" t="s">
        <v>60</v>
      </c>
      <c r="V574" t="s">
        <v>60</v>
      </c>
      <c r="W574" t="s">
        <v>1137</v>
      </c>
      <c r="X574" t="s">
        <v>34</v>
      </c>
      <c r="Y574" t="str">
        <f>"77494       "</f>
        <v xml:space="preserve">77494       </v>
      </c>
    </row>
    <row r="575" spans="1:25" x14ac:dyDescent="0.25">
      <c r="A575" t="s">
        <v>2662</v>
      </c>
      <c r="B575" t="s">
        <v>2663</v>
      </c>
      <c r="C575">
        <v>2020</v>
      </c>
      <c r="D575">
        <v>8001</v>
      </c>
      <c r="E575">
        <v>1</v>
      </c>
      <c r="F575" t="s">
        <v>2664</v>
      </c>
      <c r="G575">
        <v>29556948</v>
      </c>
      <c r="J575">
        <v>8.73</v>
      </c>
      <c r="L575">
        <v>47743285</v>
      </c>
      <c r="M575" s="1">
        <v>44452</v>
      </c>
      <c r="N575" t="str">
        <f>"RC210927"</f>
        <v>RC210927</v>
      </c>
      <c r="O575" t="s">
        <v>28</v>
      </c>
      <c r="Q575" t="s">
        <v>29</v>
      </c>
      <c r="R575" t="s">
        <v>28</v>
      </c>
      <c r="S575" t="s">
        <v>2665</v>
      </c>
      <c r="T575" t="s">
        <v>2666</v>
      </c>
      <c r="U575" t="s">
        <v>2667</v>
      </c>
      <c r="W575" t="s">
        <v>112</v>
      </c>
      <c r="X575" t="s">
        <v>34</v>
      </c>
      <c r="Y575" t="str">
        <f>"77478"</f>
        <v>77478</v>
      </c>
    </row>
    <row r="576" spans="1:25" x14ac:dyDescent="0.25">
      <c r="A576" t="s">
        <v>2668</v>
      </c>
      <c r="B576" t="s">
        <v>2669</v>
      </c>
      <c r="C576">
        <v>2020</v>
      </c>
      <c r="D576">
        <v>8001</v>
      </c>
      <c r="E576">
        <v>1</v>
      </c>
      <c r="F576" t="s">
        <v>2670</v>
      </c>
      <c r="G576">
        <v>29461911</v>
      </c>
      <c r="J576">
        <v>209.44</v>
      </c>
      <c r="L576">
        <v>46728911</v>
      </c>
      <c r="M576" s="1">
        <v>44230</v>
      </c>
      <c r="N576" t="str">
        <f>"EK210203"</f>
        <v>EK210203</v>
      </c>
      <c r="O576" t="s">
        <v>28</v>
      </c>
      <c r="Q576" t="s">
        <v>29</v>
      </c>
      <c r="R576" t="s">
        <v>28</v>
      </c>
      <c r="S576" t="s">
        <v>2671</v>
      </c>
      <c r="T576" t="s">
        <v>2672</v>
      </c>
      <c r="W576" t="s">
        <v>40</v>
      </c>
      <c r="X576" t="s">
        <v>34</v>
      </c>
      <c r="Y576" t="str">
        <f>"77479"</f>
        <v>77479</v>
      </c>
    </row>
    <row r="577" spans="1:25" x14ac:dyDescent="0.25">
      <c r="A577" t="s">
        <v>2673</v>
      </c>
      <c r="B577" t="s">
        <v>2674</v>
      </c>
      <c r="C577">
        <v>2021</v>
      </c>
      <c r="D577">
        <v>8001</v>
      </c>
      <c r="E577">
        <v>2</v>
      </c>
      <c r="F577" t="s">
        <v>2675</v>
      </c>
      <c r="G577">
        <v>28692840</v>
      </c>
      <c r="J577" s="2">
        <v>3489.28</v>
      </c>
      <c r="L577">
        <v>48888871</v>
      </c>
      <c r="M577" s="1">
        <v>44565</v>
      </c>
      <c r="N577" t="str">
        <f>"CL210001"</f>
        <v>CL210001</v>
      </c>
      <c r="O577" t="s">
        <v>28</v>
      </c>
      <c r="Q577" t="s">
        <v>29</v>
      </c>
      <c r="R577" t="s">
        <v>28</v>
      </c>
      <c r="S577" t="s">
        <v>1019</v>
      </c>
      <c r="T577" t="s">
        <v>562</v>
      </c>
      <c r="W577" t="s">
        <v>563</v>
      </c>
      <c r="X577" t="s">
        <v>34</v>
      </c>
      <c r="Y577" t="str">
        <f>"750630156"</f>
        <v>750630156</v>
      </c>
    </row>
    <row r="578" spans="1:25" x14ac:dyDescent="0.25">
      <c r="A578" t="s">
        <v>2676</v>
      </c>
      <c r="B578" t="s">
        <v>2677</v>
      </c>
      <c r="C578">
        <v>2020</v>
      </c>
      <c r="D578">
        <v>8001</v>
      </c>
      <c r="E578">
        <v>1</v>
      </c>
      <c r="F578" t="s">
        <v>2678</v>
      </c>
      <c r="G578">
        <v>29974066</v>
      </c>
      <c r="J578">
        <v>5.77</v>
      </c>
      <c r="L578">
        <v>47692941</v>
      </c>
      <c r="M578" s="1">
        <v>44419</v>
      </c>
      <c r="N578" t="str">
        <f>"RC210820"</f>
        <v>RC210820</v>
      </c>
      <c r="O578" t="s">
        <v>28</v>
      </c>
      <c r="Q578" t="s">
        <v>29</v>
      </c>
      <c r="R578" t="s">
        <v>28</v>
      </c>
      <c r="S578" t="s">
        <v>561</v>
      </c>
      <c r="T578" t="s">
        <v>562</v>
      </c>
      <c r="W578" t="s">
        <v>563</v>
      </c>
      <c r="X578" t="s">
        <v>34</v>
      </c>
      <c r="Y578" t="str">
        <f>"750630156"</f>
        <v>750630156</v>
      </c>
    </row>
    <row r="579" spans="1:25" x14ac:dyDescent="0.25">
      <c r="A579" t="s">
        <v>2679</v>
      </c>
      <c r="B579" t="s">
        <v>2680</v>
      </c>
      <c r="C579">
        <v>2021</v>
      </c>
      <c r="D579">
        <v>8001</v>
      </c>
      <c r="E579">
        <v>1</v>
      </c>
      <c r="F579" t="s">
        <v>2681</v>
      </c>
      <c r="G579">
        <v>26419208</v>
      </c>
      <c r="J579">
        <v>443.95</v>
      </c>
      <c r="L579">
        <v>48274585</v>
      </c>
      <c r="M579" s="1">
        <v>44532</v>
      </c>
      <c r="N579" t="str">
        <f>"RC211222"</f>
        <v>RC211222</v>
      </c>
      <c r="O579" t="s">
        <v>28</v>
      </c>
      <c r="Q579" t="s">
        <v>29</v>
      </c>
      <c r="R579" t="s">
        <v>28</v>
      </c>
      <c r="S579" t="s">
        <v>1073</v>
      </c>
      <c r="T579" t="s">
        <v>1074</v>
      </c>
      <c r="W579" t="s">
        <v>1075</v>
      </c>
      <c r="X579" t="s">
        <v>34</v>
      </c>
      <c r="Y579" t="str">
        <f>"76177"</f>
        <v>76177</v>
      </c>
    </row>
    <row r="580" spans="1:25" x14ac:dyDescent="0.25">
      <c r="A580" t="s">
        <v>2682</v>
      </c>
      <c r="B580" t="s">
        <v>2683</v>
      </c>
      <c r="C580">
        <v>2019</v>
      </c>
      <c r="D580">
        <v>8001</v>
      </c>
      <c r="E580">
        <v>1</v>
      </c>
      <c r="F580" t="s">
        <v>2684</v>
      </c>
      <c r="G580">
        <v>28310293</v>
      </c>
      <c r="J580">
        <v>69.760000000000005</v>
      </c>
      <c r="L580">
        <v>43887114</v>
      </c>
      <c r="M580" s="1">
        <v>43895</v>
      </c>
      <c r="N580" t="str">
        <f>"CC200305"</f>
        <v>CC200305</v>
      </c>
      <c r="O580" t="s">
        <v>28</v>
      </c>
      <c r="Q580" t="s">
        <v>29</v>
      </c>
      <c r="R580" t="s">
        <v>28</v>
      </c>
      <c r="S580" t="s">
        <v>2685</v>
      </c>
      <c r="T580" t="s">
        <v>2686</v>
      </c>
      <c r="W580" t="s">
        <v>40</v>
      </c>
      <c r="X580" t="s">
        <v>34</v>
      </c>
      <c r="Y580" t="str">
        <f>"77479"</f>
        <v>77479</v>
      </c>
    </row>
    <row r="581" spans="1:25" x14ac:dyDescent="0.25">
      <c r="A581" t="s">
        <v>2687</v>
      </c>
      <c r="B581" t="s">
        <v>2688</v>
      </c>
      <c r="C581">
        <v>2020</v>
      </c>
      <c r="D581">
        <v>8001</v>
      </c>
      <c r="E581">
        <v>1</v>
      </c>
      <c r="F581" t="s">
        <v>2689</v>
      </c>
      <c r="G581">
        <v>29596097</v>
      </c>
      <c r="J581">
        <v>288.04000000000002</v>
      </c>
      <c r="L581">
        <v>47018866</v>
      </c>
      <c r="M581" s="1">
        <v>44258</v>
      </c>
      <c r="N581" t="str">
        <f>"EK210303"</f>
        <v>EK210303</v>
      </c>
      <c r="O581" t="s">
        <v>28</v>
      </c>
      <c r="Q581" t="s">
        <v>29</v>
      </c>
      <c r="R581" t="s">
        <v>28</v>
      </c>
      <c r="S581" t="s">
        <v>2690</v>
      </c>
      <c r="T581" t="s">
        <v>2691</v>
      </c>
      <c r="W581" t="s">
        <v>40</v>
      </c>
      <c r="X581" t="s">
        <v>34</v>
      </c>
      <c r="Y581" t="str">
        <f>"77479"</f>
        <v>77479</v>
      </c>
    </row>
    <row r="582" spans="1:25" x14ac:dyDescent="0.25">
      <c r="A582" t="s">
        <v>2692</v>
      </c>
      <c r="B582" t="s">
        <v>2693</v>
      </c>
      <c r="C582">
        <v>2020</v>
      </c>
      <c r="D582">
        <v>8001</v>
      </c>
      <c r="E582">
        <v>2</v>
      </c>
      <c r="F582" t="s">
        <v>2694</v>
      </c>
      <c r="G582">
        <v>28692840</v>
      </c>
      <c r="J582">
        <v>79.739999999999995</v>
      </c>
      <c r="L582">
        <v>47256492</v>
      </c>
      <c r="M582" s="1">
        <v>44292</v>
      </c>
      <c r="N582" t="str">
        <f>"RC210414"</f>
        <v>RC210414</v>
      </c>
      <c r="O582" t="s">
        <v>28</v>
      </c>
      <c r="Q582" t="s">
        <v>29</v>
      </c>
      <c r="R582" t="s">
        <v>28</v>
      </c>
      <c r="S582" t="s">
        <v>1019</v>
      </c>
      <c r="T582" t="s">
        <v>562</v>
      </c>
      <c r="W582" t="s">
        <v>563</v>
      </c>
      <c r="X582" t="s">
        <v>34</v>
      </c>
      <c r="Y582" t="str">
        <f>"750630156"</f>
        <v>750630156</v>
      </c>
    </row>
    <row r="583" spans="1:25" x14ac:dyDescent="0.25">
      <c r="A583" t="s">
        <v>2695</v>
      </c>
      <c r="B583" t="s">
        <v>2696</v>
      </c>
      <c r="C583">
        <v>2021</v>
      </c>
      <c r="D583">
        <v>8001</v>
      </c>
      <c r="E583">
        <v>2</v>
      </c>
      <c r="F583" t="s">
        <v>2697</v>
      </c>
      <c r="G583">
        <v>28692840</v>
      </c>
      <c r="J583" s="2">
        <v>4019.2</v>
      </c>
      <c r="L583">
        <v>48888871</v>
      </c>
      <c r="M583" s="1">
        <v>44565</v>
      </c>
      <c r="N583" t="str">
        <f>"CL210001"</f>
        <v>CL210001</v>
      </c>
      <c r="O583" t="s">
        <v>28</v>
      </c>
      <c r="Q583" t="s">
        <v>29</v>
      </c>
      <c r="R583" t="s">
        <v>28</v>
      </c>
      <c r="S583" t="s">
        <v>1019</v>
      </c>
      <c r="T583" t="s">
        <v>562</v>
      </c>
      <c r="W583" t="s">
        <v>563</v>
      </c>
      <c r="X583" t="s">
        <v>34</v>
      </c>
      <c r="Y583" t="str">
        <f>"750630156"</f>
        <v>750630156</v>
      </c>
    </row>
    <row r="584" spans="1:25" x14ac:dyDescent="0.25">
      <c r="A584" t="s">
        <v>2698</v>
      </c>
      <c r="B584" t="s">
        <v>2699</v>
      </c>
      <c r="C584">
        <v>2021</v>
      </c>
      <c r="D584">
        <v>8001</v>
      </c>
      <c r="E584">
        <v>2</v>
      </c>
      <c r="F584" t="s">
        <v>2700</v>
      </c>
      <c r="G584">
        <v>31124583</v>
      </c>
      <c r="J584">
        <v>361.75</v>
      </c>
      <c r="L584">
        <v>50134836</v>
      </c>
      <c r="M584" s="1">
        <v>44602</v>
      </c>
      <c r="N584" t="str">
        <f>"RC220314"</f>
        <v>RC220314</v>
      </c>
      <c r="O584" t="s">
        <v>28</v>
      </c>
      <c r="Q584" t="s">
        <v>29</v>
      </c>
      <c r="R584" t="s">
        <v>28</v>
      </c>
      <c r="S584" t="s">
        <v>2701</v>
      </c>
      <c r="T584" t="s">
        <v>2702</v>
      </c>
      <c r="W584" t="s">
        <v>107</v>
      </c>
      <c r="X584" t="s">
        <v>34</v>
      </c>
      <c r="Y584" t="str">
        <f>"774946750"</f>
        <v>774946750</v>
      </c>
    </row>
    <row r="585" spans="1:25" x14ac:dyDescent="0.25">
      <c r="A585" t="s">
        <v>2703</v>
      </c>
      <c r="B585" t="s">
        <v>2704</v>
      </c>
      <c r="C585">
        <v>2021</v>
      </c>
      <c r="D585">
        <v>8001</v>
      </c>
      <c r="E585">
        <v>2</v>
      </c>
      <c r="F585" t="s">
        <v>2705</v>
      </c>
      <c r="G585">
        <v>30992293</v>
      </c>
      <c r="J585">
        <v>10</v>
      </c>
      <c r="L585">
        <v>49024125</v>
      </c>
      <c r="M585" s="1">
        <v>44568</v>
      </c>
      <c r="N585" t="str">
        <f>"RC220208"</f>
        <v>RC220208</v>
      </c>
      <c r="O585" t="s">
        <v>28</v>
      </c>
      <c r="Q585" t="s">
        <v>29</v>
      </c>
      <c r="R585" t="s">
        <v>28</v>
      </c>
      <c r="S585" t="s">
        <v>2706</v>
      </c>
      <c r="T585" t="s">
        <v>2707</v>
      </c>
      <c r="W585" t="s">
        <v>107</v>
      </c>
      <c r="X585" t="s">
        <v>34</v>
      </c>
      <c r="Y585" t="str">
        <f>"774945205"</f>
        <v>774945205</v>
      </c>
    </row>
    <row r="586" spans="1:25" x14ac:dyDescent="0.25">
      <c r="A586" t="s">
        <v>2708</v>
      </c>
      <c r="B586" t="s">
        <v>2709</v>
      </c>
      <c r="C586">
        <v>2021</v>
      </c>
      <c r="D586">
        <v>8001</v>
      </c>
      <c r="E586">
        <v>1</v>
      </c>
      <c r="F586" t="s">
        <v>2710</v>
      </c>
      <c r="G586">
        <v>28666794</v>
      </c>
      <c r="J586" s="2">
        <v>1602.07</v>
      </c>
      <c r="L586">
        <v>49539502</v>
      </c>
      <c r="M586" s="1">
        <v>44587</v>
      </c>
      <c r="N586" t="str">
        <f>"P220126U1"</f>
        <v>P220126U1</v>
      </c>
      <c r="O586" t="s">
        <v>28</v>
      </c>
      <c r="Q586" t="s">
        <v>29</v>
      </c>
      <c r="R586" t="s">
        <v>28</v>
      </c>
      <c r="S586" t="s">
        <v>2711</v>
      </c>
      <c r="T586" t="s">
        <v>2712</v>
      </c>
      <c r="W586" t="s">
        <v>2713</v>
      </c>
      <c r="X586" t="s">
        <v>1107</v>
      </c>
      <c r="Y586" t="str">
        <f>"300221515"</f>
        <v>300221515</v>
      </c>
    </row>
    <row r="587" spans="1:25" x14ac:dyDescent="0.25">
      <c r="A587" t="s">
        <v>2714</v>
      </c>
      <c r="B587" t="s">
        <v>2715</v>
      </c>
      <c r="C587">
        <v>2021</v>
      </c>
      <c r="D587">
        <v>8001</v>
      </c>
      <c r="E587">
        <v>1</v>
      </c>
      <c r="F587" t="s">
        <v>2716</v>
      </c>
      <c r="G587">
        <v>25175945</v>
      </c>
      <c r="J587" s="2">
        <v>1158.06</v>
      </c>
      <c r="L587">
        <v>49139742</v>
      </c>
      <c r="M587" s="1">
        <v>44573</v>
      </c>
      <c r="N587" t="str">
        <f>"O220112AB1"</f>
        <v>O220112AB1</v>
      </c>
      <c r="O587" t="s">
        <v>28</v>
      </c>
      <c r="Q587" t="s">
        <v>29</v>
      </c>
      <c r="R587" t="s">
        <v>28</v>
      </c>
      <c r="S587" t="s">
        <v>2717</v>
      </c>
      <c r="T587" t="s">
        <v>2718</v>
      </c>
      <c r="U587" t="s">
        <v>2719</v>
      </c>
      <c r="V587" t="s">
        <v>562</v>
      </c>
      <c r="W587" t="s">
        <v>563</v>
      </c>
      <c r="X587" t="s">
        <v>34</v>
      </c>
      <c r="Y587" t="str">
        <f>"750630156"</f>
        <v>750630156</v>
      </c>
    </row>
    <row r="588" spans="1:25" x14ac:dyDescent="0.25">
      <c r="A588" t="s">
        <v>2720</v>
      </c>
      <c r="B588" t="s">
        <v>2721</v>
      </c>
      <c r="C588">
        <v>2021</v>
      </c>
      <c r="D588">
        <v>8001</v>
      </c>
      <c r="E588">
        <v>1</v>
      </c>
      <c r="F588" t="s">
        <v>2722</v>
      </c>
      <c r="G588">
        <v>22731230</v>
      </c>
      <c r="J588">
        <v>93.28</v>
      </c>
      <c r="L588">
        <v>48082405</v>
      </c>
      <c r="M588" s="1">
        <v>44516</v>
      </c>
      <c r="N588" t="str">
        <f>"TE211116"</f>
        <v>TE211116</v>
      </c>
      <c r="O588" t="s">
        <v>28</v>
      </c>
      <c r="Q588" t="s">
        <v>29</v>
      </c>
      <c r="R588" t="s">
        <v>28</v>
      </c>
      <c r="S588" t="s">
        <v>2723</v>
      </c>
      <c r="T588" t="s">
        <v>2724</v>
      </c>
      <c r="U588" t="s">
        <v>2725</v>
      </c>
      <c r="W588" t="s">
        <v>81</v>
      </c>
      <c r="X588" t="s">
        <v>34</v>
      </c>
      <c r="Y588" t="str">
        <f>"77469"</f>
        <v>77469</v>
      </c>
    </row>
    <row r="589" spans="1:25" x14ac:dyDescent="0.25">
      <c r="A589" t="s">
        <v>2726</v>
      </c>
      <c r="B589" t="s">
        <v>2727</v>
      </c>
      <c r="C589">
        <v>2020</v>
      </c>
      <c r="D589">
        <v>8001</v>
      </c>
      <c r="E589">
        <v>2</v>
      </c>
      <c r="F589" t="s">
        <v>2728</v>
      </c>
      <c r="G589">
        <v>28587024</v>
      </c>
      <c r="J589">
        <v>300</v>
      </c>
      <c r="L589">
        <v>46902015</v>
      </c>
      <c r="M589" s="1">
        <v>44237</v>
      </c>
      <c r="N589" t="str">
        <f>"P210210AZ1"</f>
        <v>P210210AZ1</v>
      </c>
      <c r="O589" t="s">
        <v>28</v>
      </c>
      <c r="Q589" t="s">
        <v>29</v>
      </c>
      <c r="R589" t="s">
        <v>28</v>
      </c>
      <c r="S589" t="s">
        <v>2729</v>
      </c>
      <c r="T589" t="s">
        <v>2730</v>
      </c>
      <c r="W589" t="s">
        <v>40</v>
      </c>
      <c r="X589" t="s">
        <v>34</v>
      </c>
      <c r="Y589" t="str">
        <f>"774782848"</f>
        <v>774782848</v>
      </c>
    </row>
    <row r="590" spans="1:25" x14ac:dyDescent="0.25">
      <c r="A590" t="s">
        <v>2731</v>
      </c>
      <c r="B590" t="s">
        <v>2732</v>
      </c>
      <c r="C590">
        <v>2019</v>
      </c>
      <c r="D590">
        <v>8001</v>
      </c>
      <c r="E590">
        <v>1</v>
      </c>
      <c r="F590" t="s">
        <v>2733</v>
      </c>
      <c r="G590">
        <v>26848731</v>
      </c>
      <c r="J590">
        <v>28.71</v>
      </c>
      <c r="L590">
        <v>42211119</v>
      </c>
      <c r="M590" s="1">
        <v>43810</v>
      </c>
      <c r="N590" t="str">
        <f>"J191211K9"</f>
        <v>J191211K9</v>
      </c>
      <c r="O590" t="s">
        <v>28</v>
      </c>
      <c r="Q590" t="s">
        <v>29</v>
      </c>
      <c r="R590" t="s">
        <v>28</v>
      </c>
      <c r="S590" t="s">
        <v>2734</v>
      </c>
      <c r="T590" t="s">
        <v>2735</v>
      </c>
      <c r="U590" t="s">
        <v>2736</v>
      </c>
      <c r="W590" t="s">
        <v>75</v>
      </c>
      <c r="X590" t="s">
        <v>34</v>
      </c>
      <c r="Y590" t="str">
        <f>"77041"</f>
        <v>77041</v>
      </c>
    </row>
    <row r="591" spans="1:25" x14ac:dyDescent="0.25">
      <c r="A591" t="s">
        <v>2737</v>
      </c>
      <c r="B591" t="s">
        <v>2738</v>
      </c>
      <c r="C591">
        <v>2021</v>
      </c>
      <c r="D591">
        <v>8001</v>
      </c>
      <c r="E591">
        <v>1</v>
      </c>
      <c r="F591" t="s">
        <v>2739</v>
      </c>
      <c r="G591">
        <v>0</v>
      </c>
      <c r="J591">
        <v>5</v>
      </c>
      <c r="L591">
        <v>49429222</v>
      </c>
      <c r="M591" s="1">
        <v>44585</v>
      </c>
      <c r="N591" t="str">
        <f>"L220124"</f>
        <v>L220124</v>
      </c>
      <c r="O591" t="s">
        <v>28</v>
      </c>
      <c r="Q591" t="s">
        <v>29</v>
      </c>
      <c r="R591" t="s">
        <v>28</v>
      </c>
      <c r="S591" t="s">
        <v>2739</v>
      </c>
      <c r="T591" t="s">
        <v>2740</v>
      </c>
      <c r="U591" t="s">
        <v>60</v>
      </c>
      <c r="V591" t="s">
        <v>60</v>
      </c>
      <c r="W591" t="s">
        <v>1137</v>
      </c>
      <c r="X591" t="s">
        <v>34</v>
      </c>
      <c r="Y591" t="str">
        <f>"774947024   "</f>
        <v xml:space="preserve">774947024   </v>
      </c>
    </row>
    <row r="592" spans="1:25" x14ac:dyDescent="0.25">
      <c r="A592" t="s">
        <v>2741</v>
      </c>
      <c r="B592" t="s">
        <v>2742</v>
      </c>
      <c r="C592">
        <v>2021</v>
      </c>
      <c r="D592">
        <v>8001</v>
      </c>
      <c r="E592">
        <v>3</v>
      </c>
      <c r="F592" t="s">
        <v>2743</v>
      </c>
      <c r="G592">
        <v>31094702</v>
      </c>
      <c r="J592">
        <v>10</v>
      </c>
      <c r="L592">
        <v>49881763</v>
      </c>
      <c r="M592" s="1">
        <v>44594</v>
      </c>
      <c r="N592" t="str">
        <f>"RC220303"</f>
        <v>RC220303</v>
      </c>
      <c r="O592" t="s">
        <v>28</v>
      </c>
      <c r="Q592" t="s">
        <v>29</v>
      </c>
      <c r="R592" t="s">
        <v>28</v>
      </c>
      <c r="S592" t="s">
        <v>2744</v>
      </c>
      <c r="T592" t="s">
        <v>2745</v>
      </c>
      <c r="W592" t="s">
        <v>107</v>
      </c>
      <c r="X592" t="s">
        <v>34</v>
      </c>
      <c r="Y592" t="str">
        <f>"774920941"</f>
        <v>774920941</v>
      </c>
    </row>
    <row r="593" spans="1:25" x14ac:dyDescent="0.25">
      <c r="A593" t="s">
        <v>2746</v>
      </c>
      <c r="B593" t="s">
        <v>2747</v>
      </c>
      <c r="C593">
        <v>2020</v>
      </c>
      <c r="D593">
        <v>8001</v>
      </c>
      <c r="E593">
        <v>1</v>
      </c>
      <c r="F593" t="s">
        <v>2748</v>
      </c>
      <c r="G593">
        <v>29461775</v>
      </c>
      <c r="J593">
        <v>315.88</v>
      </c>
      <c r="L593">
        <v>46728775</v>
      </c>
      <c r="M593" s="1">
        <v>44230</v>
      </c>
      <c r="N593" t="str">
        <f>"EK210203"</f>
        <v>EK210203</v>
      </c>
      <c r="O593" t="s">
        <v>28</v>
      </c>
      <c r="Q593" t="s">
        <v>29</v>
      </c>
      <c r="R593" t="s">
        <v>28</v>
      </c>
      <c r="S593" t="s">
        <v>2749</v>
      </c>
      <c r="T593" t="s">
        <v>2750</v>
      </c>
      <c r="W593" t="s">
        <v>371</v>
      </c>
      <c r="X593" t="s">
        <v>34</v>
      </c>
      <c r="Y593" t="str">
        <f>"77477"</f>
        <v>77477</v>
      </c>
    </row>
    <row r="594" spans="1:25" x14ac:dyDescent="0.25">
      <c r="A594" t="s">
        <v>2751</v>
      </c>
      <c r="B594" t="s">
        <v>2752</v>
      </c>
      <c r="C594">
        <v>2020</v>
      </c>
      <c r="D594">
        <v>8001</v>
      </c>
      <c r="E594">
        <v>4</v>
      </c>
      <c r="F594" t="s">
        <v>2753</v>
      </c>
      <c r="G594">
        <v>0</v>
      </c>
      <c r="J594">
        <v>94.08</v>
      </c>
      <c r="L594">
        <v>47726888</v>
      </c>
      <c r="M594" s="1">
        <v>44440</v>
      </c>
      <c r="N594" t="str">
        <f>"O210901BO1"</f>
        <v>O210901BO1</v>
      </c>
      <c r="O594" t="s">
        <v>28</v>
      </c>
      <c r="Q594" t="s">
        <v>29</v>
      </c>
      <c r="R594" t="s">
        <v>28</v>
      </c>
      <c r="S594" t="s">
        <v>2753</v>
      </c>
      <c r="T594" t="s">
        <v>2754</v>
      </c>
      <c r="U594" t="s">
        <v>60</v>
      </c>
      <c r="V594" t="s">
        <v>60</v>
      </c>
      <c r="W594" t="s">
        <v>649</v>
      </c>
      <c r="X594" t="s">
        <v>34</v>
      </c>
      <c r="Y594" t="str">
        <f>"774715560   "</f>
        <v xml:space="preserve">774715560   </v>
      </c>
    </row>
    <row r="595" spans="1:25" x14ac:dyDescent="0.25">
      <c r="A595" t="s">
        <v>2755</v>
      </c>
      <c r="B595" t="s">
        <v>2756</v>
      </c>
      <c r="C595">
        <v>2019</v>
      </c>
      <c r="D595">
        <v>8001</v>
      </c>
      <c r="E595">
        <v>1</v>
      </c>
      <c r="F595" t="s">
        <v>2757</v>
      </c>
      <c r="G595">
        <v>0</v>
      </c>
      <c r="J595">
        <v>39.450000000000003</v>
      </c>
      <c r="L595">
        <v>43915021</v>
      </c>
      <c r="M595" s="1">
        <v>43900</v>
      </c>
      <c r="N595" t="str">
        <f>"J200310AW2"</f>
        <v>J200310AW2</v>
      </c>
      <c r="O595" t="s">
        <v>28</v>
      </c>
      <c r="Q595" t="s">
        <v>29</v>
      </c>
      <c r="R595" t="s">
        <v>28</v>
      </c>
      <c r="S595" t="s">
        <v>2757</v>
      </c>
      <c r="T595" t="s">
        <v>2758</v>
      </c>
      <c r="U595" t="s">
        <v>60</v>
      </c>
      <c r="V595" t="s">
        <v>60</v>
      </c>
      <c r="W595" t="s">
        <v>219</v>
      </c>
      <c r="X595" t="s">
        <v>34</v>
      </c>
      <c r="Y595" t="str">
        <f>"774989538   "</f>
        <v xml:space="preserve">774989538   </v>
      </c>
    </row>
    <row r="596" spans="1:25" x14ac:dyDescent="0.25">
      <c r="A596" t="s">
        <v>2759</v>
      </c>
      <c r="B596" t="s">
        <v>2760</v>
      </c>
      <c r="C596">
        <v>2019</v>
      </c>
      <c r="D596">
        <v>8001</v>
      </c>
      <c r="E596">
        <v>1</v>
      </c>
      <c r="F596" t="s">
        <v>2761</v>
      </c>
      <c r="G596">
        <v>27803120</v>
      </c>
      <c r="J596">
        <v>62.17</v>
      </c>
      <c r="L596">
        <v>44361779</v>
      </c>
      <c r="M596" s="1">
        <v>44014</v>
      </c>
      <c r="N596" t="str">
        <f>"J200702AW1"</f>
        <v>J200702AW1</v>
      </c>
      <c r="O596" t="s">
        <v>28</v>
      </c>
      <c r="Q596" t="s">
        <v>29</v>
      </c>
      <c r="R596" t="s">
        <v>28</v>
      </c>
      <c r="S596" t="s">
        <v>2717</v>
      </c>
      <c r="T596" t="s">
        <v>2762</v>
      </c>
      <c r="U596" t="s">
        <v>66</v>
      </c>
      <c r="V596" t="s">
        <v>2763</v>
      </c>
      <c r="W596" t="s">
        <v>68</v>
      </c>
      <c r="X596" t="s">
        <v>69</v>
      </c>
      <c r="Y596" t="str">
        <f>"29601"</f>
        <v>29601</v>
      </c>
    </row>
    <row r="597" spans="1:25" x14ac:dyDescent="0.25">
      <c r="A597" t="s">
        <v>2764</v>
      </c>
      <c r="B597" t="s">
        <v>2765</v>
      </c>
      <c r="C597">
        <v>2020</v>
      </c>
      <c r="D597">
        <v>8001</v>
      </c>
      <c r="E597">
        <v>1</v>
      </c>
      <c r="F597" t="s">
        <v>2766</v>
      </c>
      <c r="G597">
        <v>29489583</v>
      </c>
      <c r="J597">
        <v>307.58999999999997</v>
      </c>
      <c r="L597">
        <v>46782283</v>
      </c>
      <c r="M597" s="1">
        <v>44231</v>
      </c>
      <c r="N597" t="str">
        <f>"CC210204"</f>
        <v>CC210204</v>
      </c>
      <c r="O597" t="s">
        <v>28</v>
      </c>
      <c r="Q597" t="s">
        <v>29</v>
      </c>
      <c r="R597" t="s">
        <v>28</v>
      </c>
      <c r="S597" t="s">
        <v>2767</v>
      </c>
      <c r="T597" t="s">
        <v>2768</v>
      </c>
      <c r="W597" t="s">
        <v>40</v>
      </c>
      <c r="X597" t="s">
        <v>34</v>
      </c>
      <c r="Y597" t="str">
        <f>"77478"</f>
        <v>77478</v>
      </c>
    </row>
    <row r="598" spans="1:25" x14ac:dyDescent="0.25">
      <c r="A598" t="s">
        <v>2769</v>
      </c>
      <c r="B598" t="s">
        <v>2770</v>
      </c>
      <c r="C598">
        <v>2020</v>
      </c>
      <c r="D598">
        <v>8001</v>
      </c>
      <c r="E598">
        <v>1</v>
      </c>
      <c r="F598" t="s">
        <v>2771</v>
      </c>
      <c r="G598">
        <v>29859269</v>
      </c>
      <c r="J598">
        <v>75.180000000000007</v>
      </c>
      <c r="L598">
        <v>47500768</v>
      </c>
      <c r="M598" s="1">
        <v>44351</v>
      </c>
      <c r="N598" t="str">
        <f>"CC210604"</f>
        <v>CC210604</v>
      </c>
      <c r="O598" t="s">
        <v>28</v>
      </c>
      <c r="Q598" t="s">
        <v>29</v>
      </c>
      <c r="R598" t="s">
        <v>28</v>
      </c>
      <c r="S598" t="s">
        <v>2772</v>
      </c>
      <c r="T598" t="s">
        <v>2773</v>
      </c>
      <c r="W598" t="s">
        <v>40</v>
      </c>
      <c r="X598" t="s">
        <v>34</v>
      </c>
      <c r="Y598" t="str">
        <f>"77478"</f>
        <v>77478</v>
      </c>
    </row>
    <row r="599" spans="1:25" x14ac:dyDescent="0.25">
      <c r="A599" t="s">
        <v>2774</v>
      </c>
      <c r="B599" t="s">
        <v>2775</v>
      </c>
      <c r="C599">
        <v>2021</v>
      </c>
      <c r="D599">
        <v>8001</v>
      </c>
      <c r="E599">
        <v>1</v>
      </c>
      <c r="F599" t="s">
        <v>2776</v>
      </c>
      <c r="G599">
        <v>30140062</v>
      </c>
      <c r="J599" s="2">
        <v>1127.3800000000001</v>
      </c>
      <c r="L599">
        <v>48519849</v>
      </c>
      <c r="M599" s="1">
        <v>44546</v>
      </c>
      <c r="N599" t="str">
        <f>"RC220114"</f>
        <v>RC220114</v>
      </c>
      <c r="O599" t="s">
        <v>28</v>
      </c>
      <c r="Q599" t="s">
        <v>29</v>
      </c>
      <c r="R599" t="s">
        <v>28</v>
      </c>
      <c r="S599" t="s">
        <v>1234</v>
      </c>
      <c r="T599" t="s">
        <v>2777</v>
      </c>
      <c r="W599" t="s">
        <v>2778</v>
      </c>
      <c r="X599" t="s">
        <v>34</v>
      </c>
      <c r="Y599" t="str">
        <f>"78704"</f>
        <v>78704</v>
      </c>
    </row>
    <row r="600" spans="1:25" x14ac:dyDescent="0.25">
      <c r="A600" t="s">
        <v>2779</v>
      </c>
      <c r="B600" t="s">
        <v>2780</v>
      </c>
      <c r="C600">
        <v>2020</v>
      </c>
      <c r="D600">
        <v>8001</v>
      </c>
      <c r="E600">
        <v>11</v>
      </c>
      <c r="F600" t="s">
        <v>2781</v>
      </c>
      <c r="G600">
        <v>0</v>
      </c>
      <c r="J600">
        <v>31.58</v>
      </c>
      <c r="L600">
        <v>44571118</v>
      </c>
      <c r="M600" s="1">
        <v>44147</v>
      </c>
      <c r="N600" t="str">
        <f>"TE201112"</f>
        <v>TE201112</v>
      </c>
      <c r="O600" t="s">
        <v>28</v>
      </c>
      <c r="Q600" t="s">
        <v>29</v>
      </c>
      <c r="R600" t="s">
        <v>28</v>
      </c>
      <c r="S600" t="s">
        <v>2781</v>
      </c>
      <c r="T600" t="s">
        <v>2782</v>
      </c>
      <c r="U600" t="s">
        <v>60</v>
      </c>
      <c r="V600" t="s">
        <v>60</v>
      </c>
      <c r="W600" t="s">
        <v>214</v>
      </c>
      <c r="X600" t="s">
        <v>34</v>
      </c>
      <c r="Y600" t="str">
        <f>"774062105   "</f>
        <v xml:space="preserve">774062105   </v>
      </c>
    </row>
    <row r="601" spans="1:25" x14ac:dyDescent="0.25">
      <c r="A601" t="s">
        <v>2783</v>
      </c>
      <c r="B601" t="s">
        <v>2784</v>
      </c>
      <c r="C601">
        <v>2020</v>
      </c>
      <c r="D601">
        <v>8001</v>
      </c>
      <c r="E601">
        <v>3</v>
      </c>
      <c r="F601" t="s">
        <v>2785</v>
      </c>
      <c r="G601">
        <v>0</v>
      </c>
      <c r="J601">
        <v>186.48</v>
      </c>
      <c r="L601">
        <v>47083160</v>
      </c>
      <c r="M601" s="1">
        <v>44266</v>
      </c>
      <c r="N601" t="str">
        <f>"R210311AJ2"</f>
        <v>R210311AJ2</v>
      </c>
      <c r="O601" t="s">
        <v>28</v>
      </c>
      <c r="Q601" t="s">
        <v>29</v>
      </c>
      <c r="R601" t="s">
        <v>28</v>
      </c>
      <c r="S601" t="s">
        <v>2785</v>
      </c>
      <c r="T601" t="s">
        <v>2786</v>
      </c>
      <c r="U601" t="s">
        <v>60</v>
      </c>
      <c r="V601" t="s">
        <v>60</v>
      </c>
      <c r="W601" t="s">
        <v>214</v>
      </c>
      <c r="X601" t="s">
        <v>34</v>
      </c>
      <c r="Y601" t="str">
        <f>"774062152   "</f>
        <v xml:space="preserve">774062152   </v>
      </c>
    </row>
    <row r="602" spans="1:25" x14ac:dyDescent="0.25">
      <c r="A602" t="s">
        <v>2787</v>
      </c>
      <c r="B602" t="s">
        <v>2788</v>
      </c>
      <c r="C602">
        <v>2020</v>
      </c>
      <c r="D602">
        <v>8001</v>
      </c>
      <c r="E602">
        <v>3</v>
      </c>
      <c r="F602" t="s">
        <v>2789</v>
      </c>
      <c r="G602">
        <v>29683294</v>
      </c>
      <c r="J602">
        <v>275.14</v>
      </c>
      <c r="L602">
        <v>47178469</v>
      </c>
      <c r="M602" s="1">
        <v>44281</v>
      </c>
      <c r="N602" t="str">
        <f>"R210326AJ1"</f>
        <v>R210326AJ1</v>
      </c>
      <c r="O602" t="s">
        <v>28</v>
      </c>
      <c r="Q602" t="s">
        <v>29</v>
      </c>
      <c r="R602" t="s">
        <v>28</v>
      </c>
      <c r="S602" t="s">
        <v>2790</v>
      </c>
      <c r="T602" t="s">
        <v>2791</v>
      </c>
      <c r="W602" t="s">
        <v>563</v>
      </c>
      <c r="X602" t="s">
        <v>34</v>
      </c>
      <c r="Y602" t="str">
        <f>"75063"</f>
        <v>75063</v>
      </c>
    </row>
    <row r="603" spans="1:25" x14ac:dyDescent="0.25">
      <c r="A603" t="s">
        <v>2792</v>
      </c>
      <c r="B603" t="s">
        <v>2793</v>
      </c>
      <c r="C603">
        <v>2021</v>
      </c>
      <c r="D603">
        <v>8001</v>
      </c>
      <c r="E603">
        <v>2</v>
      </c>
      <c r="F603" t="s">
        <v>2794</v>
      </c>
      <c r="G603">
        <v>0</v>
      </c>
      <c r="J603">
        <v>52</v>
      </c>
      <c r="L603">
        <v>49980824</v>
      </c>
      <c r="M603" s="1">
        <v>44595</v>
      </c>
      <c r="N603" t="str">
        <f>"O220203F1"</f>
        <v>O220203F1</v>
      </c>
      <c r="O603" t="s">
        <v>28</v>
      </c>
      <c r="Q603" t="s">
        <v>29</v>
      </c>
      <c r="R603" t="s">
        <v>28</v>
      </c>
      <c r="S603" t="s">
        <v>2794</v>
      </c>
      <c r="T603" t="s">
        <v>2795</v>
      </c>
      <c r="U603" t="s">
        <v>60</v>
      </c>
      <c r="V603" t="s">
        <v>60</v>
      </c>
      <c r="W603" t="s">
        <v>214</v>
      </c>
      <c r="X603" t="s">
        <v>34</v>
      </c>
      <c r="Y603" t="str">
        <f>"774062327   "</f>
        <v xml:space="preserve">774062327   </v>
      </c>
    </row>
    <row r="604" spans="1:25" x14ac:dyDescent="0.25">
      <c r="A604" t="s">
        <v>2796</v>
      </c>
      <c r="B604" t="s">
        <v>2797</v>
      </c>
      <c r="C604">
        <v>2020</v>
      </c>
      <c r="D604">
        <v>8001</v>
      </c>
      <c r="E604">
        <v>4</v>
      </c>
      <c r="F604" t="s">
        <v>2798</v>
      </c>
      <c r="G604">
        <v>29955721</v>
      </c>
      <c r="J604">
        <v>33.86</v>
      </c>
      <c r="L604">
        <v>47679405</v>
      </c>
      <c r="M604" s="1">
        <v>44413</v>
      </c>
      <c r="N604" t="str">
        <f>"CC210805"</f>
        <v>CC210805</v>
      </c>
      <c r="O604" t="s">
        <v>28</v>
      </c>
      <c r="Q604" t="s">
        <v>29</v>
      </c>
      <c r="R604" t="s">
        <v>28</v>
      </c>
      <c r="S604" t="s">
        <v>2799</v>
      </c>
      <c r="T604" t="s">
        <v>2800</v>
      </c>
      <c r="W604" t="s">
        <v>81</v>
      </c>
      <c r="X604" t="s">
        <v>34</v>
      </c>
      <c r="Y604" t="str">
        <f>"77406"</f>
        <v>77406</v>
      </c>
    </row>
    <row r="605" spans="1:25" x14ac:dyDescent="0.25">
      <c r="A605" t="s">
        <v>2801</v>
      </c>
      <c r="B605" t="s">
        <v>2802</v>
      </c>
      <c r="C605">
        <v>2019</v>
      </c>
      <c r="D605">
        <v>8001</v>
      </c>
      <c r="E605">
        <v>1</v>
      </c>
      <c r="F605" t="s">
        <v>2803</v>
      </c>
      <c r="G605">
        <v>28305475</v>
      </c>
      <c r="J605">
        <v>68.75</v>
      </c>
      <c r="L605">
        <v>43875227</v>
      </c>
      <c r="M605" s="1">
        <v>43894</v>
      </c>
      <c r="N605" t="str">
        <f>"CC400304"</f>
        <v>CC400304</v>
      </c>
      <c r="O605" t="s">
        <v>28</v>
      </c>
      <c r="Q605" t="s">
        <v>29</v>
      </c>
      <c r="R605" t="s">
        <v>28</v>
      </c>
      <c r="S605" t="s">
        <v>2804</v>
      </c>
      <c r="T605" t="s">
        <v>2805</v>
      </c>
      <c r="W605" t="s">
        <v>154</v>
      </c>
      <c r="X605" t="s">
        <v>34</v>
      </c>
      <c r="Y605" t="str">
        <f>"77469"</f>
        <v>77469</v>
      </c>
    </row>
    <row r="606" spans="1:25" x14ac:dyDescent="0.25">
      <c r="A606" t="s">
        <v>2806</v>
      </c>
      <c r="B606" t="s">
        <v>2807</v>
      </c>
      <c r="C606">
        <v>2019</v>
      </c>
      <c r="D606">
        <v>8001</v>
      </c>
      <c r="E606">
        <v>1</v>
      </c>
      <c r="F606" t="s">
        <v>2808</v>
      </c>
      <c r="G606">
        <v>28298292</v>
      </c>
      <c r="J606">
        <v>59.03</v>
      </c>
      <c r="L606">
        <v>43864408</v>
      </c>
      <c r="M606" s="1">
        <v>43893</v>
      </c>
      <c r="N606" t="str">
        <f>"EK400303"</f>
        <v>EK400303</v>
      </c>
      <c r="O606" t="s">
        <v>28</v>
      </c>
      <c r="Q606" t="s">
        <v>29</v>
      </c>
      <c r="R606" t="s">
        <v>28</v>
      </c>
      <c r="S606" t="s">
        <v>2809</v>
      </c>
      <c r="T606" t="s">
        <v>2810</v>
      </c>
      <c r="W606" t="s">
        <v>81</v>
      </c>
      <c r="X606" t="s">
        <v>34</v>
      </c>
      <c r="Y606" t="str">
        <f>"77406"</f>
        <v>77406</v>
      </c>
    </row>
    <row r="607" spans="1:25" x14ac:dyDescent="0.25">
      <c r="A607" t="s">
        <v>2811</v>
      </c>
      <c r="B607" t="s">
        <v>2812</v>
      </c>
      <c r="C607">
        <v>2019</v>
      </c>
      <c r="D607">
        <v>8001</v>
      </c>
      <c r="E607">
        <v>1</v>
      </c>
      <c r="F607" t="s">
        <v>2813</v>
      </c>
      <c r="G607">
        <v>0</v>
      </c>
      <c r="J607">
        <v>73.400000000000006</v>
      </c>
      <c r="L607">
        <v>43324409</v>
      </c>
      <c r="M607" s="1">
        <v>43859</v>
      </c>
      <c r="N607" t="str">
        <f>"L200129"</f>
        <v>L200129</v>
      </c>
      <c r="O607" t="s">
        <v>28</v>
      </c>
      <c r="Q607" t="s">
        <v>29</v>
      </c>
      <c r="R607" t="s">
        <v>28</v>
      </c>
      <c r="S607" t="s">
        <v>2813</v>
      </c>
      <c r="T607" t="s">
        <v>2814</v>
      </c>
      <c r="U607" t="s">
        <v>60</v>
      </c>
      <c r="V607" t="s">
        <v>60</v>
      </c>
      <c r="W607" t="s">
        <v>214</v>
      </c>
      <c r="X607" t="s">
        <v>34</v>
      </c>
      <c r="Y607" t="str">
        <f>"774062382   "</f>
        <v xml:space="preserve">774062382   </v>
      </c>
    </row>
    <row r="608" spans="1:25" x14ac:dyDescent="0.25">
      <c r="A608" t="s">
        <v>2815</v>
      </c>
      <c r="B608" t="s">
        <v>2816</v>
      </c>
      <c r="C608">
        <v>2020</v>
      </c>
      <c r="D608">
        <v>8001</v>
      </c>
      <c r="E608">
        <v>4</v>
      </c>
      <c r="F608" t="s">
        <v>2817</v>
      </c>
      <c r="G608">
        <v>29874395</v>
      </c>
      <c r="J608">
        <v>481.73</v>
      </c>
      <c r="L608">
        <v>47519966</v>
      </c>
      <c r="M608" s="1">
        <v>44357</v>
      </c>
      <c r="N608" t="str">
        <f>"RC210616"</f>
        <v>RC210616</v>
      </c>
      <c r="O608" t="s">
        <v>28</v>
      </c>
      <c r="Q608" t="s">
        <v>29</v>
      </c>
      <c r="R608" t="s">
        <v>28</v>
      </c>
      <c r="S608" t="s">
        <v>2818</v>
      </c>
      <c r="T608" t="s">
        <v>2819</v>
      </c>
      <c r="U608" t="s">
        <v>2820</v>
      </c>
      <c r="V608" t="s">
        <v>2821</v>
      </c>
      <c r="W608" t="s">
        <v>936</v>
      </c>
      <c r="X608" t="s">
        <v>34</v>
      </c>
      <c r="Y608" t="str">
        <f>"77379"</f>
        <v>77379</v>
      </c>
    </row>
    <row r="609" spans="1:25" x14ac:dyDescent="0.25">
      <c r="A609" t="s">
        <v>2822</v>
      </c>
      <c r="B609" t="s">
        <v>2823</v>
      </c>
      <c r="C609">
        <v>2020</v>
      </c>
      <c r="D609">
        <v>8001</v>
      </c>
      <c r="E609">
        <v>1</v>
      </c>
      <c r="F609" t="s">
        <v>2824</v>
      </c>
      <c r="G609">
        <v>29489437</v>
      </c>
      <c r="J609">
        <v>244.36</v>
      </c>
      <c r="L609">
        <v>46782136</v>
      </c>
      <c r="M609" s="1">
        <v>44231</v>
      </c>
      <c r="N609" t="str">
        <f>"CC210204"</f>
        <v>CC210204</v>
      </c>
      <c r="O609" t="s">
        <v>28</v>
      </c>
      <c r="Q609" t="s">
        <v>29</v>
      </c>
      <c r="R609" t="s">
        <v>28</v>
      </c>
      <c r="S609" t="s">
        <v>2825</v>
      </c>
      <c r="T609" t="s">
        <v>2826</v>
      </c>
      <c r="W609" t="s">
        <v>586</v>
      </c>
      <c r="X609" t="s">
        <v>34</v>
      </c>
      <c r="Y609" t="str">
        <f>"77584"</f>
        <v>77584</v>
      </c>
    </row>
    <row r="610" spans="1:25" x14ac:dyDescent="0.25">
      <c r="A610" t="s">
        <v>2827</v>
      </c>
      <c r="B610" t="s">
        <v>2828</v>
      </c>
      <c r="C610">
        <v>2020</v>
      </c>
      <c r="D610">
        <v>8001</v>
      </c>
      <c r="E610">
        <v>1</v>
      </c>
      <c r="F610" t="s">
        <v>2829</v>
      </c>
      <c r="G610">
        <v>29461899</v>
      </c>
      <c r="J610">
        <v>105.03</v>
      </c>
      <c r="L610">
        <v>46728899</v>
      </c>
      <c r="M610" s="1">
        <v>44230</v>
      </c>
      <c r="N610" t="str">
        <f>"EK210203"</f>
        <v>EK210203</v>
      </c>
      <c r="O610" t="s">
        <v>28</v>
      </c>
      <c r="Q610" t="s">
        <v>29</v>
      </c>
      <c r="R610" t="s">
        <v>28</v>
      </c>
      <c r="S610" t="s">
        <v>2830</v>
      </c>
      <c r="T610" t="s">
        <v>2831</v>
      </c>
      <c r="W610" t="s">
        <v>2832</v>
      </c>
      <c r="X610" t="s">
        <v>34</v>
      </c>
      <c r="Y610" t="str">
        <f>"77642"</f>
        <v>77642</v>
      </c>
    </row>
    <row r="611" spans="1:25" x14ac:dyDescent="0.25">
      <c r="A611" t="s">
        <v>2833</v>
      </c>
      <c r="B611" t="s">
        <v>2834</v>
      </c>
      <c r="C611">
        <v>2019</v>
      </c>
      <c r="D611">
        <v>8001</v>
      </c>
      <c r="E611">
        <v>4</v>
      </c>
      <c r="F611" t="s">
        <v>2835</v>
      </c>
      <c r="G611">
        <v>0</v>
      </c>
      <c r="J611">
        <v>184.06</v>
      </c>
      <c r="L611">
        <v>43885510</v>
      </c>
      <c r="M611" s="1">
        <v>43895</v>
      </c>
      <c r="N611" t="str">
        <f>"J200305K2"</f>
        <v>J200305K2</v>
      </c>
      <c r="O611" t="s">
        <v>28</v>
      </c>
      <c r="Q611" t="s">
        <v>29</v>
      </c>
      <c r="R611" t="s">
        <v>28</v>
      </c>
      <c r="S611" t="s">
        <v>2835</v>
      </c>
      <c r="T611" t="s">
        <v>2836</v>
      </c>
      <c r="U611" t="s">
        <v>60</v>
      </c>
      <c r="V611" t="s">
        <v>60</v>
      </c>
      <c r="W611" t="s">
        <v>214</v>
      </c>
      <c r="X611" t="s">
        <v>34</v>
      </c>
      <c r="Y611" t="str">
        <f>"774066814   "</f>
        <v xml:space="preserve">774066814   </v>
      </c>
    </row>
    <row r="612" spans="1:25" x14ac:dyDescent="0.25">
      <c r="A612" t="s">
        <v>2837</v>
      </c>
      <c r="B612" t="s">
        <v>2838</v>
      </c>
      <c r="C612">
        <v>2019</v>
      </c>
      <c r="D612">
        <v>8001</v>
      </c>
      <c r="E612">
        <v>1</v>
      </c>
      <c r="F612" t="s">
        <v>2839</v>
      </c>
      <c r="G612">
        <v>0</v>
      </c>
      <c r="J612">
        <v>30</v>
      </c>
      <c r="L612">
        <v>43032370</v>
      </c>
      <c r="M612" s="1">
        <v>43851</v>
      </c>
      <c r="N612" t="str">
        <f>"O200121AG8"</f>
        <v>O200121AG8</v>
      </c>
      <c r="O612" t="s">
        <v>28</v>
      </c>
      <c r="Q612" t="s">
        <v>29</v>
      </c>
      <c r="R612" t="s">
        <v>28</v>
      </c>
      <c r="S612" t="s">
        <v>2839</v>
      </c>
      <c r="T612" t="s">
        <v>2840</v>
      </c>
      <c r="U612" t="s">
        <v>60</v>
      </c>
      <c r="V612" t="s">
        <v>60</v>
      </c>
      <c r="W612" t="s">
        <v>214</v>
      </c>
      <c r="X612" t="s">
        <v>34</v>
      </c>
      <c r="Y612" t="str">
        <f>"774066848   "</f>
        <v xml:space="preserve">774066848   </v>
      </c>
    </row>
    <row r="613" spans="1:25" x14ac:dyDescent="0.25">
      <c r="A613" t="s">
        <v>2841</v>
      </c>
      <c r="B613" t="s">
        <v>2842</v>
      </c>
      <c r="C613">
        <v>2019</v>
      </c>
      <c r="D613">
        <v>8001</v>
      </c>
      <c r="E613">
        <v>1</v>
      </c>
      <c r="F613" t="s">
        <v>2843</v>
      </c>
      <c r="G613">
        <v>27687617</v>
      </c>
      <c r="J613">
        <v>258.39999999999998</v>
      </c>
      <c r="L613">
        <v>44295656</v>
      </c>
      <c r="M613" s="1">
        <v>43992</v>
      </c>
      <c r="N613" t="str">
        <f>"J200610K5"</f>
        <v>J200610K5</v>
      </c>
      <c r="O613" t="s">
        <v>28</v>
      </c>
      <c r="Q613" t="s">
        <v>29</v>
      </c>
      <c r="R613" t="s">
        <v>28</v>
      </c>
      <c r="S613" t="s">
        <v>561</v>
      </c>
      <c r="T613" t="s">
        <v>562</v>
      </c>
      <c r="W613" t="s">
        <v>563</v>
      </c>
      <c r="X613" t="s">
        <v>34</v>
      </c>
      <c r="Y613" t="str">
        <f>"750630156"</f>
        <v>750630156</v>
      </c>
    </row>
    <row r="614" spans="1:25" x14ac:dyDescent="0.25">
      <c r="A614" t="s">
        <v>2844</v>
      </c>
      <c r="B614" t="s">
        <v>2845</v>
      </c>
      <c r="C614">
        <v>2020</v>
      </c>
      <c r="D614">
        <v>8001</v>
      </c>
      <c r="E614">
        <v>26</v>
      </c>
      <c r="F614" t="s">
        <v>2846</v>
      </c>
      <c r="G614">
        <v>27377231</v>
      </c>
      <c r="J614">
        <v>40.92</v>
      </c>
      <c r="L614">
        <v>44520042</v>
      </c>
      <c r="M614" s="1">
        <v>44147</v>
      </c>
      <c r="N614" t="str">
        <f>"TE201112"</f>
        <v>TE201112</v>
      </c>
      <c r="O614" t="s">
        <v>28</v>
      </c>
      <c r="Q614" t="s">
        <v>29</v>
      </c>
      <c r="R614" t="s">
        <v>28</v>
      </c>
      <c r="S614" t="s">
        <v>2847</v>
      </c>
      <c r="T614" t="s">
        <v>2848</v>
      </c>
      <c r="W614" t="s">
        <v>81</v>
      </c>
      <c r="X614" t="s">
        <v>34</v>
      </c>
      <c r="Y614" t="str">
        <f>"774062388"</f>
        <v>774062388</v>
      </c>
    </row>
    <row r="615" spans="1:25" x14ac:dyDescent="0.25">
      <c r="A615" t="s">
        <v>2844</v>
      </c>
      <c r="B615" t="s">
        <v>2845</v>
      </c>
      <c r="C615">
        <v>2020</v>
      </c>
      <c r="D615">
        <v>8001</v>
      </c>
      <c r="E615">
        <v>26</v>
      </c>
      <c r="F615" t="s">
        <v>2846</v>
      </c>
      <c r="G615">
        <v>27377231</v>
      </c>
      <c r="J615">
        <v>251.63</v>
      </c>
      <c r="L615">
        <v>44564097</v>
      </c>
      <c r="M615" s="1">
        <v>44147</v>
      </c>
      <c r="N615" t="str">
        <f>"TE201112"</f>
        <v>TE201112</v>
      </c>
      <c r="O615" t="s">
        <v>28</v>
      </c>
      <c r="Q615" t="s">
        <v>29</v>
      </c>
      <c r="R615" t="s">
        <v>28</v>
      </c>
      <c r="S615" t="s">
        <v>2847</v>
      </c>
      <c r="T615" t="s">
        <v>2848</v>
      </c>
      <c r="W615" t="s">
        <v>81</v>
      </c>
      <c r="X615" t="s">
        <v>34</v>
      </c>
      <c r="Y615" t="str">
        <f>"774062388"</f>
        <v>774062388</v>
      </c>
    </row>
    <row r="616" spans="1:25" x14ac:dyDescent="0.25">
      <c r="A616" t="s">
        <v>2844</v>
      </c>
      <c r="B616" t="s">
        <v>2845</v>
      </c>
      <c r="C616">
        <v>2020</v>
      </c>
      <c r="D616">
        <v>8001</v>
      </c>
      <c r="E616">
        <v>26</v>
      </c>
      <c r="F616" t="s">
        <v>2846</v>
      </c>
      <c r="G616">
        <v>27377231</v>
      </c>
      <c r="J616">
        <v>251.63</v>
      </c>
      <c r="L616">
        <v>44683741</v>
      </c>
      <c r="M616" s="1">
        <v>44147</v>
      </c>
      <c r="N616" t="str">
        <f>"TE201112"</f>
        <v>TE201112</v>
      </c>
      <c r="O616" t="s">
        <v>28</v>
      </c>
      <c r="Q616" t="s">
        <v>29</v>
      </c>
      <c r="R616" t="s">
        <v>28</v>
      </c>
      <c r="S616" t="s">
        <v>2847</v>
      </c>
      <c r="T616" t="s">
        <v>2848</v>
      </c>
      <c r="W616" t="s">
        <v>81</v>
      </c>
      <c r="X616" t="s">
        <v>34</v>
      </c>
      <c r="Y616" t="str">
        <f>"774062388"</f>
        <v>774062388</v>
      </c>
    </row>
    <row r="617" spans="1:25" x14ac:dyDescent="0.25">
      <c r="A617" t="s">
        <v>2849</v>
      </c>
      <c r="B617" t="s">
        <v>2850</v>
      </c>
      <c r="C617">
        <v>2020</v>
      </c>
      <c r="D617">
        <v>8001</v>
      </c>
      <c r="E617">
        <v>1</v>
      </c>
      <c r="F617" t="s">
        <v>2851</v>
      </c>
      <c r="G617">
        <v>0</v>
      </c>
      <c r="J617" s="2">
        <v>1121.31</v>
      </c>
      <c r="L617">
        <v>46526863</v>
      </c>
      <c r="M617" s="1">
        <v>44225</v>
      </c>
      <c r="N617" t="str">
        <f>"L210129A"</f>
        <v>L210129A</v>
      </c>
      <c r="O617" t="s">
        <v>28</v>
      </c>
      <c r="Q617" t="s">
        <v>29</v>
      </c>
      <c r="R617" t="s">
        <v>28</v>
      </c>
      <c r="S617" t="s">
        <v>2851</v>
      </c>
      <c r="T617" t="s">
        <v>2852</v>
      </c>
      <c r="U617" t="s">
        <v>60</v>
      </c>
      <c r="V617" t="s">
        <v>60</v>
      </c>
      <c r="W617" t="s">
        <v>214</v>
      </c>
      <c r="X617" t="s">
        <v>34</v>
      </c>
      <c r="Y617" t="str">
        <f>"774066730   "</f>
        <v xml:space="preserve">774066730   </v>
      </c>
    </row>
    <row r="618" spans="1:25" x14ac:dyDescent="0.25">
      <c r="A618" t="s">
        <v>2853</v>
      </c>
      <c r="B618" t="s">
        <v>2854</v>
      </c>
      <c r="C618">
        <v>2021</v>
      </c>
      <c r="D618">
        <v>8001</v>
      </c>
      <c r="E618">
        <v>1</v>
      </c>
      <c r="F618" t="s">
        <v>2855</v>
      </c>
      <c r="G618">
        <v>30503281</v>
      </c>
      <c r="J618">
        <v>116.33</v>
      </c>
      <c r="L618">
        <v>48386292</v>
      </c>
      <c r="M618" s="1">
        <v>44539</v>
      </c>
      <c r="N618" t="str">
        <f>"RC220113"</f>
        <v>RC220113</v>
      </c>
      <c r="O618" t="s">
        <v>28</v>
      </c>
      <c r="Q618" t="s">
        <v>29</v>
      </c>
      <c r="R618" t="s">
        <v>28</v>
      </c>
      <c r="S618" t="s">
        <v>686</v>
      </c>
      <c r="T618" t="s">
        <v>203</v>
      </c>
      <c r="U618" t="s">
        <v>2856</v>
      </c>
      <c r="W618" t="s">
        <v>2857</v>
      </c>
      <c r="X618" t="s">
        <v>34</v>
      </c>
      <c r="Y618" t="str">
        <f>"76028"</f>
        <v>76028</v>
      </c>
    </row>
    <row r="619" spans="1:25" x14ac:dyDescent="0.25">
      <c r="A619" t="s">
        <v>2858</v>
      </c>
      <c r="B619" t="s">
        <v>2859</v>
      </c>
      <c r="C619">
        <v>2021</v>
      </c>
      <c r="D619">
        <v>8001</v>
      </c>
      <c r="E619">
        <v>1</v>
      </c>
      <c r="F619" t="s">
        <v>2860</v>
      </c>
      <c r="G619">
        <v>30512693</v>
      </c>
      <c r="J619">
        <v>543.75</v>
      </c>
      <c r="L619">
        <v>48517709</v>
      </c>
      <c r="M619" s="1">
        <v>44546</v>
      </c>
      <c r="N619" t="str">
        <f>"RC220114"</f>
        <v>RC220114</v>
      </c>
      <c r="O619" t="s">
        <v>28</v>
      </c>
      <c r="Q619" t="s">
        <v>29</v>
      </c>
      <c r="R619" t="s">
        <v>28</v>
      </c>
      <c r="S619" t="s">
        <v>2861</v>
      </c>
      <c r="T619" t="s">
        <v>2862</v>
      </c>
      <c r="U619" t="s">
        <v>2863</v>
      </c>
      <c r="W619" t="s">
        <v>2864</v>
      </c>
      <c r="X619" t="s">
        <v>2865</v>
      </c>
      <c r="Y619" t="str">
        <f>"58701"</f>
        <v>58701</v>
      </c>
    </row>
    <row r="620" spans="1:25" x14ac:dyDescent="0.25">
      <c r="A620" t="s">
        <v>2866</v>
      </c>
      <c r="B620" t="s">
        <v>2867</v>
      </c>
      <c r="C620">
        <v>2020</v>
      </c>
      <c r="D620">
        <v>8001</v>
      </c>
      <c r="E620">
        <v>1</v>
      </c>
      <c r="F620" t="s">
        <v>2868</v>
      </c>
      <c r="G620">
        <v>29955705</v>
      </c>
      <c r="J620">
        <v>89.34</v>
      </c>
      <c r="L620">
        <v>47679389</v>
      </c>
      <c r="M620" s="1">
        <v>44413</v>
      </c>
      <c r="N620" t="str">
        <f>"CC210805"</f>
        <v>CC210805</v>
      </c>
      <c r="O620" t="s">
        <v>28</v>
      </c>
      <c r="Q620" t="s">
        <v>29</v>
      </c>
      <c r="R620" t="s">
        <v>28</v>
      </c>
      <c r="S620" t="s">
        <v>2869</v>
      </c>
      <c r="T620" t="s">
        <v>2870</v>
      </c>
      <c r="W620" t="s">
        <v>81</v>
      </c>
      <c r="X620" t="s">
        <v>34</v>
      </c>
      <c r="Y620" t="str">
        <f>"77406"</f>
        <v>77406</v>
      </c>
    </row>
    <row r="621" spans="1:25" x14ac:dyDescent="0.25">
      <c r="A621" t="s">
        <v>2871</v>
      </c>
      <c r="B621" t="s">
        <v>2872</v>
      </c>
      <c r="C621">
        <v>2020</v>
      </c>
      <c r="D621">
        <v>8001</v>
      </c>
      <c r="E621">
        <v>1</v>
      </c>
      <c r="F621" t="s">
        <v>2873</v>
      </c>
      <c r="G621">
        <v>29461836</v>
      </c>
      <c r="J621">
        <v>472.93</v>
      </c>
      <c r="L621">
        <v>46728836</v>
      </c>
      <c r="M621" s="1">
        <v>44230</v>
      </c>
      <c r="N621" t="str">
        <f>"EK210203"</f>
        <v>EK210203</v>
      </c>
      <c r="O621" t="s">
        <v>28</v>
      </c>
      <c r="Q621" t="s">
        <v>29</v>
      </c>
      <c r="R621" t="s">
        <v>28</v>
      </c>
      <c r="S621" t="s">
        <v>2874</v>
      </c>
      <c r="T621" t="s">
        <v>2875</v>
      </c>
      <c r="W621" t="s">
        <v>40</v>
      </c>
      <c r="X621" t="s">
        <v>34</v>
      </c>
      <c r="Y621" t="str">
        <f>"77074"</f>
        <v>77074</v>
      </c>
    </row>
    <row r="622" spans="1:25" x14ac:dyDescent="0.25">
      <c r="A622" t="s">
        <v>2876</v>
      </c>
      <c r="B622" t="s">
        <v>2877</v>
      </c>
      <c r="C622">
        <v>2020</v>
      </c>
      <c r="D622">
        <v>8001</v>
      </c>
      <c r="E622">
        <v>1</v>
      </c>
      <c r="F622" t="s">
        <v>2878</v>
      </c>
      <c r="G622">
        <v>29052462</v>
      </c>
      <c r="J622" s="2">
        <v>6496.72</v>
      </c>
      <c r="L622">
        <v>45301160</v>
      </c>
      <c r="M622" s="1">
        <v>44181</v>
      </c>
      <c r="N622" t="str">
        <f>"RC210107"</f>
        <v>RC210107</v>
      </c>
      <c r="O622" t="s">
        <v>28</v>
      </c>
      <c r="Q622" t="s">
        <v>29</v>
      </c>
      <c r="R622" t="s">
        <v>28</v>
      </c>
      <c r="S622" t="s">
        <v>2879</v>
      </c>
      <c r="T622" t="s">
        <v>2880</v>
      </c>
      <c r="U622" t="s">
        <v>2881</v>
      </c>
      <c r="W622" t="s">
        <v>332</v>
      </c>
      <c r="X622" t="s">
        <v>34</v>
      </c>
      <c r="Y622" t="str">
        <f>"75205"</f>
        <v>75205</v>
      </c>
    </row>
    <row r="623" spans="1:25" x14ac:dyDescent="0.25">
      <c r="A623" t="s">
        <v>2882</v>
      </c>
      <c r="B623" t="s">
        <v>2883</v>
      </c>
      <c r="C623">
        <v>2020</v>
      </c>
      <c r="D623">
        <v>8001</v>
      </c>
      <c r="E623">
        <v>1</v>
      </c>
      <c r="F623" t="s">
        <v>2884</v>
      </c>
      <c r="G623">
        <v>29461849</v>
      </c>
      <c r="J623">
        <v>45.64</v>
      </c>
      <c r="L623">
        <v>46728849</v>
      </c>
      <c r="M623" s="1">
        <v>44230</v>
      </c>
      <c r="N623" t="str">
        <f>"EK210203"</f>
        <v>EK210203</v>
      </c>
      <c r="O623" t="s">
        <v>28</v>
      </c>
      <c r="Q623" t="s">
        <v>29</v>
      </c>
      <c r="R623" t="s">
        <v>28</v>
      </c>
      <c r="S623" t="s">
        <v>2885</v>
      </c>
      <c r="T623" t="s">
        <v>2886</v>
      </c>
      <c r="W623" t="s">
        <v>81</v>
      </c>
      <c r="X623" t="s">
        <v>34</v>
      </c>
      <c r="Y623" t="str">
        <f>"77406"</f>
        <v>77406</v>
      </c>
    </row>
    <row r="624" spans="1:25" x14ac:dyDescent="0.25">
      <c r="A624" t="s">
        <v>2887</v>
      </c>
      <c r="B624" t="s">
        <v>2888</v>
      </c>
      <c r="C624">
        <v>2020</v>
      </c>
      <c r="D624">
        <v>8001</v>
      </c>
      <c r="E624">
        <v>1</v>
      </c>
      <c r="F624" t="s">
        <v>2889</v>
      </c>
      <c r="G624">
        <v>29461917</v>
      </c>
      <c r="J624">
        <v>45.64</v>
      </c>
      <c r="L624">
        <v>46728917</v>
      </c>
      <c r="M624" s="1">
        <v>44230</v>
      </c>
      <c r="N624" t="str">
        <f>"EK210203"</f>
        <v>EK210203</v>
      </c>
      <c r="O624" t="s">
        <v>28</v>
      </c>
      <c r="Q624" t="s">
        <v>29</v>
      </c>
      <c r="R624" t="s">
        <v>28</v>
      </c>
      <c r="S624" t="s">
        <v>2890</v>
      </c>
      <c r="T624" t="s">
        <v>2891</v>
      </c>
      <c r="W624" t="s">
        <v>81</v>
      </c>
      <c r="X624" t="s">
        <v>34</v>
      </c>
      <c r="Y624" t="str">
        <f>"77406"</f>
        <v>77406</v>
      </c>
    </row>
    <row r="625" spans="1:25" x14ac:dyDescent="0.25">
      <c r="A625" t="s">
        <v>2892</v>
      </c>
      <c r="B625" t="s">
        <v>2893</v>
      </c>
      <c r="C625">
        <v>2021</v>
      </c>
      <c r="D625">
        <v>8001</v>
      </c>
      <c r="E625">
        <v>6</v>
      </c>
      <c r="F625" t="s">
        <v>2894</v>
      </c>
      <c r="G625">
        <v>29817416</v>
      </c>
      <c r="J625">
        <v>737.65</v>
      </c>
      <c r="L625">
        <v>47752609</v>
      </c>
      <c r="M625" s="1">
        <v>44516</v>
      </c>
      <c r="N625" t="str">
        <f>"TE211116"</f>
        <v>TE211116</v>
      </c>
      <c r="O625" t="s">
        <v>28</v>
      </c>
      <c r="Q625" t="s">
        <v>29</v>
      </c>
      <c r="R625" t="s">
        <v>28</v>
      </c>
      <c r="S625" t="s">
        <v>2895</v>
      </c>
      <c r="T625" t="s">
        <v>2896</v>
      </c>
      <c r="W625" t="s">
        <v>81</v>
      </c>
      <c r="X625" t="s">
        <v>34</v>
      </c>
      <c r="Y625" t="str">
        <f>"774062907"</f>
        <v>774062907</v>
      </c>
    </row>
    <row r="626" spans="1:25" x14ac:dyDescent="0.25">
      <c r="A626" t="s">
        <v>2897</v>
      </c>
      <c r="B626" t="s">
        <v>2898</v>
      </c>
      <c r="C626">
        <v>2019</v>
      </c>
      <c r="D626">
        <v>8001</v>
      </c>
      <c r="E626">
        <v>1</v>
      </c>
      <c r="F626" t="s">
        <v>2899</v>
      </c>
      <c r="G626">
        <v>27819363</v>
      </c>
      <c r="J626">
        <v>894.88</v>
      </c>
      <c r="L626">
        <v>42553210</v>
      </c>
      <c r="M626" s="1">
        <v>43832</v>
      </c>
      <c r="N626" t="str">
        <f>"J200102AW1"</f>
        <v>J200102AW1</v>
      </c>
      <c r="O626" t="s">
        <v>28</v>
      </c>
      <c r="Q626" t="s">
        <v>29</v>
      </c>
      <c r="R626" t="s">
        <v>28</v>
      </c>
      <c r="S626" t="s">
        <v>2900</v>
      </c>
      <c r="T626" t="s">
        <v>2901</v>
      </c>
      <c r="W626" t="s">
        <v>2902</v>
      </c>
      <c r="X626" t="s">
        <v>317</v>
      </c>
      <c r="Y626" t="str">
        <f>"91301"</f>
        <v>91301</v>
      </c>
    </row>
    <row r="627" spans="1:25" x14ac:dyDescent="0.25">
      <c r="A627" t="s">
        <v>2903</v>
      </c>
      <c r="B627" t="s">
        <v>2904</v>
      </c>
      <c r="C627">
        <v>2019</v>
      </c>
      <c r="D627">
        <v>8001</v>
      </c>
      <c r="E627">
        <v>3</v>
      </c>
      <c r="F627" t="s">
        <v>2905</v>
      </c>
      <c r="G627">
        <v>28449425</v>
      </c>
      <c r="J627">
        <v>106.14</v>
      </c>
      <c r="L627">
        <v>44315099</v>
      </c>
      <c r="M627" s="1">
        <v>43999</v>
      </c>
      <c r="N627" t="str">
        <f>"J200617AW2"</f>
        <v>J200617AW2</v>
      </c>
      <c r="O627" t="s">
        <v>28</v>
      </c>
      <c r="Q627" t="s">
        <v>29</v>
      </c>
      <c r="R627" t="s">
        <v>28</v>
      </c>
      <c r="S627" t="s">
        <v>2906</v>
      </c>
      <c r="T627" t="s">
        <v>2907</v>
      </c>
      <c r="U627" t="s">
        <v>2908</v>
      </c>
      <c r="V627" t="s">
        <v>2909</v>
      </c>
      <c r="W627" t="s">
        <v>2910</v>
      </c>
      <c r="X627" t="s">
        <v>317</v>
      </c>
      <c r="Y627" t="str">
        <f>"91768"</f>
        <v>91768</v>
      </c>
    </row>
    <row r="628" spans="1:25" x14ac:dyDescent="0.25">
      <c r="A628" t="s">
        <v>2911</v>
      </c>
      <c r="B628" t="s">
        <v>2912</v>
      </c>
      <c r="C628">
        <v>2021</v>
      </c>
      <c r="D628">
        <v>8001</v>
      </c>
      <c r="E628">
        <v>9</v>
      </c>
      <c r="F628" t="s">
        <v>2913</v>
      </c>
      <c r="G628">
        <v>0</v>
      </c>
      <c r="J628">
        <v>5</v>
      </c>
      <c r="L628">
        <v>50089355</v>
      </c>
      <c r="M628" s="1">
        <v>44600</v>
      </c>
      <c r="N628" t="str">
        <f>"L220208"</f>
        <v>L220208</v>
      </c>
      <c r="O628" t="s">
        <v>28</v>
      </c>
      <c r="Q628" t="s">
        <v>29</v>
      </c>
      <c r="R628" t="s">
        <v>28</v>
      </c>
      <c r="S628" t="s">
        <v>2913</v>
      </c>
      <c r="T628" t="s">
        <v>2914</v>
      </c>
      <c r="U628" t="s">
        <v>60</v>
      </c>
      <c r="V628" t="s">
        <v>60</v>
      </c>
      <c r="W628" t="s">
        <v>1333</v>
      </c>
      <c r="X628" t="s">
        <v>34</v>
      </c>
      <c r="Y628" t="str">
        <f>"774892119   "</f>
        <v xml:space="preserve">774892119   </v>
      </c>
    </row>
    <row r="629" spans="1:25" x14ac:dyDescent="0.25">
      <c r="A629" t="s">
        <v>2915</v>
      </c>
      <c r="B629" t="s">
        <v>2916</v>
      </c>
      <c r="C629">
        <v>2020</v>
      </c>
      <c r="D629">
        <v>8001</v>
      </c>
      <c r="E629">
        <v>3</v>
      </c>
      <c r="F629" t="s">
        <v>2917</v>
      </c>
      <c r="G629">
        <v>28745868</v>
      </c>
      <c r="J629">
        <v>46.21</v>
      </c>
      <c r="L629">
        <v>44761991</v>
      </c>
      <c r="M629" s="1">
        <v>44139</v>
      </c>
      <c r="N629" t="str">
        <f>"CC501104"</f>
        <v>CC501104</v>
      </c>
      <c r="O629" t="s">
        <v>28</v>
      </c>
      <c r="Q629" t="s">
        <v>29</v>
      </c>
      <c r="R629" t="s">
        <v>28</v>
      </c>
      <c r="S629" t="s">
        <v>2918</v>
      </c>
      <c r="T629" t="s">
        <v>2919</v>
      </c>
      <c r="W629" t="s">
        <v>75</v>
      </c>
      <c r="X629" t="s">
        <v>34</v>
      </c>
      <c r="Y629" t="str">
        <f>"77035"</f>
        <v>77035</v>
      </c>
    </row>
    <row r="630" spans="1:25" x14ac:dyDescent="0.25">
      <c r="A630" t="s">
        <v>2920</v>
      </c>
      <c r="B630" t="s">
        <v>2921</v>
      </c>
      <c r="C630">
        <v>2021</v>
      </c>
      <c r="D630">
        <v>8001</v>
      </c>
      <c r="E630">
        <v>1</v>
      </c>
      <c r="F630" t="s">
        <v>2922</v>
      </c>
      <c r="G630">
        <v>23368460</v>
      </c>
      <c r="J630">
        <v>286.3</v>
      </c>
      <c r="L630">
        <v>50023128</v>
      </c>
      <c r="M630" s="1">
        <v>44596</v>
      </c>
      <c r="N630" t="str">
        <f>"RC220303"</f>
        <v>RC220303</v>
      </c>
      <c r="O630" t="s">
        <v>28</v>
      </c>
      <c r="Q630" t="s">
        <v>29</v>
      </c>
      <c r="R630" t="s">
        <v>28</v>
      </c>
      <c r="S630" t="s">
        <v>341</v>
      </c>
      <c r="T630" t="s">
        <v>2923</v>
      </c>
      <c r="W630" t="s">
        <v>40</v>
      </c>
      <c r="X630" t="s">
        <v>34</v>
      </c>
      <c r="Y630" t="str">
        <f>"774783481"</f>
        <v>774783481</v>
      </c>
    </row>
    <row r="631" spans="1:25" x14ac:dyDescent="0.25">
      <c r="A631" t="s">
        <v>2924</v>
      </c>
      <c r="B631" t="s">
        <v>2925</v>
      </c>
      <c r="C631">
        <v>2020</v>
      </c>
      <c r="D631">
        <v>8001</v>
      </c>
      <c r="E631">
        <v>1</v>
      </c>
      <c r="F631" t="s">
        <v>2926</v>
      </c>
      <c r="G631">
        <v>29134533</v>
      </c>
      <c r="J631">
        <v>493.23</v>
      </c>
      <c r="L631">
        <v>45769414</v>
      </c>
      <c r="M631" s="1">
        <v>44202</v>
      </c>
      <c r="N631" t="str">
        <f>"RC210120"</f>
        <v>RC210120</v>
      </c>
      <c r="O631" t="s">
        <v>28</v>
      </c>
      <c r="Q631" t="s">
        <v>29</v>
      </c>
      <c r="R631" t="s">
        <v>28</v>
      </c>
      <c r="S631" t="s">
        <v>2927</v>
      </c>
      <c r="T631" t="s">
        <v>2928</v>
      </c>
      <c r="U631" t="s">
        <v>2929</v>
      </c>
      <c r="W631" t="s">
        <v>75</v>
      </c>
      <c r="X631" t="s">
        <v>34</v>
      </c>
      <c r="Y631" t="str">
        <f>"77095"</f>
        <v>77095</v>
      </c>
    </row>
    <row r="632" spans="1:25" x14ac:dyDescent="0.25">
      <c r="A632" t="s">
        <v>2930</v>
      </c>
      <c r="B632" t="s">
        <v>2931</v>
      </c>
      <c r="C632">
        <v>2020</v>
      </c>
      <c r="D632">
        <v>8001</v>
      </c>
      <c r="E632">
        <v>2</v>
      </c>
      <c r="F632" t="s">
        <v>2932</v>
      </c>
      <c r="G632">
        <v>0</v>
      </c>
      <c r="J632">
        <v>12.55</v>
      </c>
      <c r="L632">
        <v>47242285</v>
      </c>
      <c r="M632" s="1">
        <v>44291</v>
      </c>
      <c r="N632" t="str">
        <f>"O210405R7"</f>
        <v>O210405R7</v>
      </c>
      <c r="O632" t="s">
        <v>28</v>
      </c>
      <c r="Q632" t="s">
        <v>29</v>
      </c>
      <c r="R632" t="s">
        <v>28</v>
      </c>
      <c r="S632" t="s">
        <v>2932</v>
      </c>
      <c r="T632" t="s">
        <v>2933</v>
      </c>
      <c r="U632" t="s">
        <v>60</v>
      </c>
      <c r="V632" t="s">
        <v>60</v>
      </c>
      <c r="W632" t="s">
        <v>1333</v>
      </c>
      <c r="X632" t="s">
        <v>34</v>
      </c>
      <c r="Y632" t="str">
        <f>"774892234   "</f>
        <v xml:space="preserve">774892234   </v>
      </c>
    </row>
    <row r="633" spans="1:25" x14ac:dyDescent="0.25">
      <c r="A633" t="s">
        <v>2934</v>
      </c>
      <c r="B633" t="s">
        <v>2935</v>
      </c>
      <c r="C633">
        <v>2020</v>
      </c>
      <c r="D633">
        <v>8001</v>
      </c>
      <c r="E633">
        <v>1</v>
      </c>
      <c r="F633" t="s">
        <v>2936</v>
      </c>
      <c r="G633">
        <v>29875276</v>
      </c>
      <c r="J633">
        <v>38.4</v>
      </c>
      <c r="L633">
        <v>47506073</v>
      </c>
      <c r="M633" s="1">
        <v>44354</v>
      </c>
      <c r="N633" t="str">
        <f>"RC210616"</f>
        <v>RC210616</v>
      </c>
      <c r="O633" t="s">
        <v>28</v>
      </c>
      <c r="Q633" t="s">
        <v>29</v>
      </c>
      <c r="R633" t="s">
        <v>28</v>
      </c>
      <c r="S633" t="s">
        <v>2317</v>
      </c>
      <c r="T633" t="s">
        <v>2937</v>
      </c>
      <c r="W633" t="s">
        <v>2938</v>
      </c>
      <c r="X633" t="s">
        <v>317</v>
      </c>
      <c r="Y633" t="str">
        <f>"92806"</f>
        <v>92806</v>
      </c>
    </row>
    <row r="634" spans="1:25" x14ac:dyDescent="0.25">
      <c r="A634" t="s">
        <v>2939</v>
      </c>
      <c r="B634" t="s">
        <v>2940</v>
      </c>
      <c r="C634">
        <v>2020</v>
      </c>
      <c r="D634">
        <v>8001</v>
      </c>
      <c r="E634">
        <v>1</v>
      </c>
      <c r="F634" t="s">
        <v>2941</v>
      </c>
      <c r="G634">
        <v>29461565</v>
      </c>
      <c r="J634">
        <v>64.290000000000006</v>
      </c>
      <c r="L634">
        <v>46728565</v>
      </c>
      <c r="M634" s="1">
        <v>44230</v>
      </c>
      <c r="N634" t="str">
        <f>"EK210203"</f>
        <v>EK210203</v>
      </c>
      <c r="O634" t="s">
        <v>28</v>
      </c>
      <c r="Q634" t="s">
        <v>29</v>
      </c>
      <c r="R634" t="s">
        <v>28</v>
      </c>
      <c r="S634" t="s">
        <v>2942</v>
      </c>
      <c r="T634" t="s">
        <v>2943</v>
      </c>
      <c r="W634" t="s">
        <v>392</v>
      </c>
      <c r="X634" t="s">
        <v>34</v>
      </c>
      <c r="Y634" t="str">
        <f>"77489"</f>
        <v>77489</v>
      </c>
    </row>
    <row r="635" spans="1:25" x14ac:dyDescent="0.25">
      <c r="A635" t="s">
        <v>2944</v>
      </c>
      <c r="B635" t="s">
        <v>2945</v>
      </c>
      <c r="C635">
        <v>2019</v>
      </c>
      <c r="D635">
        <v>8001</v>
      </c>
      <c r="E635">
        <v>1</v>
      </c>
      <c r="F635" t="s">
        <v>2946</v>
      </c>
      <c r="G635">
        <v>0</v>
      </c>
      <c r="J635">
        <v>78.16</v>
      </c>
      <c r="L635">
        <v>43044866</v>
      </c>
      <c r="M635" s="1">
        <v>43852</v>
      </c>
      <c r="N635" t="str">
        <f>"J200122AW3"</f>
        <v>J200122AW3</v>
      </c>
      <c r="O635" t="s">
        <v>28</v>
      </c>
      <c r="Q635" t="s">
        <v>29</v>
      </c>
      <c r="R635" t="s">
        <v>28</v>
      </c>
      <c r="S635" t="s">
        <v>2946</v>
      </c>
      <c r="T635" t="s">
        <v>2947</v>
      </c>
      <c r="U635" t="s">
        <v>60</v>
      </c>
      <c r="V635" t="s">
        <v>60</v>
      </c>
      <c r="W635" t="s">
        <v>135</v>
      </c>
      <c r="X635" t="s">
        <v>34</v>
      </c>
      <c r="Y635" t="str">
        <f>"770151799   "</f>
        <v xml:space="preserve">770151799   </v>
      </c>
    </row>
    <row r="636" spans="1:25" x14ac:dyDescent="0.25">
      <c r="A636" t="s">
        <v>2948</v>
      </c>
      <c r="B636" t="s">
        <v>2949</v>
      </c>
      <c r="C636">
        <v>2018</v>
      </c>
      <c r="D636">
        <v>8001</v>
      </c>
      <c r="E636">
        <v>1</v>
      </c>
      <c r="F636" t="s">
        <v>2950</v>
      </c>
      <c r="G636">
        <v>27254742</v>
      </c>
      <c r="J636">
        <v>28.02</v>
      </c>
      <c r="L636">
        <v>40888044</v>
      </c>
      <c r="M636" s="1">
        <v>43528</v>
      </c>
      <c r="N636" t="str">
        <f>"CC290304"</f>
        <v>CC290304</v>
      </c>
      <c r="O636" t="s">
        <v>28</v>
      </c>
      <c r="Q636" t="s">
        <v>29</v>
      </c>
      <c r="R636" t="s">
        <v>28</v>
      </c>
      <c r="S636" t="s">
        <v>2951</v>
      </c>
      <c r="T636" t="s">
        <v>2952</v>
      </c>
      <c r="W636" t="s">
        <v>392</v>
      </c>
      <c r="X636" t="s">
        <v>34</v>
      </c>
      <c r="Y636" t="str">
        <f>"77489"</f>
        <v>77489</v>
      </c>
    </row>
    <row r="637" spans="1:25" x14ac:dyDescent="0.25">
      <c r="A637" t="s">
        <v>2953</v>
      </c>
      <c r="B637" t="s">
        <v>2954</v>
      </c>
      <c r="C637">
        <v>2021</v>
      </c>
      <c r="D637">
        <v>8001</v>
      </c>
      <c r="E637">
        <v>1</v>
      </c>
      <c r="F637" t="s">
        <v>2955</v>
      </c>
      <c r="G637">
        <v>31035980</v>
      </c>
      <c r="J637">
        <v>293.41000000000003</v>
      </c>
      <c r="L637">
        <v>49219614</v>
      </c>
      <c r="M637" s="1">
        <v>44575</v>
      </c>
      <c r="N637" t="str">
        <f>"RC220221"</f>
        <v>RC220221</v>
      </c>
      <c r="O637" t="s">
        <v>28</v>
      </c>
      <c r="Q637" t="s">
        <v>29</v>
      </c>
      <c r="R637" t="s">
        <v>28</v>
      </c>
      <c r="S637" t="s">
        <v>2956</v>
      </c>
      <c r="T637" t="s">
        <v>2957</v>
      </c>
      <c r="U637" t="s">
        <v>2958</v>
      </c>
      <c r="W637" t="s">
        <v>75</v>
      </c>
      <c r="X637" t="s">
        <v>34</v>
      </c>
      <c r="Y637" t="str">
        <f>"770365717"</f>
        <v>770365717</v>
      </c>
    </row>
    <row r="638" spans="1:25" x14ac:dyDescent="0.25">
      <c r="A638" t="s">
        <v>2959</v>
      </c>
      <c r="B638" t="s">
        <v>2960</v>
      </c>
      <c r="C638">
        <v>2020</v>
      </c>
      <c r="D638">
        <v>8001</v>
      </c>
      <c r="E638">
        <v>2</v>
      </c>
      <c r="F638" t="s">
        <v>2961</v>
      </c>
      <c r="G638">
        <v>22993666</v>
      </c>
      <c r="J638">
        <v>7.62</v>
      </c>
      <c r="L638">
        <v>46617352</v>
      </c>
      <c r="M638" s="1">
        <v>44229</v>
      </c>
      <c r="N638" t="str">
        <f>"O210202R7"</f>
        <v>O210202R7</v>
      </c>
      <c r="O638" t="s">
        <v>28</v>
      </c>
      <c r="Q638" t="s">
        <v>29</v>
      </c>
      <c r="R638" t="s">
        <v>28</v>
      </c>
      <c r="S638" t="s">
        <v>2962</v>
      </c>
      <c r="T638" t="s">
        <v>2963</v>
      </c>
      <c r="U638" t="s">
        <v>2964</v>
      </c>
      <c r="V638" t="s">
        <v>2965</v>
      </c>
      <c r="W638" t="s">
        <v>392</v>
      </c>
      <c r="X638" t="s">
        <v>34</v>
      </c>
      <c r="Y638" t="str">
        <f>"774894203"</f>
        <v>774894203</v>
      </c>
    </row>
    <row r="639" spans="1:25" x14ac:dyDescent="0.25">
      <c r="A639" t="s">
        <v>2966</v>
      </c>
      <c r="B639" t="s">
        <v>2967</v>
      </c>
      <c r="C639">
        <v>2018</v>
      </c>
      <c r="D639">
        <v>8001</v>
      </c>
      <c r="E639">
        <v>1</v>
      </c>
      <c r="F639" t="s">
        <v>2968</v>
      </c>
      <c r="G639">
        <v>23309068</v>
      </c>
      <c r="J639">
        <v>63.22</v>
      </c>
      <c r="L639">
        <v>41062526</v>
      </c>
      <c r="M639" s="1">
        <v>43558</v>
      </c>
      <c r="N639" t="str">
        <f>"J190403K5"</f>
        <v>J190403K5</v>
      </c>
      <c r="O639" t="s">
        <v>28</v>
      </c>
      <c r="Q639" t="s">
        <v>29</v>
      </c>
      <c r="R639" t="s">
        <v>28</v>
      </c>
      <c r="S639" t="s">
        <v>1421</v>
      </c>
      <c r="T639" t="s">
        <v>1422</v>
      </c>
      <c r="W639" t="s">
        <v>75</v>
      </c>
      <c r="X639" t="s">
        <v>34</v>
      </c>
      <c r="Y639" t="str">
        <f>"770556942"</f>
        <v>770556942</v>
      </c>
    </row>
    <row r="640" spans="1:25" x14ac:dyDescent="0.25">
      <c r="A640" t="s">
        <v>2969</v>
      </c>
      <c r="B640" t="s">
        <v>2970</v>
      </c>
      <c r="C640">
        <v>2019</v>
      </c>
      <c r="D640">
        <v>8001</v>
      </c>
      <c r="E640">
        <v>2</v>
      </c>
      <c r="F640" t="s">
        <v>2971</v>
      </c>
      <c r="G640">
        <v>146173</v>
      </c>
      <c r="J640">
        <v>183.27</v>
      </c>
      <c r="L640">
        <v>44496651</v>
      </c>
      <c r="M640" s="1">
        <v>44061</v>
      </c>
      <c r="N640" t="str">
        <f>"J200818K1"</f>
        <v>J200818K1</v>
      </c>
      <c r="O640" t="s">
        <v>28</v>
      </c>
      <c r="Q640" t="s">
        <v>29</v>
      </c>
      <c r="R640" t="s">
        <v>28</v>
      </c>
      <c r="S640" t="s">
        <v>2972</v>
      </c>
      <c r="T640" t="s">
        <v>2973</v>
      </c>
      <c r="U640" t="s">
        <v>2974</v>
      </c>
      <c r="V640" t="s">
        <v>2975</v>
      </c>
      <c r="Y640" t="str">
        <f>""</f>
        <v/>
      </c>
    </row>
    <row r="641" spans="1:25" x14ac:dyDescent="0.25">
      <c r="A641" t="s">
        <v>2976</v>
      </c>
      <c r="B641" t="s">
        <v>2977</v>
      </c>
      <c r="C641">
        <v>2018</v>
      </c>
      <c r="D641">
        <v>8001</v>
      </c>
      <c r="E641">
        <v>2</v>
      </c>
      <c r="F641" t="s">
        <v>2978</v>
      </c>
      <c r="G641">
        <v>25959574</v>
      </c>
      <c r="J641">
        <v>76.84</v>
      </c>
      <c r="L641">
        <v>41247226</v>
      </c>
      <c r="M641" s="1">
        <v>43614</v>
      </c>
      <c r="N641" t="str">
        <f>"J190529B3"</f>
        <v>J190529B3</v>
      </c>
      <c r="O641" t="s">
        <v>28</v>
      </c>
      <c r="Q641" t="s">
        <v>29</v>
      </c>
      <c r="R641" t="s">
        <v>28</v>
      </c>
      <c r="S641" t="s">
        <v>2979</v>
      </c>
      <c r="T641" t="s">
        <v>2980</v>
      </c>
      <c r="W641" t="s">
        <v>2981</v>
      </c>
      <c r="X641" t="s">
        <v>34</v>
      </c>
      <c r="Y641" t="str">
        <f>"75234"</f>
        <v>75234</v>
      </c>
    </row>
    <row r="642" spans="1:25" x14ac:dyDescent="0.25">
      <c r="A642" t="s">
        <v>2982</v>
      </c>
      <c r="B642" t="s">
        <v>2983</v>
      </c>
      <c r="C642">
        <v>2020</v>
      </c>
      <c r="D642">
        <v>8001</v>
      </c>
      <c r="E642">
        <v>2</v>
      </c>
      <c r="F642" t="s">
        <v>2984</v>
      </c>
      <c r="G642">
        <v>26435183</v>
      </c>
      <c r="J642">
        <v>39.74</v>
      </c>
      <c r="L642">
        <v>47078237</v>
      </c>
      <c r="M642" s="1">
        <v>44266</v>
      </c>
      <c r="N642" t="str">
        <f>"RC210317"</f>
        <v>RC210317</v>
      </c>
      <c r="O642" t="s">
        <v>28</v>
      </c>
      <c r="Q642" t="s">
        <v>29</v>
      </c>
      <c r="R642" t="s">
        <v>28</v>
      </c>
      <c r="S642" t="s">
        <v>2985</v>
      </c>
      <c r="T642" t="s">
        <v>2986</v>
      </c>
      <c r="W642" t="s">
        <v>75</v>
      </c>
      <c r="X642" t="s">
        <v>34</v>
      </c>
      <c r="Y642" t="str">
        <f>"77070"</f>
        <v>77070</v>
      </c>
    </row>
    <row r="643" spans="1:25" x14ac:dyDescent="0.25">
      <c r="A643" t="s">
        <v>2987</v>
      </c>
      <c r="B643" t="s">
        <v>2988</v>
      </c>
      <c r="C643">
        <v>2019</v>
      </c>
      <c r="D643">
        <v>8001</v>
      </c>
      <c r="E643">
        <v>4</v>
      </c>
      <c r="F643" t="s">
        <v>2989</v>
      </c>
      <c r="G643">
        <v>26478588</v>
      </c>
      <c r="J643">
        <v>600.02</v>
      </c>
      <c r="L643">
        <v>44250418</v>
      </c>
      <c r="M643" s="1">
        <v>43983</v>
      </c>
      <c r="N643" t="str">
        <f>"J200601U4"</f>
        <v>J200601U4</v>
      </c>
      <c r="O643" t="s">
        <v>28</v>
      </c>
      <c r="Q643" t="s">
        <v>29</v>
      </c>
      <c r="R643" t="s">
        <v>28</v>
      </c>
      <c r="S643" t="s">
        <v>2990</v>
      </c>
      <c r="T643" t="s">
        <v>2991</v>
      </c>
      <c r="U643" t="s">
        <v>1266</v>
      </c>
      <c r="W643" t="s">
        <v>332</v>
      </c>
      <c r="X643" t="s">
        <v>34</v>
      </c>
      <c r="Y643" t="str">
        <f>"752359788"</f>
        <v>752359788</v>
      </c>
    </row>
    <row r="644" spans="1:25" x14ac:dyDescent="0.25">
      <c r="A644" t="s">
        <v>2992</v>
      </c>
      <c r="B644" t="s">
        <v>2993</v>
      </c>
      <c r="C644">
        <v>2020</v>
      </c>
      <c r="D644">
        <v>8001</v>
      </c>
      <c r="E644">
        <v>1</v>
      </c>
      <c r="F644" t="s">
        <v>2994</v>
      </c>
      <c r="G644">
        <v>21526721</v>
      </c>
      <c r="J644">
        <v>746.01</v>
      </c>
      <c r="L644">
        <v>46709450</v>
      </c>
      <c r="M644" s="1">
        <v>44230</v>
      </c>
      <c r="N644" t="str">
        <f>"RC210301"</f>
        <v>RC210301</v>
      </c>
      <c r="O644" t="s">
        <v>28</v>
      </c>
      <c r="Q644" t="s">
        <v>29</v>
      </c>
      <c r="R644" t="s">
        <v>28</v>
      </c>
      <c r="S644" t="s">
        <v>2995</v>
      </c>
      <c r="T644" t="s">
        <v>2996</v>
      </c>
      <c r="U644" t="s">
        <v>2997</v>
      </c>
      <c r="W644" t="s">
        <v>75</v>
      </c>
      <c r="X644" t="s">
        <v>34</v>
      </c>
      <c r="Y644" t="str">
        <f>"77056"</f>
        <v>77056</v>
      </c>
    </row>
    <row r="645" spans="1:25" x14ac:dyDescent="0.25">
      <c r="A645" t="s">
        <v>2998</v>
      </c>
      <c r="B645" t="s">
        <v>2999</v>
      </c>
      <c r="C645">
        <v>2021</v>
      </c>
      <c r="D645">
        <v>8001</v>
      </c>
      <c r="E645">
        <v>2</v>
      </c>
      <c r="F645" t="s">
        <v>3000</v>
      </c>
      <c r="G645">
        <v>0</v>
      </c>
      <c r="J645">
        <v>129.22999999999999</v>
      </c>
      <c r="L645">
        <v>49862803</v>
      </c>
      <c r="M645" s="1">
        <v>44593</v>
      </c>
      <c r="N645" t="str">
        <f>"O220201BZ6"</f>
        <v>O220201BZ6</v>
      </c>
      <c r="O645" t="s">
        <v>28</v>
      </c>
      <c r="Q645" t="s">
        <v>29</v>
      </c>
      <c r="R645" t="s">
        <v>28</v>
      </c>
      <c r="S645" t="s">
        <v>3000</v>
      </c>
      <c r="T645" t="s">
        <v>3001</v>
      </c>
      <c r="U645" t="s">
        <v>60</v>
      </c>
      <c r="V645" t="s">
        <v>60</v>
      </c>
      <c r="W645" t="s">
        <v>135</v>
      </c>
      <c r="X645" t="s">
        <v>34</v>
      </c>
      <c r="Y645" t="str">
        <f>"770994414   "</f>
        <v xml:space="preserve">770994414   </v>
      </c>
    </row>
    <row r="646" spans="1:25" x14ac:dyDescent="0.25">
      <c r="A646" t="s">
        <v>3002</v>
      </c>
      <c r="B646" t="s">
        <v>3003</v>
      </c>
      <c r="C646">
        <v>2020</v>
      </c>
      <c r="D646">
        <v>8001</v>
      </c>
      <c r="E646">
        <v>2</v>
      </c>
      <c r="F646" t="s">
        <v>3004</v>
      </c>
      <c r="G646">
        <v>28746077</v>
      </c>
      <c r="J646">
        <v>9.4700000000000006</v>
      </c>
      <c r="L646">
        <v>44763177</v>
      </c>
      <c r="M646" s="1">
        <v>44139</v>
      </c>
      <c r="N646" t="str">
        <f>"EK201104"</f>
        <v>EK201104</v>
      </c>
      <c r="O646" t="s">
        <v>28</v>
      </c>
      <c r="Q646" t="s">
        <v>29</v>
      </c>
      <c r="R646" t="s">
        <v>28</v>
      </c>
      <c r="S646" t="s">
        <v>3005</v>
      </c>
      <c r="T646" t="s">
        <v>3006</v>
      </c>
      <c r="W646" t="s">
        <v>154</v>
      </c>
      <c r="X646" t="s">
        <v>34</v>
      </c>
      <c r="Y646" t="str">
        <f>"77471"</f>
        <v>77471</v>
      </c>
    </row>
    <row r="647" spans="1:25" x14ac:dyDescent="0.25">
      <c r="A647" t="s">
        <v>3007</v>
      </c>
      <c r="B647" t="s">
        <v>3008</v>
      </c>
      <c r="C647">
        <v>2021</v>
      </c>
      <c r="D647">
        <v>8001</v>
      </c>
      <c r="E647">
        <v>1</v>
      </c>
      <c r="F647" t="s">
        <v>3009</v>
      </c>
      <c r="G647">
        <v>0</v>
      </c>
      <c r="J647">
        <v>55.3</v>
      </c>
      <c r="L647">
        <v>49493543</v>
      </c>
      <c r="M647" s="1">
        <v>44586</v>
      </c>
      <c r="N647" t="str">
        <f>"L220125"</f>
        <v>L220125</v>
      </c>
      <c r="O647" t="s">
        <v>28</v>
      </c>
      <c r="Q647" t="s">
        <v>29</v>
      </c>
      <c r="R647" t="s">
        <v>28</v>
      </c>
      <c r="S647" t="s">
        <v>3009</v>
      </c>
      <c r="T647" t="s">
        <v>3010</v>
      </c>
      <c r="U647" t="s">
        <v>60</v>
      </c>
      <c r="V647" t="s">
        <v>60</v>
      </c>
      <c r="W647" t="s">
        <v>135</v>
      </c>
      <c r="X647" t="s">
        <v>34</v>
      </c>
      <c r="Y647" t="str">
        <f>"770993809   "</f>
        <v xml:space="preserve">770993809   </v>
      </c>
    </row>
    <row r="648" spans="1:25" x14ac:dyDescent="0.25">
      <c r="A648" t="s">
        <v>3011</v>
      </c>
      <c r="B648" t="s">
        <v>3012</v>
      </c>
      <c r="C648">
        <v>2020</v>
      </c>
      <c r="D648">
        <v>8001</v>
      </c>
      <c r="E648">
        <v>1</v>
      </c>
      <c r="F648" t="s">
        <v>3013</v>
      </c>
      <c r="G648">
        <v>29461824</v>
      </c>
      <c r="J648">
        <v>37.57</v>
      </c>
      <c r="L648">
        <v>46728824</v>
      </c>
      <c r="M648" s="1">
        <v>44230</v>
      </c>
      <c r="N648" t="str">
        <f>"EK210203"</f>
        <v>EK210203</v>
      </c>
      <c r="O648" t="s">
        <v>28</v>
      </c>
      <c r="Q648" t="s">
        <v>29</v>
      </c>
      <c r="R648" t="s">
        <v>28</v>
      </c>
      <c r="S648" t="s">
        <v>3014</v>
      </c>
      <c r="T648" t="s">
        <v>3015</v>
      </c>
      <c r="W648" t="s">
        <v>75</v>
      </c>
      <c r="X648" t="s">
        <v>34</v>
      </c>
      <c r="Y648" t="str">
        <f>"77024"</f>
        <v>77024</v>
      </c>
    </row>
    <row r="649" spans="1:25" x14ac:dyDescent="0.25">
      <c r="A649" t="s">
        <v>3016</v>
      </c>
      <c r="B649" t="s">
        <v>3017</v>
      </c>
      <c r="C649">
        <v>2020</v>
      </c>
      <c r="D649">
        <v>8001</v>
      </c>
      <c r="E649">
        <v>1</v>
      </c>
      <c r="F649" t="s">
        <v>3013</v>
      </c>
      <c r="G649">
        <v>29461827</v>
      </c>
      <c r="J649">
        <v>37.57</v>
      </c>
      <c r="L649">
        <v>46728827</v>
      </c>
      <c r="M649" s="1">
        <v>44230</v>
      </c>
      <c r="N649" t="str">
        <f>"EK210203"</f>
        <v>EK210203</v>
      </c>
      <c r="O649" t="s">
        <v>28</v>
      </c>
      <c r="Q649" t="s">
        <v>29</v>
      </c>
      <c r="R649" t="s">
        <v>28</v>
      </c>
      <c r="S649" t="s">
        <v>3014</v>
      </c>
      <c r="T649" t="s">
        <v>3015</v>
      </c>
      <c r="W649" t="s">
        <v>75</v>
      </c>
      <c r="X649" t="s">
        <v>34</v>
      </c>
      <c r="Y649" t="str">
        <f>"77024"</f>
        <v>77024</v>
      </c>
    </row>
    <row r="650" spans="1:25" x14ac:dyDescent="0.25">
      <c r="A650" t="s">
        <v>3018</v>
      </c>
      <c r="B650" t="s">
        <v>3019</v>
      </c>
      <c r="C650">
        <v>2020</v>
      </c>
      <c r="D650">
        <v>8001</v>
      </c>
      <c r="E650">
        <v>1</v>
      </c>
      <c r="F650" t="s">
        <v>3013</v>
      </c>
      <c r="G650">
        <v>29461829</v>
      </c>
      <c r="J650">
        <v>37.57</v>
      </c>
      <c r="L650">
        <v>46728829</v>
      </c>
      <c r="M650" s="1">
        <v>44230</v>
      </c>
      <c r="N650" t="str">
        <f>"EK210203"</f>
        <v>EK210203</v>
      </c>
      <c r="O650" t="s">
        <v>28</v>
      </c>
      <c r="Q650" t="s">
        <v>29</v>
      </c>
      <c r="R650" t="s">
        <v>28</v>
      </c>
      <c r="S650" t="s">
        <v>3014</v>
      </c>
      <c r="T650" t="s">
        <v>3015</v>
      </c>
      <c r="W650" t="s">
        <v>75</v>
      </c>
      <c r="X650" t="s">
        <v>34</v>
      </c>
      <c r="Y650" t="str">
        <f>"77024"</f>
        <v>77024</v>
      </c>
    </row>
    <row r="651" spans="1:25" x14ac:dyDescent="0.25">
      <c r="A651" t="s">
        <v>3020</v>
      </c>
      <c r="B651" t="s">
        <v>3021</v>
      </c>
      <c r="C651">
        <v>2020</v>
      </c>
      <c r="D651">
        <v>8001</v>
      </c>
      <c r="E651">
        <v>1</v>
      </c>
      <c r="F651" t="s">
        <v>3013</v>
      </c>
      <c r="G651">
        <v>29461830</v>
      </c>
      <c r="J651">
        <v>37.57</v>
      </c>
      <c r="L651">
        <v>46728830</v>
      </c>
      <c r="M651" s="1">
        <v>44230</v>
      </c>
      <c r="N651" t="str">
        <f>"EK210203"</f>
        <v>EK210203</v>
      </c>
      <c r="O651" t="s">
        <v>28</v>
      </c>
      <c r="Q651" t="s">
        <v>29</v>
      </c>
      <c r="R651" t="s">
        <v>28</v>
      </c>
      <c r="S651" t="s">
        <v>3022</v>
      </c>
      <c r="T651" t="s">
        <v>3015</v>
      </c>
      <c r="W651" t="s">
        <v>75</v>
      </c>
      <c r="X651" t="s">
        <v>34</v>
      </c>
      <c r="Y651" t="str">
        <f>"77024"</f>
        <v>77024</v>
      </c>
    </row>
    <row r="652" spans="1:25" x14ac:dyDescent="0.25">
      <c r="A652" t="s">
        <v>3023</v>
      </c>
      <c r="B652" t="s">
        <v>3024</v>
      </c>
      <c r="C652">
        <v>2021</v>
      </c>
      <c r="D652">
        <v>8001</v>
      </c>
      <c r="E652">
        <v>1</v>
      </c>
      <c r="F652" t="s">
        <v>3025</v>
      </c>
      <c r="G652">
        <v>1725836</v>
      </c>
      <c r="J652">
        <v>298.54000000000002</v>
      </c>
      <c r="L652">
        <v>48445159</v>
      </c>
      <c r="M652" s="1">
        <v>44543</v>
      </c>
      <c r="N652" t="str">
        <f>"RC220114"</f>
        <v>RC220114</v>
      </c>
      <c r="O652" t="s">
        <v>28</v>
      </c>
      <c r="Q652" t="s">
        <v>29</v>
      </c>
      <c r="R652" t="s">
        <v>28</v>
      </c>
      <c r="S652" t="s">
        <v>3026</v>
      </c>
      <c r="T652" t="s">
        <v>3027</v>
      </c>
      <c r="W652" t="s">
        <v>392</v>
      </c>
      <c r="X652" t="s">
        <v>34</v>
      </c>
      <c r="Y652" t="str">
        <f>"77489"</f>
        <v>77489</v>
      </c>
    </row>
    <row r="653" spans="1:25" x14ac:dyDescent="0.25">
      <c r="A653" t="s">
        <v>3028</v>
      </c>
      <c r="B653" t="s">
        <v>3029</v>
      </c>
      <c r="C653">
        <v>2020</v>
      </c>
      <c r="D653">
        <v>8001</v>
      </c>
      <c r="E653">
        <v>2</v>
      </c>
      <c r="F653" t="s">
        <v>3030</v>
      </c>
      <c r="G653">
        <v>26867431</v>
      </c>
      <c r="J653">
        <v>10.32</v>
      </c>
      <c r="L653">
        <v>47946212</v>
      </c>
      <c r="M653" s="1">
        <v>44502</v>
      </c>
      <c r="N653" t="str">
        <f>"RC211208"</f>
        <v>RC211208</v>
      </c>
      <c r="O653" t="s">
        <v>28</v>
      </c>
      <c r="Q653" t="s">
        <v>29</v>
      </c>
      <c r="R653" t="s">
        <v>28</v>
      </c>
      <c r="S653" t="s">
        <v>1699</v>
      </c>
      <c r="T653" t="s">
        <v>3031</v>
      </c>
      <c r="U653" t="s">
        <v>562</v>
      </c>
      <c r="W653" t="s">
        <v>563</v>
      </c>
      <c r="X653" t="s">
        <v>34</v>
      </c>
      <c r="Y653" t="str">
        <f>"750630156"</f>
        <v>750630156</v>
      </c>
    </row>
    <row r="654" spans="1:25" x14ac:dyDescent="0.25">
      <c r="A654" t="s">
        <v>3032</v>
      </c>
      <c r="B654" t="s">
        <v>3033</v>
      </c>
      <c r="C654">
        <v>2019</v>
      </c>
      <c r="D654">
        <v>8001</v>
      </c>
      <c r="E654">
        <v>1</v>
      </c>
      <c r="F654" t="s">
        <v>3034</v>
      </c>
      <c r="G654">
        <v>0</v>
      </c>
      <c r="J654">
        <v>93.79</v>
      </c>
      <c r="L654">
        <v>42894218</v>
      </c>
      <c r="M654" s="1">
        <v>43845</v>
      </c>
      <c r="N654" t="str">
        <f>"J200115K1"</f>
        <v>J200115K1</v>
      </c>
      <c r="O654" t="s">
        <v>28</v>
      </c>
      <c r="Q654" t="s">
        <v>29</v>
      </c>
      <c r="R654" t="s">
        <v>28</v>
      </c>
      <c r="S654" t="s">
        <v>3034</v>
      </c>
      <c r="T654" t="s">
        <v>3035</v>
      </c>
      <c r="U654" t="s">
        <v>60</v>
      </c>
      <c r="V654" t="s">
        <v>60</v>
      </c>
      <c r="W654" t="s">
        <v>135</v>
      </c>
      <c r="X654" t="s">
        <v>34</v>
      </c>
      <c r="Y654" t="str">
        <f>"770713644   "</f>
        <v xml:space="preserve">770713644   </v>
      </c>
    </row>
    <row r="655" spans="1:25" x14ac:dyDescent="0.25">
      <c r="A655" t="s">
        <v>3036</v>
      </c>
      <c r="B655" t="s">
        <v>3037</v>
      </c>
      <c r="C655">
        <v>2020</v>
      </c>
      <c r="D655">
        <v>8001</v>
      </c>
      <c r="E655">
        <v>1</v>
      </c>
      <c r="F655" t="s">
        <v>3038</v>
      </c>
      <c r="G655">
        <v>29670602</v>
      </c>
      <c r="J655">
        <v>18.95</v>
      </c>
      <c r="L655">
        <v>47118203</v>
      </c>
      <c r="M655" s="1">
        <v>44273</v>
      </c>
      <c r="N655" t="str">
        <f>"RC210324"</f>
        <v>RC210324</v>
      </c>
      <c r="O655" t="s">
        <v>28</v>
      </c>
      <c r="Q655" t="s">
        <v>29</v>
      </c>
      <c r="R655" t="s">
        <v>28</v>
      </c>
      <c r="S655" t="s">
        <v>3039</v>
      </c>
      <c r="T655" t="s">
        <v>3040</v>
      </c>
      <c r="W655" t="s">
        <v>3041</v>
      </c>
      <c r="X655" t="s">
        <v>3042</v>
      </c>
      <c r="Y655" t="str">
        <f>"74101"</f>
        <v>74101</v>
      </c>
    </row>
    <row r="656" spans="1:25" x14ac:dyDescent="0.25">
      <c r="A656" t="s">
        <v>3043</v>
      </c>
      <c r="B656" t="s">
        <v>3044</v>
      </c>
      <c r="C656">
        <v>2019</v>
      </c>
      <c r="D656">
        <v>8001</v>
      </c>
      <c r="E656">
        <v>1</v>
      </c>
      <c r="F656" t="s">
        <v>3045</v>
      </c>
      <c r="G656">
        <v>26601301</v>
      </c>
      <c r="J656">
        <v>17.62</v>
      </c>
      <c r="L656">
        <v>44114370</v>
      </c>
      <c r="M656" s="1">
        <v>43951</v>
      </c>
      <c r="N656" t="str">
        <f>"RC200506"</f>
        <v>RC200506</v>
      </c>
      <c r="O656" t="s">
        <v>28</v>
      </c>
      <c r="Q656" t="s">
        <v>29</v>
      </c>
      <c r="R656" t="s">
        <v>28</v>
      </c>
      <c r="S656" t="s">
        <v>3046</v>
      </c>
      <c r="T656" t="s">
        <v>3047</v>
      </c>
      <c r="W656" t="s">
        <v>75</v>
      </c>
      <c r="X656" t="s">
        <v>34</v>
      </c>
      <c r="Y656" t="str">
        <f>"770277405"</f>
        <v>770277405</v>
      </c>
    </row>
    <row r="657" spans="1:25" x14ac:dyDescent="0.25">
      <c r="A657" t="s">
        <v>3048</v>
      </c>
      <c r="B657" t="s">
        <v>3049</v>
      </c>
      <c r="C657">
        <v>2019</v>
      </c>
      <c r="D657">
        <v>8001</v>
      </c>
      <c r="E657">
        <v>1</v>
      </c>
      <c r="F657" t="s">
        <v>3050</v>
      </c>
      <c r="G657">
        <v>28305697</v>
      </c>
      <c r="J657">
        <v>15.61</v>
      </c>
      <c r="L657">
        <v>43875752</v>
      </c>
      <c r="M657" s="1">
        <v>43894</v>
      </c>
      <c r="N657" t="str">
        <f>"EK200304"</f>
        <v>EK200304</v>
      </c>
      <c r="O657" t="s">
        <v>28</v>
      </c>
      <c r="Q657" t="s">
        <v>29</v>
      </c>
      <c r="R657" t="s">
        <v>28</v>
      </c>
      <c r="S657" t="s">
        <v>3051</v>
      </c>
      <c r="T657" t="s">
        <v>3052</v>
      </c>
      <c r="W657" t="s">
        <v>75</v>
      </c>
      <c r="X657" t="s">
        <v>34</v>
      </c>
      <c r="Y657" t="str">
        <f>"770713314"</f>
        <v>770713314</v>
      </c>
    </row>
    <row r="658" spans="1:25" x14ac:dyDescent="0.25">
      <c r="A658" t="s">
        <v>3053</v>
      </c>
      <c r="B658" t="s">
        <v>3054</v>
      </c>
      <c r="C658">
        <v>2020</v>
      </c>
      <c r="D658">
        <v>8001</v>
      </c>
      <c r="E658">
        <v>2</v>
      </c>
      <c r="F658" t="s">
        <v>3055</v>
      </c>
      <c r="G658">
        <v>22117032</v>
      </c>
      <c r="J658">
        <v>16.57</v>
      </c>
      <c r="L658">
        <v>47513819</v>
      </c>
      <c r="M658" s="1">
        <v>44356</v>
      </c>
      <c r="N658" t="str">
        <f>"RC210616"</f>
        <v>RC210616</v>
      </c>
      <c r="O658" t="s">
        <v>28</v>
      </c>
      <c r="Q658" t="s">
        <v>29</v>
      </c>
      <c r="R658" t="s">
        <v>28</v>
      </c>
      <c r="S658" t="s">
        <v>3056</v>
      </c>
      <c r="T658" t="s">
        <v>3057</v>
      </c>
      <c r="W658" t="s">
        <v>664</v>
      </c>
      <c r="X658" t="s">
        <v>665</v>
      </c>
      <c r="Y658" t="str">
        <f>"50306-0335"</f>
        <v>50306-0335</v>
      </c>
    </row>
    <row r="659" spans="1:25" x14ac:dyDescent="0.25">
      <c r="A659" t="s">
        <v>3058</v>
      </c>
      <c r="B659" t="s">
        <v>3059</v>
      </c>
      <c r="C659">
        <v>2020</v>
      </c>
      <c r="D659">
        <v>8001</v>
      </c>
      <c r="E659">
        <v>1</v>
      </c>
      <c r="F659" t="s">
        <v>3060</v>
      </c>
      <c r="G659">
        <v>29824177</v>
      </c>
      <c r="J659">
        <v>47.62</v>
      </c>
      <c r="L659">
        <v>47421508</v>
      </c>
      <c r="M659" s="1">
        <v>44336</v>
      </c>
      <c r="N659" t="str">
        <f>"RC210524"</f>
        <v>RC210524</v>
      </c>
      <c r="O659" t="s">
        <v>28</v>
      </c>
      <c r="Q659" t="s">
        <v>29</v>
      </c>
      <c r="R659" t="s">
        <v>28</v>
      </c>
      <c r="S659" t="s">
        <v>3061</v>
      </c>
      <c r="T659" t="s">
        <v>3062</v>
      </c>
      <c r="U659" t="s">
        <v>3063</v>
      </c>
      <c r="W659" t="s">
        <v>75</v>
      </c>
      <c r="X659" t="s">
        <v>34</v>
      </c>
      <c r="Y659" t="str">
        <f>"770713311"</f>
        <v>770713311</v>
      </c>
    </row>
    <row r="660" spans="1:25" x14ac:dyDescent="0.25">
      <c r="A660" t="s">
        <v>3064</v>
      </c>
      <c r="B660" t="s">
        <v>3065</v>
      </c>
      <c r="C660">
        <v>2020</v>
      </c>
      <c r="D660">
        <v>8001</v>
      </c>
      <c r="E660">
        <v>1</v>
      </c>
      <c r="F660" t="s">
        <v>3066</v>
      </c>
      <c r="G660">
        <v>0</v>
      </c>
      <c r="J660">
        <v>57.54</v>
      </c>
      <c r="L660">
        <v>46880557</v>
      </c>
      <c r="M660" s="1">
        <v>44236</v>
      </c>
      <c r="N660" t="str">
        <f>"J210209K5"</f>
        <v>J210209K5</v>
      </c>
      <c r="O660" t="s">
        <v>28</v>
      </c>
      <c r="Q660" t="s">
        <v>29</v>
      </c>
      <c r="R660" t="s">
        <v>28</v>
      </c>
      <c r="S660" t="s">
        <v>3066</v>
      </c>
      <c r="T660" t="s">
        <v>3067</v>
      </c>
      <c r="U660" t="s">
        <v>60</v>
      </c>
      <c r="V660" t="s">
        <v>60</v>
      </c>
      <c r="W660" t="s">
        <v>135</v>
      </c>
      <c r="X660" t="s">
        <v>34</v>
      </c>
      <c r="Y660" t="str">
        <f>"770713229   "</f>
        <v xml:space="preserve">770713229   </v>
      </c>
    </row>
    <row r="661" spans="1:25" x14ac:dyDescent="0.25">
      <c r="A661" t="s">
        <v>3068</v>
      </c>
      <c r="B661" t="s">
        <v>3069</v>
      </c>
      <c r="C661">
        <v>2021</v>
      </c>
      <c r="D661">
        <v>8001</v>
      </c>
      <c r="E661">
        <v>2</v>
      </c>
      <c r="F661" t="s">
        <v>3070</v>
      </c>
      <c r="G661">
        <v>0</v>
      </c>
      <c r="J661">
        <v>127.33</v>
      </c>
      <c r="L661">
        <v>49386831</v>
      </c>
      <c r="M661" s="1">
        <v>44582</v>
      </c>
      <c r="N661" t="str">
        <f>"EL220121"</f>
        <v>EL220121</v>
      </c>
      <c r="O661" t="s">
        <v>28</v>
      </c>
      <c r="Q661" t="s">
        <v>29</v>
      </c>
      <c r="R661" t="s">
        <v>28</v>
      </c>
      <c r="S661" t="s">
        <v>3070</v>
      </c>
      <c r="T661" t="s">
        <v>3071</v>
      </c>
      <c r="U661" t="s">
        <v>60</v>
      </c>
      <c r="V661" t="s">
        <v>60</v>
      </c>
      <c r="W661" t="s">
        <v>1137</v>
      </c>
      <c r="X661" t="s">
        <v>34</v>
      </c>
      <c r="Y661" t="str">
        <f>"774943459   "</f>
        <v xml:space="preserve">774943459   </v>
      </c>
    </row>
    <row r="662" spans="1:25" x14ac:dyDescent="0.25">
      <c r="A662" t="s">
        <v>3072</v>
      </c>
      <c r="B662" t="s">
        <v>3073</v>
      </c>
      <c r="C662">
        <v>2021</v>
      </c>
      <c r="D662">
        <v>8001</v>
      </c>
      <c r="E662">
        <v>2</v>
      </c>
      <c r="F662" t="s">
        <v>3074</v>
      </c>
      <c r="G662">
        <v>22844536</v>
      </c>
      <c r="J662">
        <v>639.11</v>
      </c>
      <c r="L662">
        <v>48464997</v>
      </c>
      <c r="M662" s="1">
        <v>44544</v>
      </c>
      <c r="N662" t="str">
        <f>"RC220113"</f>
        <v>RC220113</v>
      </c>
      <c r="O662" t="s">
        <v>28</v>
      </c>
      <c r="Q662" t="s">
        <v>29</v>
      </c>
      <c r="R662" t="s">
        <v>28</v>
      </c>
      <c r="S662" t="s">
        <v>3075</v>
      </c>
      <c r="T662" t="s">
        <v>3076</v>
      </c>
      <c r="W662" t="s">
        <v>75</v>
      </c>
      <c r="X662" t="s">
        <v>34</v>
      </c>
      <c r="Y662" t="str">
        <f>"770279083"</f>
        <v>770279083</v>
      </c>
    </row>
    <row r="663" spans="1:25" x14ac:dyDescent="0.25">
      <c r="A663" t="s">
        <v>3077</v>
      </c>
      <c r="B663" t="s">
        <v>3078</v>
      </c>
      <c r="C663">
        <v>2021</v>
      </c>
      <c r="D663">
        <v>8001</v>
      </c>
      <c r="E663">
        <v>1</v>
      </c>
      <c r="F663" t="s">
        <v>3079</v>
      </c>
      <c r="G663">
        <v>0</v>
      </c>
      <c r="J663">
        <v>60.19</v>
      </c>
      <c r="L663">
        <v>49298721</v>
      </c>
      <c r="M663" s="1">
        <v>44580</v>
      </c>
      <c r="N663" t="str">
        <f>"L220119"</f>
        <v>L220119</v>
      </c>
      <c r="O663" t="s">
        <v>28</v>
      </c>
      <c r="Q663" t="s">
        <v>29</v>
      </c>
      <c r="R663" t="s">
        <v>28</v>
      </c>
      <c r="S663" t="s">
        <v>3079</v>
      </c>
      <c r="T663" t="s">
        <v>3080</v>
      </c>
      <c r="U663" t="s">
        <v>60</v>
      </c>
      <c r="V663" t="s">
        <v>60</v>
      </c>
      <c r="W663" t="s">
        <v>135</v>
      </c>
      <c r="X663" t="s">
        <v>34</v>
      </c>
      <c r="Y663" t="str">
        <f>"770713236   "</f>
        <v xml:space="preserve">770713236   </v>
      </c>
    </row>
    <row r="664" spans="1:25" x14ac:dyDescent="0.25">
      <c r="A664" t="s">
        <v>3081</v>
      </c>
      <c r="B664" t="s">
        <v>3082</v>
      </c>
      <c r="C664">
        <v>2019</v>
      </c>
      <c r="D664">
        <v>8001</v>
      </c>
      <c r="E664">
        <v>1</v>
      </c>
      <c r="F664" t="s">
        <v>3083</v>
      </c>
      <c r="G664">
        <v>27299940</v>
      </c>
      <c r="J664">
        <v>16.04</v>
      </c>
      <c r="L664">
        <v>44283301</v>
      </c>
      <c r="M664" s="1">
        <v>43987</v>
      </c>
      <c r="N664" t="str">
        <f>"J200605K2"</f>
        <v>J200605K2</v>
      </c>
      <c r="O664" t="s">
        <v>28</v>
      </c>
      <c r="Q664" t="s">
        <v>29</v>
      </c>
      <c r="R664" t="s">
        <v>28</v>
      </c>
      <c r="S664" t="s">
        <v>3084</v>
      </c>
      <c r="T664" t="s">
        <v>3085</v>
      </c>
      <c r="W664" t="s">
        <v>392</v>
      </c>
      <c r="X664" t="s">
        <v>34</v>
      </c>
      <c r="Y664" t="str">
        <f>"774591732"</f>
        <v>774591732</v>
      </c>
    </row>
    <row r="665" spans="1:25" x14ac:dyDescent="0.25">
      <c r="A665" t="s">
        <v>3086</v>
      </c>
      <c r="B665" t="s">
        <v>3087</v>
      </c>
      <c r="C665">
        <v>2020</v>
      </c>
      <c r="D665">
        <v>8001</v>
      </c>
      <c r="E665">
        <v>1</v>
      </c>
      <c r="F665" t="s">
        <v>3088</v>
      </c>
      <c r="G665">
        <v>28994527</v>
      </c>
      <c r="J665">
        <v>41.13</v>
      </c>
      <c r="L665">
        <v>45563502</v>
      </c>
      <c r="M665" s="1">
        <v>44203</v>
      </c>
      <c r="N665" t="str">
        <f>"T210107U1"</f>
        <v>T210107U1</v>
      </c>
      <c r="O665" t="s">
        <v>28</v>
      </c>
      <c r="Q665" t="s">
        <v>29</v>
      </c>
      <c r="R665" t="s">
        <v>28</v>
      </c>
      <c r="S665" t="s">
        <v>3089</v>
      </c>
      <c r="T665" t="s">
        <v>3090</v>
      </c>
      <c r="W665" t="s">
        <v>371</v>
      </c>
      <c r="X665" t="s">
        <v>34</v>
      </c>
      <c r="Y665" t="str">
        <f>"774771520"</f>
        <v>774771520</v>
      </c>
    </row>
    <row r="666" spans="1:25" x14ac:dyDescent="0.25">
      <c r="A666" t="s">
        <v>3091</v>
      </c>
      <c r="B666" t="s">
        <v>3092</v>
      </c>
      <c r="C666">
        <v>2020</v>
      </c>
      <c r="D666">
        <v>8001</v>
      </c>
      <c r="E666">
        <v>1</v>
      </c>
      <c r="F666" t="s">
        <v>3093</v>
      </c>
      <c r="G666">
        <v>29461832</v>
      </c>
      <c r="J666">
        <v>54.29</v>
      </c>
      <c r="L666">
        <v>46728832</v>
      </c>
      <c r="M666" s="1">
        <v>44230</v>
      </c>
      <c r="N666" t="str">
        <f>"EK210203"</f>
        <v>EK210203</v>
      </c>
      <c r="O666" t="s">
        <v>28</v>
      </c>
      <c r="Q666" t="s">
        <v>29</v>
      </c>
      <c r="R666" t="s">
        <v>28</v>
      </c>
      <c r="S666" t="s">
        <v>3094</v>
      </c>
      <c r="T666" t="s">
        <v>3095</v>
      </c>
      <c r="W666" t="s">
        <v>75</v>
      </c>
      <c r="X666" t="s">
        <v>34</v>
      </c>
      <c r="Y666" t="str">
        <f>"77071"</f>
        <v>77071</v>
      </c>
    </row>
    <row r="667" spans="1:25" x14ac:dyDescent="0.25">
      <c r="A667" t="s">
        <v>3096</v>
      </c>
      <c r="B667" t="s">
        <v>3097</v>
      </c>
      <c r="C667">
        <v>2019</v>
      </c>
      <c r="D667">
        <v>8001</v>
      </c>
      <c r="E667">
        <v>2</v>
      </c>
      <c r="F667" t="s">
        <v>3098</v>
      </c>
      <c r="G667">
        <v>28333619</v>
      </c>
      <c r="J667">
        <v>201.14</v>
      </c>
      <c r="L667">
        <v>44378384</v>
      </c>
      <c r="M667" s="1">
        <v>44020</v>
      </c>
      <c r="N667" t="str">
        <f>"J200708K1"</f>
        <v>J200708K1</v>
      </c>
      <c r="O667" t="s">
        <v>28</v>
      </c>
      <c r="Q667" t="s">
        <v>29</v>
      </c>
      <c r="R667" t="s">
        <v>28</v>
      </c>
      <c r="S667" t="s">
        <v>2317</v>
      </c>
      <c r="T667" t="s">
        <v>1685</v>
      </c>
      <c r="U667" t="s">
        <v>3099</v>
      </c>
      <c r="W667" t="s">
        <v>2938</v>
      </c>
      <c r="X667" t="s">
        <v>317</v>
      </c>
      <c r="Y667" t="str">
        <f>"92806"</f>
        <v>92806</v>
      </c>
    </row>
    <row r="668" spans="1:25" x14ac:dyDescent="0.25">
      <c r="A668" t="s">
        <v>3100</v>
      </c>
      <c r="B668" t="s">
        <v>3101</v>
      </c>
      <c r="C668">
        <v>2020</v>
      </c>
      <c r="D668">
        <v>8001</v>
      </c>
      <c r="E668">
        <v>3</v>
      </c>
      <c r="F668" t="s">
        <v>3102</v>
      </c>
      <c r="G668">
        <v>0</v>
      </c>
      <c r="J668">
        <v>41.93</v>
      </c>
      <c r="L668">
        <v>47001543</v>
      </c>
      <c r="M668" s="1">
        <v>44256</v>
      </c>
      <c r="N668" t="str">
        <f>"O210301BZ1"</f>
        <v>O210301BZ1</v>
      </c>
      <c r="O668" t="s">
        <v>28</v>
      </c>
      <c r="Q668" t="s">
        <v>29</v>
      </c>
      <c r="R668" t="s">
        <v>28</v>
      </c>
      <c r="S668" t="s">
        <v>3102</v>
      </c>
      <c r="T668" t="s">
        <v>3103</v>
      </c>
      <c r="U668" t="s">
        <v>60</v>
      </c>
      <c r="V668" t="s">
        <v>60</v>
      </c>
      <c r="W668" t="s">
        <v>61</v>
      </c>
      <c r="X668" t="s">
        <v>34</v>
      </c>
      <c r="Y668" t="str">
        <f>"774859669   "</f>
        <v xml:space="preserve">774859669   </v>
      </c>
    </row>
    <row r="669" spans="1:25" x14ac:dyDescent="0.25">
      <c r="A669" t="s">
        <v>3104</v>
      </c>
      <c r="B669" t="s">
        <v>3105</v>
      </c>
      <c r="C669">
        <v>2018</v>
      </c>
      <c r="D669">
        <v>8001</v>
      </c>
      <c r="E669">
        <v>2</v>
      </c>
      <c r="F669" t="s">
        <v>3106</v>
      </c>
      <c r="G669">
        <v>27348266</v>
      </c>
      <c r="J669">
        <v>9.9700000000000006</v>
      </c>
      <c r="L669">
        <v>41104503</v>
      </c>
      <c r="M669" s="1">
        <v>43570</v>
      </c>
      <c r="N669" t="str">
        <f>"CC190415"</f>
        <v>CC190415</v>
      </c>
      <c r="O669" t="s">
        <v>28</v>
      </c>
      <c r="Q669" t="s">
        <v>29</v>
      </c>
      <c r="R669" t="s">
        <v>28</v>
      </c>
      <c r="S669" t="s">
        <v>3107</v>
      </c>
      <c r="T669" t="s">
        <v>3108</v>
      </c>
      <c r="W669" t="s">
        <v>40</v>
      </c>
      <c r="X669" t="s">
        <v>34</v>
      </c>
      <c r="Y669" t="str">
        <f>"77498"</f>
        <v>77498</v>
      </c>
    </row>
    <row r="670" spans="1:25" x14ac:dyDescent="0.25">
      <c r="A670" t="s">
        <v>3109</v>
      </c>
      <c r="B670" t="s">
        <v>3110</v>
      </c>
      <c r="C670">
        <v>2019</v>
      </c>
      <c r="D670">
        <v>8001</v>
      </c>
      <c r="E670">
        <v>1</v>
      </c>
      <c r="F670" t="s">
        <v>3111</v>
      </c>
      <c r="G670">
        <v>27453668</v>
      </c>
      <c r="J670">
        <v>317.41000000000003</v>
      </c>
      <c r="L670">
        <v>43698268</v>
      </c>
      <c r="M670" s="1">
        <v>43871</v>
      </c>
      <c r="N670" t="str">
        <f>"J200210AW7"</f>
        <v>J200210AW7</v>
      </c>
      <c r="O670" t="s">
        <v>28</v>
      </c>
      <c r="Q670" t="s">
        <v>29</v>
      </c>
      <c r="R670" t="s">
        <v>28</v>
      </c>
      <c r="S670" t="s">
        <v>3112</v>
      </c>
      <c r="T670" t="s">
        <v>203</v>
      </c>
      <c r="U670" t="s">
        <v>1475</v>
      </c>
      <c r="W670" t="s">
        <v>33</v>
      </c>
      <c r="X670" t="s">
        <v>34</v>
      </c>
      <c r="Y670" t="str">
        <f>"750938768"</f>
        <v>750938768</v>
      </c>
    </row>
    <row r="671" spans="1:25" x14ac:dyDescent="0.25">
      <c r="A671" t="s">
        <v>3113</v>
      </c>
      <c r="B671" t="s">
        <v>3114</v>
      </c>
      <c r="C671">
        <v>2019</v>
      </c>
      <c r="D671">
        <v>8001</v>
      </c>
      <c r="E671">
        <v>1</v>
      </c>
      <c r="F671" t="s">
        <v>3115</v>
      </c>
      <c r="G671">
        <v>28317461</v>
      </c>
      <c r="J671">
        <v>49.74</v>
      </c>
      <c r="L671">
        <v>43909357</v>
      </c>
      <c r="M671" s="1">
        <v>43899</v>
      </c>
      <c r="N671" t="str">
        <f>"J200309AW5"</f>
        <v>J200309AW5</v>
      </c>
      <c r="O671" t="s">
        <v>28</v>
      </c>
      <c r="Q671" t="s">
        <v>29</v>
      </c>
      <c r="R671" t="s">
        <v>28</v>
      </c>
      <c r="S671" t="s">
        <v>65</v>
      </c>
      <c r="U671" t="s">
        <v>66</v>
      </c>
      <c r="V671" t="s">
        <v>67</v>
      </c>
      <c r="W671" t="s">
        <v>68</v>
      </c>
      <c r="X671" t="s">
        <v>69</v>
      </c>
      <c r="Y671" t="str">
        <f>"29601"</f>
        <v>29601</v>
      </c>
    </row>
    <row r="672" spans="1:25" x14ac:dyDescent="0.25">
      <c r="A672" t="s">
        <v>3116</v>
      </c>
      <c r="B672" t="s">
        <v>3117</v>
      </c>
      <c r="C672">
        <v>2020</v>
      </c>
      <c r="D672">
        <v>8001</v>
      </c>
      <c r="E672">
        <v>1</v>
      </c>
      <c r="F672" t="s">
        <v>3118</v>
      </c>
      <c r="G672">
        <v>29489468</v>
      </c>
      <c r="J672">
        <v>219.54</v>
      </c>
      <c r="L672">
        <v>46782167</v>
      </c>
      <c r="M672" s="1">
        <v>44231</v>
      </c>
      <c r="N672" t="str">
        <f>"CC210204"</f>
        <v>CC210204</v>
      </c>
      <c r="O672" t="s">
        <v>28</v>
      </c>
      <c r="Q672" t="s">
        <v>29</v>
      </c>
      <c r="R672" t="s">
        <v>28</v>
      </c>
      <c r="S672" t="s">
        <v>3119</v>
      </c>
      <c r="T672" t="s">
        <v>3120</v>
      </c>
      <c r="W672" t="s">
        <v>154</v>
      </c>
      <c r="X672" t="s">
        <v>34</v>
      </c>
      <c r="Y672" t="str">
        <f>"77471"</f>
        <v>77471</v>
      </c>
    </row>
    <row r="673" spans="1:25" x14ac:dyDescent="0.25">
      <c r="A673" t="s">
        <v>3121</v>
      </c>
      <c r="B673" t="s">
        <v>3122</v>
      </c>
      <c r="C673">
        <v>2019</v>
      </c>
      <c r="D673">
        <v>8001</v>
      </c>
      <c r="E673">
        <v>3</v>
      </c>
      <c r="F673" t="s">
        <v>3123</v>
      </c>
      <c r="G673">
        <v>0</v>
      </c>
      <c r="J673">
        <v>27.34</v>
      </c>
      <c r="L673">
        <v>44289413</v>
      </c>
      <c r="M673" s="1">
        <v>43991</v>
      </c>
      <c r="N673" t="str">
        <f>"J200609K1"</f>
        <v>J200609K1</v>
      </c>
      <c r="O673" t="s">
        <v>28</v>
      </c>
      <c r="Q673" t="s">
        <v>29</v>
      </c>
      <c r="R673" t="s">
        <v>28</v>
      </c>
      <c r="S673" t="s">
        <v>3123</v>
      </c>
      <c r="T673" t="s">
        <v>3124</v>
      </c>
      <c r="U673" t="s">
        <v>60</v>
      </c>
      <c r="V673" t="s">
        <v>60</v>
      </c>
      <c r="W673" t="s">
        <v>649</v>
      </c>
      <c r="X673" t="s">
        <v>34</v>
      </c>
      <c r="Y673" t="str">
        <f>"774717134   "</f>
        <v xml:space="preserve">774717134   </v>
      </c>
    </row>
    <row r="674" spans="1:25" x14ac:dyDescent="0.25">
      <c r="A674" t="s">
        <v>3125</v>
      </c>
      <c r="B674" t="s">
        <v>3126</v>
      </c>
      <c r="C674">
        <v>2021</v>
      </c>
      <c r="D674">
        <v>8001</v>
      </c>
      <c r="E674">
        <v>1</v>
      </c>
      <c r="F674" t="s">
        <v>3127</v>
      </c>
      <c r="G674">
        <v>26419208</v>
      </c>
      <c r="J674">
        <v>75.36</v>
      </c>
      <c r="L674">
        <v>48244942</v>
      </c>
      <c r="M674" s="1">
        <v>44530</v>
      </c>
      <c r="N674" t="str">
        <f>"RC211222"</f>
        <v>RC211222</v>
      </c>
      <c r="O674" t="s">
        <v>28</v>
      </c>
      <c r="Q674" t="s">
        <v>29</v>
      </c>
      <c r="R674" t="s">
        <v>28</v>
      </c>
      <c r="S674" t="s">
        <v>1073</v>
      </c>
      <c r="T674" t="s">
        <v>1074</v>
      </c>
      <c r="W674" t="s">
        <v>1075</v>
      </c>
      <c r="X674" t="s">
        <v>34</v>
      </c>
      <c r="Y674" t="str">
        <f>"76177"</f>
        <v>76177</v>
      </c>
    </row>
    <row r="675" spans="1:25" x14ac:dyDescent="0.25">
      <c r="A675" t="s">
        <v>3128</v>
      </c>
      <c r="B675" t="s">
        <v>3129</v>
      </c>
      <c r="C675">
        <v>2019</v>
      </c>
      <c r="D675">
        <v>8001</v>
      </c>
      <c r="E675">
        <v>1</v>
      </c>
      <c r="F675" t="s">
        <v>3130</v>
      </c>
      <c r="G675">
        <v>28310308</v>
      </c>
      <c r="J675">
        <v>39.43</v>
      </c>
      <c r="L675">
        <v>43887129</v>
      </c>
      <c r="M675" s="1">
        <v>43895</v>
      </c>
      <c r="N675" t="str">
        <f>"CC200305"</f>
        <v>CC200305</v>
      </c>
      <c r="O675" t="s">
        <v>28</v>
      </c>
      <c r="Q675" t="s">
        <v>29</v>
      </c>
      <c r="R675" t="s">
        <v>28</v>
      </c>
      <c r="S675" t="s">
        <v>3131</v>
      </c>
      <c r="T675" t="s">
        <v>3132</v>
      </c>
      <c r="W675" t="s">
        <v>2481</v>
      </c>
      <c r="X675" t="s">
        <v>34</v>
      </c>
      <c r="Y675" t="str">
        <f>"77423"</f>
        <v>77423</v>
      </c>
    </row>
    <row r="676" spans="1:25" x14ac:dyDescent="0.25">
      <c r="A676" t="s">
        <v>3133</v>
      </c>
      <c r="B676" t="s">
        <v>3134</v>
      </c>
      <c r="C676">
        <v>2019</v>
      </c>
      <c r="D676">
        <v>8001</v>
      </c>
      <c r="E676">
        <v>1</v>
      </c>
      <c r="F676" t="s">
        <v>3135</v>
      </c>
      <c r="G676">
        <v>0</v>
      </c>
      <c r="J676" s="2">
        <v>13423.2</v>
      </c>
      <c r="L676">
        <v>43323674</v>
      </c>
      <c r="M676" s="1">
        <v>43859</v>
      </c>
      <c r="N676" t="str">
        <f>"L200129"</f>
        <v>L200129</v>
      </c>
      <c r="O676" t="s">
        <v>28</v>
      </c>
      <c r="Q676" t="s">
        <v>29</v>
      </c>
      <c r="R676" t="s">
        <v>28</v>
      </c>
      <c r="S676" t="s">
        <v>3135</v>
      </c>
      <c r="T676" t="s">
        <v>3136</v>
      </c>
      <c r="U676" t="s">
        <v>3137</v>
      </c>
      <c r="V676" t="s">
        <v>60</v>
      </c>
      <c r="W676" t="s">
        <v>135</v>
      </c>
      <c r="X676" t="s">
        <v>34</v>
      </c>
      <c r="Y676" t="str">
        <f>"770424698   "</f>
        <v xml:space="preserve">770424698   </v>
      </c>
    </row>
    <row r="677" spans="1:25" x14ac:dyDescent="0.25">
      <c r="A677" t="s">
        <v>3138</v>
      </c>
      <c r="B677" t="s">
        <v>3139</v>
      </c>
      <c r="C677">
        <v>2020</v>
      </c>
      <c r="D677">
        <v>8001</v>
      </c>
      <c r="E677">
        <v>2</v>
      </c>
      <c r="F677" t="s">
        <v>3140</v>
      </c>
      <c r="G677">
        <v>21600983</v>
      </c>
      <c r="J677">
        <v>102.67</v>
      </c>
      <c r="L677">
        <v>47257081</v>
      </c>
      <c r="M677" s="1">
        <v>44292</v>
      </c>
      <c r="N677" t="str">
        <f>"RC210414"</f>
        <v>RC210414</v>
      </c>
      <c r="O677" t="s">
        <v>28</v>
      </c>
      <c r="Q677" t="s">
        <v>29</v>
      </c>
      <c r="R677" t="s">
        <v>28</v>
      </c>
      <c r="S677" t="s">
        <v>1454</v>
      </c>
      <c r="T677" t="s">
        <v>1455</v>
      </c>
      <c r="W677" t="s">
        <v>1456</v>
      </c>
      <c r="X677" t="s">
        <v>1457</v>
      </c>
      <c r="Y677" t="str">
        <f>"234504968"</f>
        <v>234504968</v>
      </c>
    </row>
    <row r="678" spans="1:25" x14ac:dyDescent="0.25">
      <c r="A678" t="s">
        <v>3141</v>
      </c>
      <c r="B678" t="s">
        <v>3142</v>
      </c>
      <c r="C678">
        <v>2020</v>
      </c>
      <c r="D678">
        <v>8001</v>
      </c>
      <c r="E678">
        <v>1</v>
      </c>
      <c r="F678" t="s">
        <v>3143</v>
      </c>
      <c r="G678">
        <v>28872867</v>
      </c>
      <c r="J678">
        <v>54</v>
      </c>
      <c r="L678">
        <v>45159814</v>
      </c>
      <c r="M678" s="1">
        <v>44173</v>
      </c>
      <c r="N678" t="str">
        <f>"RC201217"</f>
        <v>RC201217</v>
      </c>
      <c r="O678" t="s">
        <v>28</v>
      </c>
      <c r="Q678" t="s">
        <v>29</v>
      </c>
      <c r="R678" t="s">
        <v>28</v>
      </c>
      <c r="S678" t="s">
        <v>3144</v>
      </c>
      <c r="T678" t="s">
        <v>3145</v>
      </c>
      <c r="U678" t="s">
        <v>3146</v>
      </c>
      <c r="V678" t="s">
        <v>3147</v>
      </c>
      <c r="W678" t="s">
        <v>75</v>
      </c>
      <c r="X678" t="s">
        <v>34</v>
      </c>
      <c r="Y678" t="str">
        <f>"770643589"</f>
        <v>770643589</v>
      </c>
    </row>
    <row r="679" spans="1:25" x14ac:dyDescent="0.25">
      <c r="A679" t="s">
        <v>3148</v>
      </c>
      <c r="B679" t="s">
        <v>3149</v>
      </c>
      <c r="C679">
        <v>2021</v>
      </c>
      <c r="D679">
        <v>8001</v>
      </c>
      <c r="E679">
        <v>1</v>
      </c>
      <c r="F679" t="s">
        <v>3150</v>
      </c>
      <c r="G679">
        <v>22132648</v>
      </c>
      <c r="J679">
        <v>10.59</v>
      </c>
      <c r="L679">
        <v>48763573</v>
      </c>
      <c r="M679" s="1">
        <v>44559</v>
      </c>
      <c r="N679" t="str">
        <f>"RC220125"</f>
        <v>RC220125</v>
      </c>
      <c r="O679" t="s">
        <v>28</v>
      </c>
      <c r="Q679" t="s">
        <v>29</v>
      </c>
      <c r="R679" t="s">
        <v>28</v>
      </c>
      <c r="S679" t="s">
        <v>2995</v>
      </c>
      <c r="T679" t="s">
        <v>2997</v>
      </c>
      <c r="W679" t="s">
        <v>75</v>
      </c>
      <c r="X679" t="s">
        <v>34</v>
      </c>
      <c r="Y679" t="str">
        <f>"770563204"</f>
        <v>770563204</v>
      </c>
    </row>
    <row r="680" spans="1:25" x14ac:dyDescent="0.25">
      <c r="A680" t="s">
        <v>3151</v>
      </c>
      <c r="B680" t="s">
        <v>3152</v>
      </c>
      <c r="C680">
        <v>2018</v>
      </c>
      <c r="D680">
        <v>8001</v>
      </c>
      <c r="E680">
        <v>3</v>
      </c>
      <c r="F680" t="s">
        <v>3153</v>
      </c>
      <c r="G680">
        <v>23061629</v>
      </c>
      <c r="J680">
        <v>134.84</v>
      </c>
      <c r="L680">
        <v>41527753</v>
      </c>
      <c r="M680" s="1">
        <v>43711</v>
      </c>
      <c r="N680" t="str">
        <f>"O190903BL1"</f>
        <v>O190903BL1</v>
      </c>
      <c r="O680" t="s">
        <v>28</v>
      </c>
      <c r="Q680" t="s">
        <v>29</v>
      </c>
      <c r="R680" t="s">
        <v>28</v>
      </c>
      <c r="S680" t="s">
        <v>3154</v>
      </c>
      <c r="T680" t="s">
        <v>3155</v>
      </c>
      <c r="W680" t="s">
        <v>81</v>
      </c>
      <c r="X680" t="s">
        <v>34</v>
      </c>
      <c r="Y680" t="str">
        <f>"774698887"</f>
        <v>774698887</v>
      </c>
    </row>
    <row r="681" spans="1:25" x14ac:dyDescent="0.25">
      <c r="A681" t="s">
        <v>3156</v>
      </c>
      <c r="B681" t="s">
        <v>3157</v>
      </c>
      <c r="C681">
        <v>2019</v>
      </c>
      <c r="D681">
        <v>8001</v>
      </c>
      <c r="E681">
        <v>1</v>
      </c>
      <c r="F681" t="s">
        <v>3158</v>
      </c>
      <c r="G681">
        <v>28310279</v>
      </c>
      <c r="J681">
        <v>28.66</v>
      </c>
      <c r="L681">
        <v>43887100</v>
      </c>
      <c r="M681" s="1">
        <v>43895</v>
      </c>
      <c r="N681" t="str">
        <f>"CC200305"</f>
        <v>CC200305</v>
      </c>
      <c r="O681" t="s">
        <v>28</v>
      </c>
      <c r="Q681" t="s">
        <v>29</v>
      </c>
      <c r="R681" t="s">
        <v>28</v>
      </c>
      <c r="S681" t="s">
        <v>3159</v>
      </c>
      <c r="T681" t="s">
        <v>3160</v>
      </c>
      <c r="W681" t="s">
        <v>81</v>
      </c>
      <c r="X681" t="s">
        <v>34</v>
      </c>
      <c r="Y681" t="str">
        <f>"77469"</f>
        <v>77469</v>
      </c>
    </row>
    <row r="682" spans="1:25" x14ac:dyDescent="0.25">
      <c r="A682" t="s">
        <v>3161</v>
      </c>
      <c r="B682" t="s">
        <v>3162</v>
      </c>
      <c r="C682">
        <v>2019</v>
      </c>
      <c r="D682">
        <v>8001</v>
      </c>
      <c r="E682">
        <v>1</v>
      </c>
      <c r="F682" t="s">
        <v>3163</v>
      </c>
      <c r="G682">
        <v>28310280</v>
      </c>
      <c r="J682">
        <v>9.24</v>
      </c>
      <c r="L682">
        <v>43887101</v>
      </c>
      <c r="M682" s="1">
        <v>43895</v>
      </c>
      <c r="N682" t="str">
        <f>"CC200305"</f>
        <v>CC200305</v>
      </c>
      <c r="O682" t="s">
        <v>28</v>
      </c>
      <c r="Q682" t="s">
        <v>29</v>
      </c>
      <c r="R682" t="s">
        <v>28</v>
      </c>
      <c r="S682" t="s">
        <v>3159</v>
      </c>
      <c r="T682" t="s">
        <v>3160</v>
      </c>
      <c r="W682" t="s">
        <v>81</v>
      </c>
      <c r="X682" t="s">
        <v>34</v>
      </c>
      <c r="Y682" t="str">
        <f>"77469"</f>
        <v>77469</v>
      </c>
    </row>
    <row r="683" spans="1:25" x14ac:dyDescent="0.25">
      <c r="A683" t="s">
        <v>3164</v>
      </c>
      <c r="B683" t="s">
        <v>3165</v>
      </c>
      <c r="C683">
        <v>2020</v>
      </c>
      <c r="D683">
        <v>8001</v>
      </c>
      <c r="E683">
        <v>1</v>
      </c>
      <c r="F683" t="s">
        <v>3166</v>
      </c>
      <c r="G683">
        <v>29461906</v>
      </c>
      <c r="J683">
        <v>239.12</v>
      </c>
      <c r="L683">
        <v>46728906</v>
      </c>
      <c r="M683" s="1">
        <v>44230</v>
      </c>
      <c r="N683" t="str">
        <f>"EK210203"</f>
        <v>EK210203</v>
      </c>
      <c r="O683" t="s">
        <v>28</v>
      </c>
      <c r="Q683" t="s">
        <v>29</v>
      </c>
      <c r="R683" t="s">
        <v>28</v>
      </c>
      <c r="S683" t="s">
        <v>3167</v>
      </c>
      <c r="T683" t="s">
        <v>3168</v>
      </c>
      <c r="W683" t="s">
        <v>75</v>
      </c>
      <c r="X683" t="s">
        <v>34</v>
      </c>
      <c r="Y683" t="str">
        <f>"77083"</f>
        <v>77083</v>
      </c>
    </row>
    <row r="684" spans="1:25" x14ac:dyDescent="0.25">
      <c r="A684" t="s">
        <v>3169</v>
      </c>
      <c r="B684" t="s">
        <v>3170</v>
      </c>
      <c r="C684">
        <v>2019</v>
      </c>
      <c r="D684">
        <v>8001</v>
      </c>
      <c r="E684">
        <v>1</v>
      </c>
      <c r="F684" t="s">
        <v>3171</v>
      </c>
      <c r="G684">
        <v>27426072</v>
      </c>
      <c r="J684">
        <v>64.47</v>
      </c>
      <c r="L684">
        <v>43999401</v>
      </c>
      <c r="M684" s="1">
        <v>43920</v>
      </c>
      <c r="N684" t="str">
        <f>"J200330AW4"</f>
        <v>J200330AW4</v>
      </c>
      <c r="O684" t="s">
        <v>28</v>
      </c>
      <c r="Q684" t="s">
        <v>29</v>
      </c>
      <c r="R684" t="s">
        <v>28</v>
      </c>
      <c r="S684" t="s">
        <v>178</v>
      </c>
      <c r="T684" t="s">
        <v>179</v>
      </c>
      <c r="U684" t="s">
        <v>180</v>
      </c>
      <c r="W684" t="s">
        <v>107</v>
      </c>
      <c r="X684" t="s">
        <v>34</v>
      </c>
      <c r="Y684" t="str">
        <f>"774943095"</f>
        <v>774943095</v>
      </c>
    </row>
    <row r="685" spans="1:25" x14ac:dyDescent="0.25">
      <c r="A685" t="s">
        <v>3172</v>
      </c>
      <c r="B685" t="s">
        <v>3173</v>
      </c>
      <c r="C685">
        <v>2019</v>
      </c>
      <c r="D685">
        <v>8001</v>
      </c>
      <c r="E685">
        <v>1</v>
      </c>
      <c r="F685" t="s">
        <v>3174</v>
      </c>
      <c r="G685">
        <v>27598383</v>
      </c>
      <c r="J685">
        <v>8.9499999999999993</v>
      </c>
      <c r="L685">
        <v>41678789</v>
      </c>
      <c r="M685" s="1">
        <v>43770</v>
      </c>
      <c r="N685" t="str">
        <f>"T191101F1"</f>
        <v>T191101F1</v>
      </c>
      <c r="O685" t="s">
        <v>28</v>
      </c>
      <c r="Q685" t="s">
        <v>29</v>
      </c>
      <c r="R685" t="s">
        <v>28</v>
      </c>
      <c r="S685" t="s">
        <v>3175</v>
      </c>
      <c r="T685" t="s">
        <v>3176</v>
      </c>
      <c r="U685" t="s">
        <v>3177</v>
      </c>
      <c r="W685" t="s">
        <v>75</v>
      </c>
      <c r="X685" t="s">
        <v>34</v>
      </c>
      <c r="Y685" t="str">
        <f>"770835973"</f>
        <v>770835973</v>
      </c>
    </row>
    <row r="686" spans="1:25" x14ac:dyDescent="0.25">
      <c r="A686" t="s">
        <v>3178</v>
      </c>
      <c r="B686" t="s">
        <v>3179</v>
      </c>
      <c r="C686">
        <v>2020</v>
      </c>
      <c r="D686">
        <v>8001</v>
      </c>
      <c r="E686">
        <v>1</v>
      </c>
      <c r="F686" t="s">
        <v>3180</v>
      </c>
      <c r="G686">
        <v>24811977</v>
      </c>
      <c r="J686" s="2">
        <v>1727.65</v>
      </c>
      <c r="L686">
        <v>44784025</v>
      </c>
      <c r="M686" s="1">
        <v>44147</v>
      </c>
      <c r="N686" t="str">
        <f>"TE201112"</f>
        <v>TE201112</v>
      </c>
      <c r="O686" t="s">
        <v>28</v>
      </c>
      <c r="Q686" t="s">
        <v>29</v>
      </c>
      <c r="R686" t="s">
        <v>28</v>
      </c>
      <c r="S686" t="s">
        <v>775</v>
      </c>
      <c r="T686" t="s">
        <v>3181</v>
      </c>
      <c r="U686" t="s">
        <v>3182</v>
      </c>
      <c r="W686" t="s">
        <v>75</v>
      </c>
      <c r="X686" t="s">
        <v>34</v>
      </c>
      <c r="Y686" t="str">
        <f>"770941009"</f>
        <v>770941009</v>
      </c>
    </row>
    <row r="687" spans="1:25" x14ac:dyDescent="0.25">
      <c r="A687" t="s">
        <v>3183</v>
      </c>
      <c r="B687" t="s">
        <v>3184</v>
      </c>
      <c r="C687">
        <v>2020</v>
      </c>
      <c r="D687">
        <v>8001</v>
      </c>
      <c r="E687">
        <v>1</v>
      </c>
      <c r="F687" t="s">
        <v>3185</v>
      </c>
      <c r="G687">
        <v>29461571</v>
      </c>
      <c r="J687">
        <v>619.6</v>
      </c>
      <c r="L687">
        <v>46728571</v>
      </c>
      <c r="M687" s="1">
        <v>44230</v>
      </c>
      <c r="N687" t="str">
        <f>"EK210203"</f>
        <v>EK210203</v>
      </c>
      <c r="O687" t="s">
        <v>28</v>
      </c>
      <c r="Q687" t="s">
        <v>29</v>
      </c>
      <c r="R687" t="s">
        <v>28</v>
      </c>
      <c r="S687" t="s">
        <v>3186</v>
      </c>
      <c r="T687" t="s">
        <v>3187</v>
      </c>
      <c r="W687" t="s">
        <v>107</v>
      </c>
      <c r="X687" t="s">
        <v>34</v>
      </c>
      <c r="Y687" t="str">
        <f>"77450"</f>
        <v>77450</v>
      </c>
    </row>
    <row r="688" spans="1:25" x14ac:dyDescent="0.25">
      <c r="A688" t="s">
        <v>3188</v>
      </c>
      <c r="B688" t="s">
        <v>3189</v>
      </c>
      <c r="C688">
        <v>2019</v>
      </c>
      <c r="D688">
        <v>8001</v>
      </c>
      <c r="E688">
        <v>1</v>
      </c>
      <c r="F688" t="s">
        <v>3190</v>
      </c>
      <c r="G688">
        <v>0</v>
      </c>
      <c r="J688">
        <v>21.64</v>
      </c>
      <c r="L688">
        <v>43613217</v>
      </c>
      <c r="M688" s="1">
        <v>43866</v>
      </c>
      <c r="N688" t="str">
        <f>"J200205AW15"</f>
        <v>J200205AW15</v>
      </c>
      <c r="O688" t="s">
        <v>28</v>
      </c>
      <c r="Q688" t="s">
        <v>29</v>
      </c>
      <c r="R688" t="s">
        <v>28</v>
      </c>
      <c r="S688" t="s">
        <v>3190</v>
      </c>
      <c r="T688" t="s">
        <v>3191</v>
      </c>
      <c r="U688" t="s">
        <v>60</v>
      </c>
      <c r="V688" t="s">
        <v>60</v>
      </c>
      <c r="W688" t="s">
        <v>1137</v>
      </c>
      <c r="X688" t="s">
        <v>34</v>
      </c>
      <c r="Y688" t="str">
        <f>"774505953   "</f>
        <v xml:space="preserve">774505953   </v>
      </c>
    </row>
    <row r="689" spans="1:25" x14ac:dyDescent="0.25">
      <c r="A689" t="s">
        <v>3192</v>
      </c>
      <c r="B689" t="s">
        <v>3193</v>
      </c>
      <c r="C689">
        <v>2021</v>
      </c>
      <c r="D689">
        <v>8001</v>
      </c>
      <c r="E689">
        <v>1</v>
      </c>
      <c r="F689" t="s">
        <v>3194</v>
      </c>
      <c r="G689">
        <v>28895097</v>
      </c>
      <c r="J689">
        <v>84.65</v>
      </c>
      <c r="L689">
        <v>45255889</v>
      </c>
      <c r="M689" s="1">
        <v>44518</v>
      </c>
      <c r="N689" t="str">
        <f>"T211118U1"</f>
        <v>T211118U1</v>
      </c>
      <c r="O689" t="s">
        <v>260</v>
      </c>
      <c r="Q689" t="s">
        <v>29</v>
      </c>
      <c r="R689" t="s">
        <v>260</v>
      </c>
      <c r="S689" t="s">
        <v>2818</v>
      </c>
      <c r="T689" t="s">
        <v>3195</v>
      </c>
      <c r="W689" t="s">
        <v>75</v>
      </c>
      <c r="X689" t="s">
        <v>34</v>
      </c>
      <c r="Y689" t="str">
        <f>"77057"</f>
        <v>77057</v>
      </c>
    </row>
    <row r="690" spans="1:25" x14ac:dyDescent="0.25">
      <c r="A690" t="s">
        <v>3196</v>
      </c>
      <c r="B690" t="s">
        <v>3197</v>
      </c>
      <c r="C690">
        <v>2020</v>
      </c>
      <c r="D690">
        <v>8001</v>
      </c>
      <c r="E690">
        <v>2</v>
      </c>
      <c r="F690" t="s">
        <v>3198</v>
      </c>
      <c r="G690">
        <v>29974066</v>
      </c>
      <c r="J690">
        <v>45</v>
      </c>
      <c r="L690">
        <v>47689381</v>
      </c>
      <c r="M690" s="1">
        <v>44418</v>
      </c>
      <c r="N690" t="str">
        <f>"RC210820"</f>
        <v>RC210820</v>
      </c>
      <c r="O690" t="s">
        <v>28</v>
      </c>
      <c r="Q690" t="s">
        <v>29</v>
      </c>
      <c r="R690" t="s">
        <v>28</v>
      </c>
      <c r="S690" t="s">
        <v>561</v>
      </c>
      <c r="T690" t="s">
        <v>562</v>
      </c>
      <c r="W690" t="s">
        <v>563</v>
      </c>
      <c r="X690" t="s">
        <v>34</v>
      </c>
      <c r="Y690" t="str">
        <f>"750630156"</f>
        <v>750630156</v>
      </c>
    </row>
    <row r="691" spans="1:25" x14ac:dyDescent="0.25">
      <c r="A691" t="s">
        <v>3199</v>
      </c>
      <c r="B691" t="s">
        <v>3200</v>
      </c>
      <c r="C691">
        <v>2020</v>
      </c>
      <c r="D691">
        <v>8001</v>
      </c>
      <c r="E691">
        <v>1</v>
      </c>
      <c r="F691" t="s">
        <v>3201</v>
      </c>
      <c r="G691">
        <v>28686596</v>
      </c>
      <c r="J691">
        <v>45</v>
      </c>
      <c r="L691">
        <v>45907638</v>
      </c>
      <c r="M691" s="1">
        <v>44208</v>
      </c>
      <c r="N691" t="str">
        <f>"RC210128"</f>
        <v>RC210128</v>
      </c>
      <c r="O691" t="s">
        <v>28</v>
      </c>
      <c r="Q691" t="s">
        <v>29</v>
      </c>
      <c r="R691" t="s">
        <v>28</v>
      </c>
      <c r="S691" t="s">
        <v>3202</v>
      </c>
      <c r="T691" t="s">
        <v>3203</v>
      </c>
      <c r="W691" t="s">
        <v>3204</v>
      </c>
      <c r="X691" t="s">
        <v>3205</v>
      </c>
      <c r="Y691" t="str">
        <f>"727030044"</f>
        <v>727030044</v>
      </c>
    </row>
    <row r="692" spans="1:25" x14ac:dyDescent="0.25">
      <c r="A692" t="s">
        <v>3206</v>
      </c>
      <c r="B692" t="s">
        <v>3207</v>
      </c>
      <c r="C692">
        <v>2019</v>
      </c>
      <c r="D692">
        <v>8001</v>
      </c>
      <c r="E692">
        <v>1</v>
      </c>
      <c r="F692" t="s">
        <v>3208</v>
      </c>
      <c r="G692">
        <v>0</v>
      </c>
      <c r="J692">
        <v>89.52</v>
      </c>
      <c r="L692">
        <v>43782483</v>
      </c>
      <c r="M692" s="1">
        <v>43885</v>
      </c>
      <c r="N692" t="str">
        <f>"L200224"</f>
        <v>L200224</v>
      </c>
      <c r="O692" t="s">
        <v>28</v>
      </c>
      <c r="Q692" t="s">
        <v>29</v>
      </c>
      <c r="R692" t="s">
        <v>28</v>
      </c>
      <c r="S692" t="s">
        <v>3208</v>
      </c>
      <c r="T692" t="s">
        <v>3209</v>
      </c>
      <c r="U692" t="s">
        <v>60</v>
      </c>
      <c r="V692" t="s">
        <v>60</v>
      </c>
      <c r="W692" t="s">
        <v>219</v>
      </c>
      <c r="X692" t="s">
        <v>34</v>
      </c>
      <c r="Y692" t="str">
        <f>"774782313   "</f>
        <v xml:space="preserve">774782313   </v>
      </c>
    </row>
    <row r="693" spans="1:25" x14ac:dyDescent="0.25">
      <c r="A693" t="s">
        <v>3210</v>
      </c>
      <c r="B693" t="s">
        <v>3211</v>
      </c>
      <c r="C693">
        <v>2021</v>
      </c>
      <c r="D693">
        <v>8001</v>
      </c>
      <c r="E693">
        <v>1</v>
      </c>
      <c r="F693" t="s">
        <v>3212</v>
      </c>
      <c r="G693">
        <v>26853859</v>
      </c>
      <c r="J693">
        <v>448.9</v>
      </c>
      <c r="L693">
        <v>49219540</v>
      </c>
      <c r="M693" s="1">
        <v>44575</v>
      </c>
      <c r="N693" t="str">
        <f>"RC220218"</f>
        <v>RC220218</v>
      </c>
      <c r="O693" t="s">
        <v>28</v>
      </c>
      <c r="Q693" t="s">
        <v>29</v>
      </c>
      <c r="R693" t="s">
        <v>28</v>
      </c>
      <c r="S693" t="s">
        <v>3213</v>
      </c>
      <c r="T693" t="s">
        <v>3214</v>
      </c>
      <c r="U693" t="s">
        <v>3215</v>
      </c>
      <c r="W693" t="s">
        <v>107</v>
      </c>
      <c r="X693" t="s">
        <v>34</v>
      </c>
      <c r="Y693" t="str">
        <f>"774945033"</f>
        <v>774945033</v>
      </c>
    </row>
    <row r="694" spans="1:25" x14ac:dyDescent="0.25">
      <c r="A694" t="s">
        <v>3216</v>
      </c>
      <c r="B694" t="s">
        <v>3217</v>
      </c>
      <c r="C694">
        <v>2019</v>
      </c>
      <c r="D694">
        <v>8001</v>
      </c>
      <c r="E694">
        <v>1</v>
      </c>
      <c r="F694" t="s">
        <v>3218</v>
      </c>
      <c r="G694">
        <v>0</v>
      </c>
      <c r="J694">
        <v>93.96</v>
      </c>
      <c r="L694">
        <v>43915135</v>
      </c>
      <c r="M694" s="1">
        <v>43900</v>
      </c>
      <c r="N694" t="str">
        <f>"J200310AW3"</f>
        <v>J200310AW3</v>
      </c>
      <c r="O694" t="s">
        <v>28</v>
      </c>
      <c r="Q694" t="s">
        <v>29</v>
      </c>
      <c r="R694" t="s">
        <v>28</v>
      </c>
      <c r="S694" t="s">
        <v>3218</v>
      </c>
      <c r="T694" t="s">
        <v>3219</v>
      </c>
      <c r="U694" t="s">
        <v>60</v>
      </c>
      <c r="V694" t="s">
        <v>60</v>
      </c>
      <c r="W694" t="s">
        <v>1137</v>
      </c>
      <c r="X694" t="s">
        <v>34</v>
      </c>
      <c r="Y694" t="str">
        <f>"774945339   "</f>
        <v xml:space="preserve">774945339   </v>
      </c>
    </row>
    <row r="695" spans="1:25" x14ac:dyDescent="0.25">
      <c r="A695" t="s">
        <v>3220</v>
      </c>
      <c r="B695" t="s">
        <v>3221</v>
      </c>
      <c r="C695">
        <v>2021</v>
      </c>
      <c r="D695">
        <v>8001</v>
      </c>
      <c r="E695">
        <v>1</v>
      </c>
      <c r="F695" t="s">
        <v>3222</v>
      </c>
      <c r="G695">
        <v>30592794</v>
      </c>
      <c r="J695">
        <v>267.39</v>
      </c>
      <c r="L695">
        <v>48794129</v>
      </c>
      <c r="M695" s="1">
        <v>44560</v>
      </c>
      <c r="N695" t="str">
        <f>"RC220125"</f>
        <v>RC220125</v>
      </c>
      <c r="O695" t="s">
        <v>28</v>
      </c>
      <c r="Q695" t="s">
        <v>29</v>
      </c>
      <c r="R695" t="s">
        <v>28</v>
      </c>
      <c r="S695" t="s">
        <v>2046</v>
      </c>
      <c r="T695" t="s">
        <v>2047</v>
      </c>
      <c r="W695" t="s">
        <v>75</v>
      </c>
      <c r="X695" t="s">
        <v>34</v>
      </c>
      <c r="Y695" t="str">
        <f>"770963307"</f>
        <v>770963307</v>
      </c>
    </row>
    <row r="696" spans="1:25" x14ac:dyDescent="0.25">
      <c r="A696" t="s">
        <v>3223</v>
      </c>
      <c r="B696" t="s">
        <v>3224</v>
      </c>
      <c r="C696">
        <v>2020</v>
      </c>
      <c r="D696">
        <v>8001</v>
      </c>
      <c r="E696">
        <v>1</v>
      </c>
      <c r="F696" t="s">
        <v>3225</v>
      </c>
      <c r="G696">
        <v>29461773</v>
      </c>
      <c r="J696">
        <v>285.17</v>
      </c>
      <c r="L696">
        <v>46728773</v>
      </c>
      <c r="M696" s="1">
        <v>44230</v>
      </c>
      <c r="N696" t="str">
        <f>"EK210203"</f>
        <v>EK210203</v>
      </c>
      <c r="O696" t="s">
        <v>28</v>
      </c>
      <c r="Q696" t="s">
        <v>29</v>
      </c>
      <c r="R696" t="s">
        <v>28</v>
      </c>
      <c r="S696" t="s">
        <v>3226</v>
      </c>
      <c r="T696" t="s">
        <v>3227</v>
      </c>
      <c r="W696" t="s">
        <v>3228</v>
      </c>
      <c r="X696" t="s">
        <v>2538</v>
      </c>
      <c r="Y696" t="str">
        <f>"87111"</f>
        <v>87111</v>
      </c>
    </row>
    <row r="697" spans="1:25" x14ac:dyDescent="0.25">
      <c r="A697" t="s">
        <v>3229</v>
      </c>
      <c r="B697" t="s">
        <v>3230</v>
      </c>
      <c r="C697">
        <v>2020</v>
      </c>
      <c r="D697">
        <v>8001</v>
      </c>
      <c r="E697">
        <v>1</v>
      </c>
      <c r="F697" t="s">
        <v>3231</v>
      </c>
      <c r="G697">
        <v>29596060</v>
      </c>
      <c r="J697">
        <v>77.64</v>
      </c>
      <c r="L697">
        <v>47018829</v>
      </c>
      <c r="M697" s="1">
        <v>44258</v>
      </c>
      <c r="N697" t="str">
        <f>"EK210303"</f>
        <v>EK210303</v>
      </c>
      <c r="O697" t="s">
        <v>28</v>
      </c>
      <c r="Q697" t="s">
        <v>29</v>
      </c>
      <c r="R697" t="s">
        <v>28</v>
      </c>
      <c r="S697" t="s">
        <v>3232</v>
      </c>
      <c r="T697" t="s">
        <v>3233</v>
      </c>
      <c r="W697" t="s">
        <v>371</v>
      </c>
      <c r="X697" t="s">
        <v>34</v>
      </c>
      <c r="Y697" t="str">
        <f>"77477"</f>
        <v>77477</v>
      </c>
    </row>
    <row r="698" spans="1:25" x14ac:dyDescent="0.25">
      <c r="A698" t="s">
        <v>3234</v>
      </c>
      <c r="B698" t="s">
        <v>3235</v>
      </c>
      <c r="C698">
        <v>2019</v>
      </c>
      <c r="D698">
        <v>8001</v>
      </c>
      <c r="E698">
        <v>2</v>
      </c>
      <c r="F698" t="s">
        <v>3236</v>
      </c>
      <c r="G698">
        <v>0</v>
      </c>
      <c r="J698">
        <v>95.19</v>
      </c>
      <c r="L698">
        <v>43408498</v>
      </c>
      <c r="M698" s="1">
        <v>43861</v>
      </c>
      <c r="N698" t="str">
        <f>"J200131AW3"</f>
        <v>J200131AW3</v>
      </c>
      <c r="O698" t="s">
        <v>28</v>
      </c>
      <c r="Q698" t="s">
        <v>29</v>
      </c>
      <c r="R698" t="s">
        <v>28</v>
      </c>
      <c r="S698" t="s">
        <v>3237</v>
      </c>
      <c r="T698" t="s">
        <v>3238</v>
      </c>
      <c r="U698" t="s">
        <v>60</v>
      </c>
      <c r="V698" t="s">
        <v>60</v>
      </c>
      <c r="W698" t="s">
        <v>376</v>
      </c>
      <c r="X698" t="s">
        <v>34</v>
      </c>
      <c r="Y698" t="str">
        <f>"774776243   "</f>
        <v xml:space="preserve">774776243   </v>
      </c>
    </row>
    <row r="699" spans="1:25" x14ac:dyDescent="0.25">
      <c r="A699" t="s">
        <v>3239</v>
      </c>
      <c r="B699" t="s">
        <v>3240</v>
      </c>
      <c r="C699">
        <v>2019</v>
      </c>
      <c r="D699">
        <v>8001</v>
      </c>
      <c r="E699">
        <v>1</v>
      </c>
      <c r="F699" t="s">
        <v>3241</v>
      </c>
      <c r="G699">
        <v>28305677</v>
      </c>
      <c r="J699">
        <v>42.14</v>
      </c>
      <c r="L699">
        <v>43875732</v>
      </c>
      <c r="M699" s="1">
        <v>43894</v>
      </c>
      <c r="N699" t="str">
        <f>"EK200304"</f>
        <v>EK200304</v>
      </c>
      <c r="O699" t="s">
        <v>28</v>
      </c>
      <c r="Q699" t="s">
        <v>29</v>
      </c>
      <c r="R699" t="s">
        <v>28</v>
      </c>
      <c r="S699" t="s">
        <v>3242</v>
      </c>
      <c r="T699" t="s">
        <v>3243</v>
      </c>
      <c r="W699" t="s">
        <v>371</v>
      </c>
      <c r="X699" t="s">
        <v>34</v>
      </c>
      <c r="Y699" t="str">
        <f>"77477"</f>
        <v>77477</v>
      </c>
    </row>
    <row r="700" spans="1:25" x14ac:dyDescent="0.25">
      <c r="A700" t="s">
        <v>3244</v>
      </c>
      <c r="B700" t="s">
        <v>3245</v>
      </c>
      <c r="C700">
        <v>2021</v>
      </c>
      <c r="D700">
        <v>8001</v>
      </c>
      <c r="E700">
        <v>2</v>
      </c>
      <c r="F700" t="s">
        <v>3246</v>
      </c>
      <c r="G700">
        <v>23501380</v>
      </c>
      <c r="J700">
        <v>18.39</v>
      </c>
      <c r="L700">
        <v>49977640</v>
      </c>
      <c r="M700" s="1">
        <v>44595</v>
      </c>
      <c r="N700" t="str">
        <f>"O220203F1"</f>
        <v>O220203F1</v>
      </c>
      <c r="O700" t="s">
        <v>28</v>
      </c>
      <c r="Q700" t="s">
        <v>29</v>
      </c>
      <c r="R700" t="s">
        <v>28</v>
      </c>
      <c r="S700" t="s">
        <v>3247</v>
      </c>
      <c r="T700" t="s">
        <v>3248</v>
      </c>
      <c r="W700" t="s">
        <v>154</v>
      </c>
      <c r="X700" t="s">
        <v>34</v>
      </c>
      <c r="Y700" t="str">
        <f>"774712414"</f>
        <v>774712414</v>
      </c>
    </row>
    <row r="701" spans="1:25" x14ac:dyDescent="0.25">
      <c r="A701" t="s">
        <v>3249</v>
      </c>
      <c r="B701" t="s">
        <v>3250</v>
      </c>
      <c r="C701">
        <v>2020</v>
      </c>
      <c r="D701">
        <v>8001</v>
      </c>
      <c r="E701">
        <v>1</v>
      </c>
      <c r="F701" t="s">
        <v>3251</v>
      </c>
      <c r="G701">
        <v>0</v>
      </c>
      <c r="J701">
        <v>41.39</v>
      </c>
      <c r="L701">
        <v>46880572</v>
      </c>
      <c r="M701" s="1">
        <v>44236</v>
      </c>
      <c r="N701" t="str">
        <f>"J210209K5"</f>
        <v>J210209K5</v>
      </c>
      <c r="O701" t="s">
        <v>28</v>
      </c>
      <c r="Q701" t="s">
        <v>29</v>
      </c>
      <c r="R701" t="s">
        <v>28</v>
      </c>
      <c r="S701" t="s">
        <v>3251</v>
      </c>
      <c r="T701" t="s">
        <v>3252</v>
      </c>
      <c r="U701" t="s">
        <v>60</v>
      </c>
      <c r="V701" t="s">
        <v>60</v>
      </c>
      <c r="W701" t="s">
        <v>214</v>
      </c>
      <c r="X701" t="s">
        <v>34</v>
      </c>
      <c r="Y701" t="str">
        <f>"774062524   "</f>
        <v xml:space="preserve">774062524   </v>
      </c>
    </row>
    <row r="702" spans="1:25" x14ac:dyDescent="0.25">
      <c r="A702" t="s">
        <v>3253</v>
      </c>
      <c r="B702" t="s">
        <v>3254</v>
      </c>
      <c r="C702">
        <v>2020</v>
      </c>
      <c r="D702">
        <v>8001</v>
      </c>
      <c r="E702">
        <v>1</v>
      </c>
      <c r="F702" t="s">
        <v>3255</v>
      </c>
      <c r="G702">
        <v>29025185</v>
      </c>
      <c r="J702">
        <v>83.42</v>
      </c>
      <c r="L702">
        <v>45651716</v>
      </c>
      <c r="M702" s="1">
        <v>44200</v>
      </c>
      <c r="N702" t="str">
        <f>"O210104M1"</f>
        <v>O210104M1</v>
      </c>
      <c r="O702" t="s">
        <v>28</v>
      </c>
      <c r="Q702" t="s">
        <v>29</v>
      </c>
      <c r="R702" t="s">
        <v>28</v>
      </c>
      <c r="S702" t="s">
        <v>3256</v>
      </c>
      <c r="T702" t="s">
        <v>3257</v>
      </c>
      <c r="W702" t="s">
        <v>154</v>
      </c>
      <c r="X702" t="s">
        <v>34</v>
      </c>
      <c r="Y702" t="str">
        <f>"774714830"</f>
        <v>774714830</v>
      </c>
    </row>
    <row r="703" spans="1:25" x14ac:dyDescent="0.25">
      <c r="A703" t="s">
        <v>3258</v>
      </c>
      <c r="B703" t="s">
        <v>3259</v>
      </c>
      <c r="C703">
        <v>2020</v>
      </c>
      <c r="D703">
        <v>8001</v>
      </c>
      <c r="E703">
        <v>1</v>
      </c>
      <c r="F703" t="s">
        <v>3260</v>
      </c>
      <c r="G703">
        <v>0</v>
      </c>
      <c r="J703">
        <v>90.56</v>
      </c>
      <c r="L703">
        <v>45975197</v>
      </c>
      <c r="M703" s="1">
        <v>44210</v>
      </c>
      <c r="N703" t="str">
        <f>"L210114"</f>
        <v>L210114</v>
      </c>
      <c r="O703" t="s">
        <v>28</v>
      </c>
      <c r="Q703" t="s">
        <v>29</v>
      </c>
      <c r="R703" t="s">
        <v>28</v>
      </c>
      <c r="S703" t="s">
        <v>3260</v>
      </c>
      <c r="T703" t="s">
        <v>3261</v>
      </c>
      <c r="U703" t="s">
        <v>60</v>
      </c>
      <c r="V703" t="s">
        <v>60</v>
      </c>
      <c r="W703" t="s">
        <v>649</v>
      </c>
      <c r="X703" t="s">
        <v>34</v>
      </c>
      <c r="Y703" t="str">
        <f>"774714849   "</f>
        <v xml:space="preserve">774714849   </v>
      </c>
    </row>
    <row r="704" spans="1:25" x14ac:dyDescent="0.25">
      <c r="A704" t="s">
        <v>3262</v>
      </c>
      <c r="B704" t="s">
        <v>3263</v>
      </c>
      <c r="C704">
        <v>2019</v>
      </c>
      <c r="D704">
        <v>8001</v>
      </c>
      <c r="E704">
        <v>3</v>
      </c>
      <c r="F704" t="s">
        <v>3264</v>
      </c>
      <c r="G704">
        <v>0</v>
      </c>
      <c r="J704">
        <v>372.78</v>
      </c>
      <c r="L704">
        <v>43707844</v>
      </c>
      <c r="M704" s="1">
        <v>43872</v>
      </c>
      <c r="N704" t="str">
        <f>"J200211AW9"</f>
        <v>J200211AW9</v>
      </c>
      <c r="O704" t="s">
        <v>28</v>
      </c>
      <c r="Q704" t="s">
        <v>29</v>
      </c>
      <c r="R704" t="s">
        <v>28</v>
      </c>
      <c r="S704" t="s">
        <v>3264</v>
      </c>
      <c r="T704" t="s">
        <v>3265</v>
      </c>
      <c r="U704" t="s">
        <v>60</v>
      </c>
      <c r="V704" t="s">
        <v>60</v>
      </c>
      <c r="W704" t="s">
        <v>649</v>
      </c>
      <c r="X704" t="s">
        <v>34</v>
      </c>
      <c r="Y704" t="str">
        <f>"774719167   "</f>
        <v xml:space="preserve">774719167   </v>
      </c>
    </row>
    <row r="705" spans="1:25" x14ac:dyDescent="0.25">
      <c r="A705" t="s">
        <v>3266</v>
      </c>
      <c r="B705" t="s">
        <v>3267</v>
      </c>
      <c r="C705">
        <v>2020</v>
      </c>
      <c r="D705">
        <v>8001</v>
      </c>
      <c r="E705">
        <v>1</v>
      </c>
      <c r="F705" t="s">
        <v>3268</v>
      </c>
      <c r="G705">
        <v>29576645</v>
      </c>
      <c r="J705">
        <v>24.27</v>
      </c>
      <c r="L705">
        <v>46673432</v>
      </c>
      <c r="M705" s="1">
        <v>44229</v>
      </c>
      <c r="N705" t="str">
        <f>"RC210301"</f>
        <v>RC210301</v>
      </c>
      <c r="O705" t="s">
        <v>28</v>
      </c>
      <c r="Q705" t="s">
        <v>29</v>
      </c>
      <c r="R705" t="s">
        <v>28</v>
      </c>
      <c r="S705" t="s">
        <v>3269</v>
      </c>
      <c r="T705" t="s">
        <v>3270</v>
      </c>
      <c r="U705" t="s">
        <v>3271</v>
      </c>
      <c r="W705" t="s">
        <v>3272</v>
      </c>
      <c r="X705" t="s">
        <v>34</v>
      </c>
      <c r="Y705" t="str">
        <f>"787303593"</f>
        <v>787303593</v>
      </c>
    </row>
    <row r="706" spans="1:25" x14ac:dyDescent="0.25">
      <c r="A706" t="s">
        <v>3273</v>
      </c>
      <c r="B706" t="s">
        <v>3274</v>
      </c>
      <c r="C706">
        <v>2019</v>
      </c>
      <c r="D706">
        <v>8001</v>
      </c>
      <c r="E706">
        <v>1</v>
      </c>
      <c r="F706" t="s">
        <v>3275</v>
      </c>
      <c r="G706">
        <v>0</v>
      </c>
      <c r="J706">
        <v>7.24</v>
      </c>
      <c r="L706">
        <v>43566669</v>
      </c>
      <c r="M706" s="1">
        <v>43865</v>
      </c>
      <c r="N706" t="str">
        <f>"L200204"</f>
        <v>L200204</v>
      </c>
      <c r="O706" t="s">
        <v>28</v>
      </c>
      <c r="Q706" t="s">
        <v>29</v>
      </c>
      <c r="R706" t="s">
        <v>28</v>
      </c>
      <c r="S706" t="s">
        <v>3275</v>
      </c>
      <c r="T706" t="s">
        <v>3276</v>
      </c>
      <c r="U706" t="s">
        <v>60</v>
      </c>
      <c r="V706" t="s">
        <v>60</v>
      </c>
      <c r="W706" t="s">
        <v>1333</v>
      </c>
      <c r="X706" t="s">
        <v>34</v>
      </c>
      <c r="Y706" t="str">
        <f>"774895308   "</f>
        <v xml:space="preserve">774895308   </v>
      </c>
    </row>
    <row r="707" spans="1:25" x14ac:dyDescent="0.25">
      <c r="A707" t="s">
        <v>3277</v>
      </c>
      <c r="B707" t="s">
        <v>3278</v>
      </c>
      <c r="C707">
        <v>2021</v>
      </c>
      <c r="D707">
        <v>8001</v>
      </c>
      <c r="E707">
        <v>2</v>
      </c>
      <c r="F707" t="s">
        <v>3279</v>
      </c>
      <c r="G707">
        <v>30951695</v>
      </c>
      <c r="J707">
        <v>126.07</v>
      </c>
      <c r="L707">
        <v>50012433</v>
      </c>
      <c r="M707" s="1">
        <v>44596</v>
      </c>
      <c r="N707" t="str">
        <f>"CC220204"</f>
        <v>CC220204</v>
      </c>
      <c r="O707" t="s">
        <v>28</v>
      </c>
      <c r="Q707" t="s">
        <v>29</v>
      </c>
      <c r="R707" t="s">
        <v>28</v>
      </c>
      <c r="S707" t="s">
        <v>3280</v>
      </c>
      <c r="T707" t="s">
        <v>3281</v>
      </c>
      <c r="W707" t="s">
        <v>1160</v>
      </c>
      <c r="X707" t="s">
        <v>34</v>
      </c>
      <c r="Y707" t="str">
        <f>"77545"</f>
        <v>77545</v>
      </c>
    </row>
    <row r="708" spans="1:25" x14ac:dyDescent="0.25">
      <c r="A708" t="s">
        <v>3282</v>
      </c>
      <c r="B708" t="s">
        <v>3283</v>
      </c>
      <c r="C708">
        <v>2020</v>
      </c>
      <c r="D708">
        <v>8001</v>
      </c>
      <c r="E708">
        <v>1</v>
      </c>
      <c r="F708" t="s">
        <v>3284</v>
      </c>
      <c r="G708">
        <v>28721693</v>
      </c>
      <c r="J708">
        <v>7.88</v>
      </c>
      <c r="L708">
        <v>45295644</v>
      </c>
      <c r="M708" s="1">
        <v>44181</v>
      </c>
      <c r="N708" t="str">
        <f>"RC210107"</f>
        <v>RC210107</v>
      </c>
      <c r="O708" t="s">
        <v>28</v>
      </c>
      <c r="Q708" t="s">
        <v>29</v>
      </c>
      <c r="R708" t="s">
        <v>28</v>
      </c>
      <c r="S708" t="s">
        <v>3285</v>
      </c>
      <c r="T708" t="s">
        <v>3286</v>
      </c>
      <c r="U708" t="s">
        <v>3287</v>
      </c>
      <c r="W708" t="s">
        <v>40</v>
      </c>
      <c r="X708" t="s">
        <v>34</v>
      </c>
      <c r="Y708" t="str">
        <f>"774783683"</f>
        <v>774783683</v>
      </c>
    </row>
    <row r="709" spans="1:25" x14ac:dyDescent="0.25">
      <c r="A709" t="s">
        <v>3288</v>
      </c>
      <c r="B709" t="s">
        <v>3289</v>
      </c>
      <c r="C709">
        <v>2020</v>
      </c>
      <c r="D709">
        <v>8001</v>
      </c>
      <c r="E709">
        <v>2</v>
      </c>
      <c r="F709" t="s">
        <v>2452</v>
      </c>
      <c r="G709">
        <v>24463478</v>
      </c>
      <c r="J709">
        <v>122.93</v>
      </c>
      <c r="L709">
        <v>47291021</v>
      </c>
      <c r="M709" s="1">
        <v>44300</v>
      </c>
      <c r="N709" t="str">
        <f>"O210414F1"</f>
        <v>O210414F1</v>
      </c>
      <c r="O709" t="s">
        <v>28</v>
      </c>
      <c r="Q709" t="s">
        <v>29</v>
      </c>
      <c r="R709" t="s">
        <v>28</v>
      </c>
      <c r="S709" t="s">
        <v>2453</v>
      </c>
      <c r="T709" t="s">
        <v>2454</v>
      </c>
      <c r="W709" t="s">
        <v>2455</v>
      </c>
      <c r="X709" t="s">
        <v>900</v>
      </c>
      <c r="Y709" t="str">
        <f>"605631198"</f>
        <v>605631198</v>
      </c>
    </row>
    <row r="710" spans="1:25" x14ac:dyDescent="0.25">
      <c r="A710" t="s">
        <v>3290</v>
      </c>
      <c r="B710" t="s">
        <v>3291</v>
      </c>
      <c r="C710">
        <v>2019</v>
      </c>
      <c r="D710">
        <v>8001</v>
      </c>
      <c r="E710">
        <v>1</v>
      </c>
      <c r="F710" t="s">
        <v>3292</v>
      </c>
      <c r="G710">
        <v>25454703</v>
      </c>
      <c r="J710">
        <v>6.15</v>
      </c>
      <c r="L710">
        <v>43798969</v>
      </c>
      <c r="M710" s="1">
        <v>43888</v>
      </c>
      <c r="N710" t="str">
        <f>"QP200227"</f>
        <v>QP200227</v>
      </c>
      <c r="O710" t="s">
        <v>28</v>
      </c>
      <c r="Q710" t="s">
        <v>29</v>
      </c>
      <c r="R710" t="s">
        <v>28</v>
      </c>
      <c r="S710" t="s">
        <v>3293</v>
      </c>
      <c r="T710" t="s">
        <v>3294</v>
      </c>
      <c r="W710" t="s">
        <v>1160</v>
      </c>
      <c r="X710" t="s">
        <v>34</v>
      </c>
      <c r="Y710" t="str">
        <f>"775459631"</f>
        <v>775459631</v>
      </c>
    </row>
    <row r="711" spans="1:25" x14ac:dyDescent="0.25">
      <c r="A711" t="s">
        <v>3295</v>
      </c>
      <c r="B711" t="s">
        <v>3296</v>
      </c>
      <c r="C711">
        <v>2021</v>
      </c>
      <c r="D711">
        <v>8001</v>
      </c>
      <c r="E711">
        <v>3</v>
      </c>
      <c r="F711" t="s">
        <v>3297</v>
      </c>
      <c r="G711">
        <v>28034159</v>
      </c>
      <c r="J711">
        <v>14.92</v>
      </c>
      <c r="L711">
        <v>49646136</v>
      </c>
      <c r="M711" s="1">
        <v>44589</v>
      </c>
      <c r="N711" t="str">
        <f>"O220128AF7"</f>
        <v>O220128AF7</v>
      </c>
      <c r="O711" t="s">
        <v>28</v>
      </c>
      <c r="Q711" t="s">
        <v>29</v>
      </c>
      <c r="R711" t="s">
        <v>28</v>
      </c>
      <c r="S711" t="s">
        <v>3298</v>
      </c>
      <c r="T711" t="s">
        <v>3299</v>
      </c>
      <c r="W711" t="s">
        <v>1160</v>
      </c>
      <c r="X711" t="s">
        <v>34</v>
      </c>
      <c r="Y711" t="str">
        <f>"775452093"</f>
        <v>775452093</v>
      </c>
    </row>
    <row r="712" spans="1:25" x14ac:dyDescent="0.25">
      <c r="A712" t="s">
        <v>3300</v>
      </c>
      <c r="B712" t="s">
        <v>3301</v>
      </c>
      <c r="C712">
        <v>2020</v>
      </c>
      <c r="D712">
        <v>8001</v>
      </c>
      <c r="E712">
        <v>1</v>
      </c>
      <c r="F712" t="s">
        <v>3302</v>
      </c>
      <c r="G712">
        <v>29604580</v>
      </c>
      <c r="J712">
        <v>10.83</v>
      </c>
      <c r="L712">
        <v>47034762</v>
      </c>
      <c r="M712" s="1">
        <v>44259</v>
      </c>
      <c r="N712" t="str">
        <f>"CC210304"</f>
        <v>CC210304</v>
      </c>
      <c r="O712" t="s">
        <v>28</v>
      </c>
      <c r="Q712" t="s">
        <v>29</v>
      </c>
      <c r="R712" t="s">
        <v>28</v>
      </c>
      <c r="S712" t="s">
        <v>3303</v>
      </c>
      <c r="T712" t="s">
        <v>3304</v>
      </c>
      <c r="W712" t="s">
        <v>75</v>
      </c>
      <c r="X712" t="s">
        <v>34</v>
      </c>
      <c r="Y712" t="str">
        <f>"77075"</f>
        <v>77075</v>
      </c>
    </row>
    <row r="713" spans="1:25" x14ac:dyDescent="0.25">
      <c r="A713" t="s">
        <v>3305</v>
      </c>
      <c r="B713" t="s">
        <v>3306</v>
      </c>
      <c r="C713">
        <v>2018</v>
      </c>
      <c r="D713">
        <v>8001</v>
      </c>
      <c r="E713">
        <v>2</v>
      </c>
      <c r="F713" t="s">
        <v>3307</v>
      </c>
      <c r="G713">
        <v>26243303</v>
      </c>
      <c r="J713" s="2">
        <v>1357.69</v>
      </c>
      <c r="L713">
        <v>41381074</v>
      </c>
      <c r="M713" s="1">
        <v>43651</v>
      </c>
      <c r="N713" t="str">
        <f>"J190705K5"</f>
        <v>J190705K5</v>
      </c>
      <c r="O713" t="s">
        <v>28</v>
      </c>
      <c r="Q713" t="s">
        <v>29</v>
      </c>
      <c r="R713" t="s">
        <v>28</v>
      </c>
      <c r="S713" t="s">
        <v>79</v>
      </c>
      <c r="T713" t="s">
        <v>203</v>
      </c>
      <c r="U713" t="s">
        <v>3308</v>
      </c>
      <c r="W713" t="s">
        <v>392</v>
      </c>
      <c r="X713" t="s">
        <v>34</v>
      </c>
      <c r="Y713" t="str">
        <f>"77459"</f>
        <v>77459</v>
      </c>
    </row>
    <row r="714" spans="1:25" x14ac:dyDescent="0.25">
      <c r="A714" t="s">
        <v>3309</v>
      </c>
      <c r="B714" t="s">
        <v>3310</v>
      </c>
      <c r="C714">
        <v>2020</v>
      </c>
      <c r="D714">
        <v>8001</v>
      </c>
      <c r="E714">
        <v>1</v>
      </c>
      <c r="F714" t="s">
        <v>3311</v>
      </c>
      <c r="G714">
        <v>28798071</v>
      </c>
      <c r="J714">
        <v>40.049999999999997</v>
      </c>
      <c r="L714">
        <v>45200321</v>
      </c>
      <c r="M714" s="1">
        <v>44175</v>
      </c>
      <c r="N714" t="str">
        <f>"RC201217"</f>
        <v>RC201217</v>
      </c>
      <c r="O714" t="s">
        <v>28</v>
      </c>
      <c r="Q714" t="s">
        <v>29</v>
      </c>
      <c r="R714" t="s">
        <v>28</v>
      </c>
      <c r="S714" t="s">
        <v>2995</v>
      </c>
      <c r="T714" t="s">
        <v>203</v>
      </c>
      <c r="U714" t="s">
        <v>2997</v>
      </c>
      <c r="W714" t="s">
        <v>75</v>
      </c>
      <c r="X714" t="s">
        <v>34</v>
      </c>
      <c r="Y714" t="str">
        <f>"770563204"</f>
        <v>770563204</v>
      </c>
    </row>
    <row r="715" spans="1:25" x14ac:dyDescent="0.25">
      <c r="A715" t="s">
        <v>3312</v>
      </c>
      <c r="B715" t="s">
        <v>3313</v>
      </c>
      <c r="C715">
        <v>2020</v>
      </c>
      <c r="D715">
        <v>8001</v>
      </c>
      <c r="E715">
        <v>2</v>
      </c>
      <c r="F715" t="s">
        <v>3314</v>
      </c>
      <c r="G715">
        <v>28692840</v>
      </c>
      <c r="J715">
        <v>32.42</v>
      </c>
      <c r="L715">
        <v>47267086</v>
      </c>
      <c r="M715" s="1">
        <v>44294</v>
      </c>
      <c r="N715" t="str">
        <f>"RC210414"</f>
        <v>RC210414</v>
      </c>
      <c r="O715" t="s">
        <v>28</v>
      </c>
      <c r="Q715" t="s">
        <v>29</v>
      </c>
      <c r="R715" t="s">
        <v>28</v>
      </c>
      <c r="S715" t="s">
        <v>1019</v>
      </c>
      <c r="T715" t="s">
        <v>562</v>
      </c>
      <c r="W715" t="s">
        <v>563</v>
      </c>
      <c r="X715" t="s">
        <v>34</v>
      </c>
      <c r="Y715" t="str">
        <f>"750630156"</f>
        <v>750630156</v>
      </c>
    </row>
    <row r="716" spans="1:25" x14ac:dyDescent="0.25">
      <c r="A716" t="s">
        <v>3315</v>
      </c>
      <c r="B716" t="s">
        <v>3316</v>
      </c>
      <c r="C716">
        <v>2021</v>
      </c>
      <c r="D716">
        <v>8001</v>
      </c>
      <c r="E716">
        <v>1</v>
      </c>
      <c r="F716" t="s">
        <v>3317</v>
      </c>
      <c r="G716">
        <v>26962220</v>
      </c>
      <c r="J716">
        <v>156.96</v>
      </c>
      <c r="L716">
        <v>50135488</v>
      </c>
      <c r="M716" s="1">
        <v>44602</v>
      </c>
      <c r="N716" t="str">
        <f>"RC220314"</f>
        <v>RC220314</v>
      </c>
      <c r="O716" t="s">
        <v>28</v>
      </c>
      <c r="Q716" t="s">
        <v>29</v>
      </c>
      <c r="R716" t="s">
        <v>28</v>
      </c>
      <c r="S716" t="s">
        <v>561</v>
      </c>
      <c r="T716" t="s">
        <v>1015</v>
      </c>
      <c r="W716" t="s">
        <v>563</v>
      </c>
      <c r="X716" t="s">
        <v>34</v>
      </c>
      <c r="Y716" t="str">
        <f>"750630156"</f>
        <v>750630156</v>
      </c>
    </row>
    <row r="717" spans="1:25" x14ac:dyDescent="0.25">
      <c r="A717" t="s">
        <v>3318</v>
      </c>
      <c r="B717" t="s">
        <v>3319</v>
      </c>
      <c r="C717">
        <v>2021</v>
      </c>
      <c r="D717">
        <v>8001</v>
      </c>
      <c r="E717">
        <v>1</v>
      </c>
      <c r="F717" t="s">
        <v>3320</v>
      </c>
      <c r="G717">
        <v>27993803</v>
      </c>
      <c r="J717">
        <v>18.09</v>
      </c>
      <c r="L717">
        <v>47784505</v>
      </c>
      <c r="M717" s="1">
        <v>44516</v>
      </c>
      <c r="N717" t="str">
        <f>"TE211116"</f>
        <v>TE211116</v>
      </c>
      <c r="O717" t="s">
        <v>28</v>
      </c>
      <c r="Q717" t="s">
        <v>29</v>
      </c>
      <c r="R717" t="s">
        <v>28</v>
      </c>
      <c r="S717" t="s">
        <v>3321</v>
      </c>
      <c r="T717" t="s">
        <v>3322</v>
      </c>
      <c r="W717" t="s">
        <v>40</v>
      </c>
      <c r="X717" t="s">
        <v>34</v>
      </c>
      <c r="Y717" t="str">
        <f>"77478"</f>
        <v>77478</v>
      </c>
    </row>
    <row r="718" spans="1:25" x14ac:dyDescent="0.25">
      <c r="A718" t="s">
        <v>3323</v>
      </c>
      <c r="B718" t="s">
        <v>3324</v>
      </c>
      <c r="C718">
        <v>2020</v>
      </c>
      <c r="D718">
        <v>8001</v>
      </c>
      <c r="E718">
        <v>5</v>
      </c>
      <c r="F718" t="s">
        <v>3325</v>
      </c>
      <c r="G718">
        <v>20806654</v>
      </c>
      <c r="J718">
        <v>339.87</v>
      </c>
      <c r="L718">
        <v>47779165</v>
      </c>
      <c r="M718" s="1">
        <v>44474</v>
      </c>
      <c r="N718" t="str">
        <f>"RC211018"</f>
        <v>RC211018</v>
      </c>
      <c r="O718" t="s">
        <v>28</v>
      </c>
      <c r="Q718" t="s">
        <v>29</v>
      </c>
      <c r="R718" t="s">
        <v>28</v>
      </c>
      <c r="S718" t="s">
        <v>3326</v>
      </c>
      <c r="T718" t="s">
        <v>3327</v>
      </c>
      <c r="W718" t="s">
        <v>371</v>
      </c>
      <c r="X718" t="s">
        <v>34</v>
      </c>
      <c r="Y718" t="str">
        <f>"774774801"</f>
        <v>774774801</v>
      </c>
    </row>
    <row r="719" spans="1:25" x14ac:dyDescent="0.25">
      <c r="A719" t="s">
        <v>3328</v>
      </c>
      <c r="B719" t="s">
        <v>3329</v>
      </c>
      <c r="C719">
        <v>2021</v>
      </c>
      <c r="D719">
        <v>8001</v>
      </c>
      <c r="E719">
        <v>1</v>
      </c>
      <c r="F719" t="s">
        <v>3330</v>
      </c>
      <c r="G719">
        <v>31094713</v>
      </c>
      <c r="J719">
        <v>227.27</v>
      </c>
      <c r="L719">
        <v>49935230</v>
      </c>
      <c r="M719" s="1">
        <v>44594</v>
      </c>
      <c r="N719" t="str">
        <f>"RC220303"</f>
        <v>RC220303</v>
      </c>
      <c r="O719" t="s">
        <v>28</v>
      </c>
      <c r="Q719" t="s">
        <v>29</v>
      </c>
      <c r="R719" t="s">
        <v>28</v>
      </c>
      <c r="S719" t="s">
        <v>30</v>
      </c>
      <c r="T719" t="s">
        <v>3331</v>
      </c>
      <c r="U719" t="s">
        <v>3332</v>
      </c>
      <c r="W719" t="s">
        <v>40</v>
      </c>
      <c r="X719" t="s">
        <v>34</v>
      </c>
      <c r="Y719" t="str">
        <f>"774784390"</f>
        <v>774784390</v>
      </c>
    </row>
    <row r="720" spans="1:25" x14ac:dyDescent="0.25">
      <c r="A720" t="s">
        <v>3333</v>
      </c>
      <c r="B720" t="s">
        <v>3334</v>
      </c>
      <c r="C720">
        <v>2019</v>
      </c>
      <c r="D720">
        <v>8001</v>
      </c>
      <c r="E720">
        <v>1</v>
      </c>
      <c r="F720" t="s">
        <v>3335</v>
      </c>
      <c r="G720">
        <v>22263977</v>
      </c>
      <c r="J720">
        <v>149.54</v>
      </c>
      <c r="L720">
        <v>44050091</v>
      </c>
      <c r="M720" s="1">
        <v>43930</v>
      </c>
      <c r="N720" t="str">
        <f>"RC200414"</f>
        <v>RC200414</v>
      </c>
      <c r="O720" t="s">
        <v>28</v>
      </c>
      <c r="Q720" t="s">
        <v>29</v>
      </c>
      <c r="R720" t="s">
        <v>28</v>
      </c>
      <c r="S720" t="s">
        <v>2995</v>
      </c>
      <c r="T720" t="s">
        <v>2997</v>
      </c>
      <c r="W720" t="s">
        <v>75</v>
      </c>
      <c r="X720" t="s">
        <v>34</v>
      </c>
      <c r="Y720" t="str">
        <f>"77056"</f>
        <v>77056</v>
      </c>
    </row>
    <row r="721" spans="1:25" x14ac:dyDescent="0.25">
      <c r="A721" t="s">
        <v>3336</v>
      </c>
      <c r="B721" t="s">
        <v>3337</v>
      </c>
      <c r="C721">
        <v>2019</v>
      </c>
      <c r="D721">
        <v>8001</v>
      </c>
      <c r="E721">
        <v>1</v>
      </c>
      <c r="F721" t="s">
        <v>3338</v>
      </c>
      <c r="G721">
        <v>0</v>
      </c>
      <c r="J721">
        <v>283.14999999999998</v>
      </c>
      <c r="L721">
        <v>42916323</v>
      </c>
      <c r="M721" s="1">
        <v>43845</v>
      </c>
      <c r="N721" t="str">
        <f>"L200115"</f>
        <v>L200115</v>
      </c>
      <c r="O721" t="s">
        <v>28</v>
      </c>
      <c r="Q721" t="s">
        <v>29</v>
      </c>
      <c r="R721" t="s">
        <v>28</v>
      </c>
      <c r="S721" t="s">
        <v>3338</v>
      </c>
      <c r="T721" t="s">
        <v>3339</v>
      </c>
      <c r="U721" t="s">
        <v>60</v>
      </c>
      <c r="V721" t="s">
        <v>60</v>
      </c>
      <c r="W721" t="s">
        <v>649</v>
      </c>
      <c r="X721" t="s">
        <v>34</v>
      </c>
      <c r="Y721" t="str">
        <f>"774712255   "</f>
        <v xml:space="preserve">774712255   </v>
      </c>
    </row>
    <row r="722" spans="1:25" x14ac:dyDescent="0.25">
      <c r="A722" t="s">
        <v>3340</v>
      </c>
      <c r="B722" t="s">
        <v>3341</v>
      </c>
      <c r="C722">
        <v>2021</v>
      </c>
      <c r="D722">
        <v>8001</v>
      </c>
      <c r="E722">
        <v>1</v>
      </c>
      <c r="F722" t="s">
        <v>3342</v>
      </c>
      <c r="G722">
        <v>0</v>
      </c>
      <c r="J722">
        <v>18</v>
      </c>
      <c r="L722">
        <v>49241190</v>
      </c>
      <c r="M722" s="1">
        <v>44579</v>
      </c>
      <c r="N722" t="str">
        <f>"L220118"</f>
        <v>L220118</v>
      </c>
      <c r="O722" t="s">
        <v>28</v>
      </c>
      <c r="Q722" t="s">
        <v>29</v>
      </c>
      <c r="R722" t="s">
        <v>28</v>
      </c>
      <c r="S722" t="s">
        <v>3342</v>
      </c>
      <c r="T722" t="s">
        <v>3343</v>
      </c>
      <c r="U722" t="s">
        <v>60</v>
      </c>
      <c r="V722" t="s">
        <v>60</v>
      </c>
      <c r="W722" t="s">
        <v>219</v>
      </c>
      <c r="X722" t="s">
        <v>34</v>
      </c>
      <c r="Y722" t="str">
        <f>"774792125   "</f>
        <v xml:space="preserve">774792125   </v>
      </c>
    </row>
    <row r="723" spans="1:25" x14ac:dyDescent="0.25">
      <c r="A723" t="s">
        <v>3344</v>
      </c>
      <c r="B723" t="s">
        <v>3345</v>
      </c>
      <c r="C723">
        <v>2020</v>
      </c>
      <c r="D723">
        <v>8001</v>
      </c>
      <c r="E723">
        <v>2</v>
      </c>
      <c r="F723" t="s">
        <v>3346</v>
      </c>
      <c r="G723">
        <v>26518478</v>
      </c>
      <c r="J723">
        <v>77.53</v>
      </c>
      <c r="L723">
        <v>44763902</v>
      </c>
      <c r="M723" s="1">
        <v>44139</v>
      </c>
      <c r="N723" t="str">
        <f>"J201104AE2"</f>
        <v>J201104AE2</v>
      </c>
      <c r="O723" t="s">
        <v>28</v>
      </c>
      <c r="Q723" t="s">
        <v>29</v>
      </c>
      <c r="R723" t="s">
        <v>28</v>
      </c>
      <c r="S723" t="s">
        <v>3285</v>
      </c>
      <c r="T723" t="s">
        <v>3286</v>
      </c>
      <c r="U723" t="s">
        <v>3347</v>
      </c>
      <c r="W723" t="s">
        <v>40</v>
      </c>
      <c r="X723" t="s">
        <v>34</v>
      </c>
      <c r="Y723" t="str">
        <f>"774783683"</f>
        <v>774783683</v>
      </c>
    </row>
    <row r="724" spans="1:25" x14ac:dyDescent="0.25">
      <c r="A724" t="s">
        <v>3348</v>
      </c>
      <c r="B724" t="s">
        <v>3349</v>
      </c>
      <c r="C724">
        <v>2020</v>
      </c>
      <c r="D724">
        <v>8001</v>
      </c>
      <c r="E724">
        <v>1</v>
      </c>
      <c r="F724" t="s">
        <v>3350</v>
      </c>
      <c r="G724">
        <v>29593731</v>
      </c>
      <c r="J724" s="2">
        <v>1479.49</v>
      </c>
      <c r="L724">
        <v>47014693</v>
      </c>
      <c r="M724" s="1">
        <v>44257</v>
      </c>
      <c r="N724" t="str">
        <f>"O210302I9"</f>
        <v>O210302I9</v>
      </c>
      <c r="O724" t="s">
        <v>28</v>
      </c>
      <c r="Q724" t="s">
        <v>29</v>
      </c>
      <c r="R724" t="s">
        <v>28</v>
      </c>
      <c r="S724" t="s">
        <v>3351</v>
      </c>
      <c r="T724" t="s">
        <v>3352</v>
      </c>
      <c r="W724" t="s">
        <v>3353</v>
      </c>
      <c r="X724" t="s">
        <v>463</v>
      </c>
      <c r="Y724" t="str">
        <f>"352830953"</f>
        <v>352830953</v>
      </c>
    </row>
    <row r="725" spans="1:25" x14ac:dyDescent="0.25">
      <c r="A725" t="s">
        <v>3354</v>
      </c>
      <c r="B725" t="s">
        <v>3355</v>
      </c>
      <c r="C725">
        <v>2020</v>
      </c>
      <c r="D725">
        <v>8001</v>
      </c>
      <c r="E725">
        <v>1</v>
      </c>
      <c r="F725" t="s">
        <v>3356</v>
      </c>
      <c r="G725">
        <v>0</v>
      </c>
      <c r="J725">
        <v>90</v>
      </c>
      <c r="L725">
        <v>45607204</v>
      </c>
      <c r="M725" s="1">
        <v>44196</v>
      </c>
      <c r="N725" t="str">
        <f>"L201231"</f>
        <v>L201231</v>
      </c>
      <c r="O725" t="s">
        <v>28</v>
      </c>
      <c r="Q725" t="s">
        <v>29</v>
      </c>
      <c r="R725" t="s">
        <v>28</v>
      </c>
      <c r="S725" t="s">
        <v>3357</v>
      </c>
      <c r="T725" t="s">
        <v>3358</v>
      </c>
      <c r="U725" t="s">
        <v>60</v>
      </c>
      <c r="V725" t="s">
        <v>60</v>
      </c>
      <c r="W725" t="s">
        <v>1333</v>
      </c>
      <c r="X725" t="s">
        <v>34</v>
      </c>
      <c r="Y725" t="str">
        <f>"774591638   "</f>
        <v xml:space="preserve">774591638   </v>
      </c>
    </row>
    <row r="726" spans="1:25" x14ac:dyDescent="0.25">
      <c r="A726" t="s">
        <v>3359</v>
      </c>
      <c r="B726" t="s">
        <v>3360</v>
      </c>
      <c r="C726">
        <v>2021</v>
      </c>
      <c r="D726">
        <v>8001</v>
      </c>
      <c r="E726">
        <v>2</v>
      </c>
      <c r="F726" t="s">
        <v>3361</v>
      </c>
      <c r="G726">
        <v>0</v>
      </c>
      <c r="J726">
        <v>148</v>
      </c>
      <c r="L726">
        <v>50202399</v>
      </c>
      <c r="M726" s="1">
        <v>44614</v>
      </c>
      <c r="N726" t="str">
        <f>"J220222K1"</f>
        <v>J220222K1</v>
      </c>
      <c r="O726" t="s">
        <v>28</v>
      </c>
      <c r="Q726" t="s">
        <v>29</v>
      </c>
      <c r="R726" t="s">
        <v>28</v>
      </c>
      <c r="S726" t="s">
        <v>3361</v>
      </c>
      <c r="T726" t="s">
        <v>3362</v>
      </c>
      <c r="U726" t="s">
        <v>60</v>
      </c>
      <c r="V726" t="s">
        <v>60</v>
      </c>
      <c r="W726" t="s">
        <v>214</v>
      </c>
      <c r="X726" t="s">
        <v>34</v>
      </c>
      <c r="Y726" t="str">
        <f>"774064497   "</f>
        <v xml:space="preserve">774064497   </v>
      </c>
    </row>
    <row r="727" spans="1:25" x14ac:dyDescent="0.25">
      <c r="A727" t="s">
        <v>3363</v>
      </c>
      <c r="B727" t="s">
        <v>3364</v>
      </c>
      <c r="C727">
        <v>2020</v>
      </c>
      <c r="D727">
        <v>8001</v>
      </c>
      <c r="E727">
        <v>1</v>
      </c>
      <c r="F727" t="s">
        <v>3365</v>
      </c>
      <c r="G727">
        <v>28767630</v>
      </c>
      <c r="J727">
        <v>99.08</v>
      </c>
      <c r="L727">
        <v>44840046</v>
      </c>
      <c r="M727" s="1">
        <v>44151</v>
      </c>
      <c r="N727" t="str">
        <f>"T201116U1"</f>
        <v>T201116U1</v>
      </c>
      <c r="O727" t="s">
        <v>28</v>
      </c>
      <c r="Q727" t="s">
        <v>29</v>
      </c>
      <c r="R727" t="s">
        <v>28</v>
      </c>
      <c r="S727" t="s">
        <v>3366</v>
      </c>
      <c r="T727" t="s">
        <v>3367</v>
      </c>
      <c r="W727" t="s">
        <v>3368</v>
      </c>
      <c r="X727" t="s">
        <v>3369</v>
      </c>
      <c r="Y727" t="str">
        <f>"31311"</f>
        <v>31311</v>
      </c>
    </row>
    <row r="728" spans="1:25" x14ac:dyDescent="0.25">
      <c r="A728" t="s">
        <v>3370</v>
      </c>
      <c r="B728" t="s">
        <v>3371</v>
      </c>
      <c r="C728">
        <v>2018</v>
      </c>
      <c r="D728">
        <v>8001</v>
      </c>
      <c r="E728">
        <v>2</v>
      </c>
      <c r="F728" t="s">
        <v>3372</v>
      </c>
      <c r="G728">
        <v>27258716</v>
      </c>
      <c r="J728">
        <v>434.11</v>
      </c>
      <c r="L728">
        <v>41061873</v>
      </c>
      <c r="M728" s="1">
        <v>43558</v>
      </c>
      <c r="N728" t="str">
        <f>"J190403K4"</f>
        <v>J190403K4</v>
      </c>
      <c r="O728" t="s">
        <v>28</v>
      </c>
      <c r="Q728" t="s">
        <v>29</v>
      </c>
      <c r="R728" t="s">
        <v>28</v>
      </c>
      <c r="S728" t="s">
        <v>3373</v>
      </c>
      <c r="T728" t="s">
        <v>3374</v>
      </c>
      <c r="U728" t="s">
        <v>3375</v>
      </c>
      <c r="W728" t="s">
        <v>3376</v>
      </c>
      <c r="X728" t="s">
        <v>34</v>
      </c>
      <c r="Y728" t="str">
        <f>"75070"</f>
        <v>75070</v>
      </c>
    </row>
    <row r="729" spans="1:25" x14ac:dyDescent="0.25">
      <c r="A729" t="s">
        <v>3377</v>
      </c>
      <c r="B729" t="s">
        <v>3378</v>
      </c>
      <c r="C729">
        <v>2019</v>
      </c>
      <c r="D729">
        <v>8001</v>
      </c>
      <c r="E729">
        <v>1</v>
      </c>
      <c r="F729" t="s">
        <v>3379</v>
      </c>
      <c r="G729">
        <v>0</v>
      </c>
      <c r="J729">
        <v>138.41999999999999</v>
      </c>
      <c r="L729">
        <v>42272987</v>
      </c>
      <c r="M729" s="1">
        <v>43815</v>
      </c>
      <c r="N729" t="str">
        <f>"J191216AW18"</f>
        <v>J191216AW18</v>
      </c>
      <c r="O729" t="s">
        <v>28</v>
      </c>
      <c r="Q729" t="s">
        <v>29</v>
      </c>
      <c r="R729" t="s">
        <v>28</v>
      </c>
      <c r="S729" t="s">
        <v>3379</v>
      </c>
      <c r="T729" t="s">
        <v>3380</v>
      </c>
      <c r="U729" t="s">
        <v>60</v>
      </c>
      <c r="V729" t="s">
        <v>60</v>
      </c>
      <c r="W729" t="s">
        <v>214</v>
      </c>
      <c r="X729" t="s">
        <v>34</v>
      </c>
      <c r="Y729" t="str">
        <f>"774064511   "</f>
        <v xml:space="preserve">774064511   </v>
      </c>
    </row>
    <row r="730" spans="1:25" x14ac:dyDescent="0.25">
      <c r="A730" t="s">
        <v>3381</v>
      </c>
      <c r="B730" t="s">
        <v>3382</v>
      </c>
      <c r="C730">
        <v>2019</v>
      </c>
      <c r="D730">
        <v>8001</v>
      </c>
      <c r="E730">
        <v>5</v>
      </c>
      <c r="F730" t="s">
        <v>3383</v>
      </c>
      <c r="G730">
        <v>28449425</v>
      </c>
      <c r="J730">
        <v>386.95</v>
      </c>
      <c r="L730">
        <v>44330903</v>
      </c>
      <c r="M730" s="1">
        <v>44006</v>
      </c>
      <c r="N730" t="str">
        <f>"J200624K2"</f>
        <v>J200624K2</v>
      </c>
      <c r="O730" t="s">
        <v>28</v>
      </c>
      <c r="Q730" t="s">
        <v>29</v>
      </c>
      <c r="R730" t="s">
        <v>28</v>
      </c>
      <c r="S730" t="s">
        <v>2906</v>
      </c>
      <c r="T730" t="s">
        <v>2907</v>
      </c>
      <c r="U730" t="s">
        <v>2908</v>
      </c>
      <c r="V730" t="s">
        <v>2909</v>
      </c>
      <c r="W730" t="s">
        <v>2910</v>
      </c>
      <c r="X730" t="s">
        <v>317</v>
      </c>
      <c r="Y730" t="str">
        <f>"91768"</f>
        <v>91768</v>
      </c>
    </row>
    <row r="731" spans="1:25" x14ac:dyDescent="0.25">
      <c r="A731" t="s">
        <v>3384</v>
      </c>
      <c r="B731" t="s">
        <v>3385</v>
      </c>
      <c r="C731">
        <v>2020</v>
      </c>
      <c r="D731">
        <v>8001</v>
      </c>
      <c r="E731">
        <v>1</v>
      </c>
      <c r="F731" t="s">
        <v>3386</v>
      </c>
      <c r="G731">
        <v>0</v>
      </c>
      <c r="J731">
        <v>360.58</v>
      </c>
      <c r="L731">
        <v>46918026</v>
      </c>
      <c r="M731" s="1">
        <v>44239</v>
      </c>
      <c r="N731" t="str">
        <f>"J210212BW8"</f>
        <v>J210212BW8</v>
      </c>
      <c r="O731" t="s">
        <v>28</v>
      </c>
      <c r="Q731" t="s">
        <v>29</v>
      </c>
      <c r="R731" t="s">
        <v>28</v>
      </c>
      <c r="S731" t="s">
        <v>3387</v>
      </c>
      <c r="T731" t="s">
        <v>3388</v>
      </c>
      <c r="U731" t="s">
        <v>60</v>
      </c>
      <c r="V731" t="s">
        <v>60</v>
      </c>
      <c r="W731" t="s">
        <v>214</v>
      </c>
      <c r="X731" t="s">
        <v>34</v>
      </c>
      <c r="Y731" t="str">
        <f>"774064519   "</f>
        <v xml:space="preserve">774064519   </v>
      </c>
    </row>
    <row r="732" spans="1:25" x14ac:dyDescent="0.25">
      <c r="A732" t="s">
        <v>3389</v>
      </c>
      <c r="B732" t="s">
        <v>3390</v>
      </c>
      <c r="C732">
        <v>2018</v>
      </c>
      <c r="D732">
        <v>8001</v>
      </c>
      <c r="E732">
        <v>1</v>
      </c>
      <c r="F732" t="s">
        <v>3391</v>
      </c>
      <c r="G732">
        <v>27328828</v>
      </c>
      <c r="J732">
        <v>70.89</v>
      </c>
      <c r="L732">
        <v>41063917</v>
      </c>
      <c r="M732" s="1">
        <v>43558</v>
      </c>
      <c r="N732" t="str">
        <f>"CC190403"</f>
        <v>CC190403</v>
      </c>
      <c r="O732" t="s">
        <v>28</v>
      </c>
      <c r="Q732" t="s">
        <v>29</v>
      </c>
      <c r="R732" t="s">
        <v>28</v>
      </c>
      <c r="S732" t="s">
        <v>3392</v>
      </c>
      <c r="T732" t="s">
        <v>3393</v>
      </c>
      <c r="W732" t="s">
        <v>81</v>
      </c>
      <c r="X732" t="s">
        <v>34</v>
      </c>
      <c r="Y732" t="str">
        <f>"77406"</f>
        <v>77406</v>
      </c>
    </row>
    <row r="733" spans="1:25" x14ac:dyDescent="0.25">
      <c r="A733" t="s">
        <v>3394</v>
      </c>
      <c r="B733" t="s">
        <v>3395</v>
      </c>
      <c r="C733">
        <v>2021</v>
      </c>
      <c r="D733">
        <v>8001</v>
      </c>
      <c r="E733">
        <v>1</v>
      </c>
      <c r="F733" t="s">
        <v>3396</v>
      </c>
      <c r="G733">
        <v>30503654</v>
      </c>
      <c r="J733" s="2">
        <v>7232.76</v>
      </c>
      <c r="L733">
        <v>48396377</v>
      </c>
      <c r="M733" s="1">
        <v>44539</v>
      </c>
      <c r="N733" t="str">
        <f>"RC220113"</f>
        <v>RC220113</v>
      </c>
      <c r="O733" t="s">
        <v>28</v>
      </c>
      <c r="Q733" t="s">
        <v>29</v>
      </c>
      <c r="R733" t="s">
        <v>28</v>
      </c>
      <c r="S733" t="s">
        <v>3397</v>
      </c>
      <c r="T733" t="s">
        <v>203</v>
      </c>
      <c r="U733" t="s">
        <v>3398</v>
      </c>
      <c r="W733" t="s">
        <v>33</v>
      </c>
      <c r="X733" t="s">
        <v>34</v>
      </c>
      <c r="Y733" t="str">
        <f>"750246093"</f>
        <v>750246093</v>
      </c>
    </row>
    <row r="734" spans="1:25" x14ac:dyDescent="0.25">
      <c r="A734" t="s">
        <v>3399</v>
      </c>
      <c r="B734" t="s">
        <v>3400</v>
      </c>
      <c r="C734">
        <v>2020</v>
      </c>
      <c r="D734">
        <v>8001</v>
      </c>
      <c r="E734">
        <v>2</v>
      </c>
      <c r="F734" t="s">
        <v>3401</v>
      </c>
      <c r="G734">
        <v>28745861</v>
      </c>
      <c r="J734">
        <v>47.66</v>
      </c>
      <c r="L734">
        <v>44761984</v>
      </c>
      <c r="M734" s="1">
        <v>44139</v>
      </c>
      <c r="N734" t="str">
        <f>"CC501104"</f>
        <v>CC501104</v>
      </c>
      <c r="O734" t="s">
        <v>28</v>
      </c>
      <c r="Q734" t="s">
        <v>29</v>
      </c>
      <c r="R734" t="s">
        <v>28</v>
      </c>
      <c r="S734" t="s">
        <v>3402</v>
      </c>
      <c r="T734" t="s">
        <v>3403</v>
      </c>
      <c r="W734" t="s">
        <v>81</v>
      </c>
      <c r="X734" t="s">
        <v>34</v>
      </c>
      <c r="Y734" t="str">
        <f>"77406"</f>
        <v>77406</v>
      </c>
    </row>
    <row r="735" spans="1:25" x14ac:dyDescent="0.25">
      <c r="A735" t="s">
        <v>3404</v>
      </c>
      <c r="B735" t="s">
        <v>3405</v>
      </c>
      <c r="C735">
        <v>2021</v>
      </c>
      <c r="D735">
        <v>8001</v>
      </c>
      <c r="E735">
        <v>1</v>
      </c>
      <c r="F735" t="s">
        <v>3406</v>
      </c>
      <c r="G735">
        <v>30995761</v>
      </c>
      <c r="J735">
        <v>564.27</v>
      </c>
      <c r="L735">
        <v>48906687</v>
      </c>
      <c r="M735" s="1">
        <v>44565</v>
      </c>
      <c r="N735" t="str">
        <f>"RC220208"</f>
        <v>RC220208</v>
      </c>
      <c r="O735" t="s">
        <v>28</v>
      </c>
      <c r="Q735" t="s">
        <v>29</v>
      </c>
      <c r="R735" t="s">
        <v>28</v>
      </c>
      <c r="S735" t="s">
        <v>3407</v>
      </c>
      <c r="T735" t="s">
        <v>3408</v>
      </c>
      <c r="W735" t="s">
        <v>107</v>
      </c>
      <c r="X735" t="s">
        <v>34</v>
      </c>
      <c r="Y735" t="str">
        <f>"774505473"</f>
        <v>774505473</v>
      </c>
    </row>
    <row r="736" spans="1:25" x14ac:dyDescent="0.25">
      <c r="A736" t="s">
        <v>3409</v>
      </c>
      <c r="B736" t="s">
        <v>3410</v>
      </c>
      <c r="C736">
        <v>2020</v>
      </c>
      <c r="D736">
        <v>8001</v>
      </c>
      <c r="E736">
        <v>2</v>
      </c>
      <c r="F736" t="s">
        <v>3411</v>
      </c>
      <c r="G736">
        <v>0</v>
      </c>
      <c r="J736">
        <v>9.82</v>
      </c>
      <c r="L736">
        <v>47519891</v>
      </c>
      <c r="M736" s="1">
        <v>44357</v>
      </c>
      <c r="N736" t="str">
        <f>"J210610BW2"</f>
        <v>J210610BW2</v>
      </c>
      <c r="O736" t="s">
        <v>28</v>
      </c>
      <c r="Q736" t="s">
        <v>29</v>
      </c>
      <c r="R736" t="s">
        <v>28</v>
      </c>
      <c r="S736" t="s">
        <v>3411</v>
      </c>
      <c r="T736" t="s">
        <v>3412</v>
      </c>
      <c r="U736" t="s">
        <v>60</v>
      </c>
      <c r="V736" t="s">
        <v>60</v>
      </c>
      <c r="W736" t="s">
        <v>219</v>
      </c>
      <c r="X736" t="s">
        <v>34</v>
      </c>
      <c r="Y736" t="str">
        <f>"774796719   "</f>
        <v xml:space="preserve">774796719   </v>
      </c>
    </row>
    <row r="737" spans="1:25" x14ac:dyDescent="0.25">
      <c r="A737" t="s">
        <v>3413</v>
      </c>
      <c r="B737" t="s">
        <v>3414</v>
      </c>
      <c r="C737">
        <v>2020</v>
      </c>
      <c r="D737">
        <v>8001</v>
      </c>
      <c r="E737">
        <v>23</v>
      </c>
      <c r="F737" t="s">
        <v>3415</v>
      </c>
      <c r="G737">
        <v>0</v>
      </c>
      <c r="J737">
        <v>459.12</v>
      </c>
      <c r="L737">
        <v>47939165</v>
      </c>
      <c r="M737" s="1">
        <v>44538</v>
      </c>
      <c r="N737" t="str">
        <f>"T211208BI2"</f>
        <v>T211208BI2</v>
      </c>
      <c r="O737" t="s">
        <v>28</v>
      </c>
      <c r="Q737" t="s">
        <v>29</v>
      </c>
      <c r="R737" t="s">
        <v>28</v>
      </c>
      <c r="S737" t="s">
        <v>3415</v>
      </c>
      <c r="T737" t="s">
        <v>3416</v>
      </c>
      <c r="U737" t="s">
        <v>60</v>
      </c>
      <c r="V737" t="s">
        <v>60</v>
      </c>
      <c r="W737" t="s">
        <v>219</v>
      </c>
      <c r="X737" t="s">
        <v>34</v>
      </c>
      <c r="Y737" t="str">
        <f>"774794033   "</f>
        <v xml:space="preserve">774794033   </v>
      </c>
    </row>
    <row r="738" spans="1:25" x14ac:dyDescent="0.25">
      <c r="A738" t="s">
        <v>3417</v>
      </c>
      <c r="B738" t="s">
        <v>3418</v>
      </c>
      <c r="C738">
        <v>2019</v>
      </c>
      <c r="D738">
        <v>8001</v>
      </c>
      <c r="E738">
        <v>2</v>
      </c>
      <c r="F738" t="s">
        <v>3419</v>
      </c>
      <c r="G738">
        <v>0</v>
      </c>
      <c r="J738">
        <v>6.07</v>
      </c>
      <c r="L738">
        <v>41489429</v>
      </c>
      <c r="M738" s="1">
        <v>43766</v>
      </c>
      <c r="N738" t="str">
        <f>"TE191028"</f>
        <v>TE191028</v>
      </c>
      <c r="O738" t="s">
        <v>28</v>
      </c>
      <c r="Q738" t="s">
        <v>29</v>
      </c>
      <c r="R738" t="s">
        <v>28</v>
      </c>
      <c r="S738" t="s">
        <v>3419</v>
      </c>
      <c r="T738" t="s">
        <v>3420</v>
      </c>
      <c r="U738" t="s">
        <v>60</v>
      </c>
      <c r="V738" t="s">
        <v>60</v>
      </c>
      <c r="W738" t="s">
        <v>376</v>
      </c>
      <c r="X738" t="s">
        <v>34</v>
      </c>
      <c r="Y738" t="str">
        <f>"774776722   "</f>
        <v xml:space="preserve">774776722   </v>
      </c>
    </row>
    <row r="739" spans="1:25" x14ac:dyDescent="0.25">
      <c r="A739" t="s">
        <v>3421</v>
      </c>
      <c r="B739" t="s">
        <v>3422</v>
      </c>
      <c r="C739">
        <v>2019</v>
      </c>
      <c r="D739">
        <v>8001</v>
      </c>
      <c r="E739">
        <v>1</v>
      </c>
      <c r="F739" t="s">
        <v>3423</v>
      </c>
      <c r="G739">
        <v>28341951</v>
      </c>
      <c r="J739">
        <v>13.52</v>
      </c>
      <c r="L739">
        <v>43954875</v>
      </c>
      <c r="M739" s="1">
        <v>43908</v>
      </c>
      <c r="N739" t="str">
        <f>"J200318K8"</f>
        <v>J200318K8</v>
      </c>
      <c r="O739" t="s">
        <v>28</v>
      </c>
      <c r="Q739" t="s">
        <v>29</v>
      </c>
      <c r="R739" t="s">
        <v>28</v>
      </c>
      <c r="S739" t="s">
        <v>3424</v>
      </c>
      <c r="T739" t="s">
        <v>3425</v>
      </c>
      <c r="U739" t="s">
        <v>3426</v>
      </c>
      <c r="W739" t="s">
        <v>688</v>
      </c>
      <c r="X739" t="s">
        <v>34</v>
      </c>
      <c r="Y739" t="str">
        <f>"77504"</f>
        <v>77504</v>
      </c>
    </row>
    <row r="740" spans="1:25" x14ac:dyDescent="0.25">
      <c r="A740" t="s">
        <v>3427</v>
      </c>
      <c r="B740" t="s">
        <v>3428</v>
      </c>
      <c r="C740">
        <v>2020</v>
      </c>
      <c r="D740">
        <v>8001</v>
      </c>
      <c r="E740">
        <v>1</v>
      </c>
      <c r="F740" t="s">
        <v>3429</v>
      </c>
      <c r="G740">
        <v>2017861</v>
      </c>
      <c r="J740">
        <v>32.56</v>
      </c>
      <c r="L740">
        <v>45747768</v>
      </c>
      <c r="M740" s="1">
        <v>44202</v>
      </c>
      <c r="N740" t="str">
        <f>"RC210120"</f>
        <v>RC210120</v>
      </c>
      <c r="O740" t="s">
        <v>28</v>
      </c>
      <c r="Q740" t="s">
        <v>29</v>
      </c>
      <c r="R740" t="s">
        <v>28</v>
      </c>
      <c r="S740" t="s">
        <v>3430</v>
      </c>
      <c r="T740" t="s">
        <v>3431</v>
      </c>
      <c r="U740" t="s">
        <v>3147</v>
      </c>
      <c r="W740" t="s">
        <v>81</v>
      </c>
      <c r="X740" t="s">
        <v>34</v>
      </c>
      <c r="Y740" t="str">
        <f>"77469"</f>
        <v>77469</v>
      </c>
    </row>
    <row r="741" spans="1:25" x14ac:dyDescent="0.25">
      <c r="A741" t="s">
        <v>3432</v>
      </c>
      <c r="B741" t="s">
        <v>3433</v>
      </c>
      <c r="C741">
        <v>2020</v>
      </c>
      <c r="D741">
        <v>8001</v>
      </c>
      <c r="E741">
        <v>1</v>
      </c>
      <c r="F741" t="s">
        <v>3434</v>
      </c>
      <c r="G741">
        <v>25227889</v>
      </c>
      <c r="J741">
        <v>81.569999999999993</v>
      </c>
      <c r="L741">
        <v>47374788</v>
      </c>
      <c r="M741" s="1">
        <v>44322</v>
      </c>
      <c r="N741" t="str">
        <f>"RC210512"</f>
        <v>RC210512</v>
      </c>
      <c r="O741" t="s">
        <v>28</v>
      </c>
      <c r="Q741" t="s">
        <v>29</v>
      </c>
      <c r="R741" t="s">
        <v>28</v>
      </c>
      <c r="S741" t="s">
        <v>3435</v>
      </c>
      <c r="T741" t="s">
        <v>3436</v>
      </c>
      <c r="W741" t="s">
        <v>75</v>
      </c>
      <c r="X741" t="s">
        <v>34</v>
      </c>
      <c r="Y741" t="str">
        <f>"77099"</f>
        <v>77099</v>
      </c>
    </row>
    <row r="742" spans="1:25" x14ac:dyDescent="0.25">
      <c r="A742" t="s">
        <v>3437</v>
      </c>
      <c r="B742" t="s">
        <v>3438</v>
      </c>
      <c r="C742">
        <v>2020</v>
      </c>
      <c r="D742">
        <v>8001</v>
      </c>
      <c r="E742">
        <v>6</v>
      </c>
      <c r="F742" t="s">
        <v>3439</v>
      </c>
      <c r="G742">
        <v>203289</v>
      </c>
      <c r="J742">
        <v>377.4</v>
      </c>
      <c r="L742">
        <v>45671425</v>
      </c>
      <c r="M742" s="1">
        <v>44201</v>
      </c>
      <c r="N742" t="str">
        <f>"O210105Y1"</f>
        <v>O210105Y1</v>
      </c>
      <c r="O742" t="s">
        <v>28</v>
      </c>
      <c r="Q742" t="s">
        <v>29</v>
      </c>
      <c r="R742" t="s">
        <v>28</v>
      </c>
      <c r="S742" t="s">
        <v>561</v>
      </c>
      <c r="T742" t="s">
        <v>562</v>
      </c>
      <c r="W742" t="s">
        <v>563</v>
      </c>
      <c r="X742" t="s">
        <v>34</v>
      </c>
      <c r="Y742" t="str">
        <f>"750630156"</f>
        <v>750630156</v>
      </c>
    </row>
    <row r="743" spans="1:25" x14ac:dyDescent="0.25">
      <c r="A743" t="s">
        <v>3440</v>
      </c>
      <c r="B743" t="s">
        <v>3441</v>
      </c>
      <c r="C743">
        <v>2019</v>
      </c>
      <c r="D743">
        <v>8001</v>
      </c>
      <c r="E743">
        <v>1</v>
      </c>
      <c r="F743" t="s">
        <v>3442</v>
      </c>
      <c r="G743">
        <v>0</v>
      </c>
      <c r="J743">
        <v>574.1</v>
      </c>
      <c r="L743">
        <v>43046188</v>
      </c>
      <c r="M743" s="1">
        <v>43852</v>
      </c>
      <c r="N743" t="str">
        <f>"J200122K1"</f>
        <v>J200122K1</v>
      </c>
      <c r="O743" t="s">
        <v>28</v>
      </c>
      <c r="Q743" t="s">
        <v>29</v>
      </c>
      <c r="R743" t="s">
        <v>28</v>
      </c>
      <c r="S743" t="s">
        <v>3442</v>
      </c>
      <c r="T743" t="s">
        <v>3443</v>
      </c>
      <c r="U743" t="s">
        <v>60</v>
      </c>
      <c r="V743" t="s">
        <v>60</v>
      </c>
      <c r="W743" t="s">
        <v>214</v>
      </c>
      <c r="X743" t="s">
        <v>34</v>
      </c>
      <c r="Y743" t="str">
        <f>"774072672   "</f>
        <v xml:space="preserve">774072672   </v>
      </c>
    </row>
    <row r="744" spans="1:25" x14ac:dyDescent="0.25">
      <c r="A744" t="s">
        <v>3440</v>
      </c>
      <c r="B744" t="s">
        <v>3441</v>
      </c>
      <c r="C744">
        <v>2020</v>
      </c>
      <c r="D744">
        <v>8001</v>
      </c>
      <c r="E744">
        <v>1</v>
      </c>
      <c r="F744" t="s">
        <v>3442</v>
      </c>
      <c r="G744">
        <v>30572910</v>
      </c>
      <c r="J744">
        <v>560.85</v>
      </c>
      <c r="L744">
        <v>46670423</v>
      </c>
      <c r="M744" s="1">
        <v>44229</v>
      </c>
      <c r="N744" t="str">
        <f>"RC220116"</f>
        <v>RC220116</v>
      </c>
      <c r="O744" t="s">
        <v>260</v>
      </c>
      <c r="Q744" t="s">
        <v>29</v>
      </c>
      <c r="R744" t="s">
        <v>28</v>
      </c>
      <c r="S744" t="s">
        <v>3444</v>
      </c>
      <c r="T744" t="s">
        <v>3445</v>
      </c>
      <c r="W744" t="s">
        <v>1748</v>
      </c>
      <c r="X744" t="s">
        <v>34</v>
      </c>
      <c r="Y744" t="str">
        <f>"774291877"</f>
        <v>774291877</v>
      </c>
    </row>
    <row r="745" spans="1:25" x14ac:dyDescent="0.25">
      <c r="A745" t="s">
        <v>3440</v>
      </c>
      <c r="B745" t="s">
        <v>3441</v>
      </c>
      <c r="C745">
        <v>2021</v>
      </c>
      <c r="D745">
        <v>8001</v>
      </c>
      <c r="E745">
        <v>1</v>
      </c>
      <c r="F745" t="s">
        <v>3442</v>
      </c>
      <c r="G745">
        <v>0</v>
      </c>
      <c r="J745">
        <v>470.49</v>
      </c>
      <c r="L745">
        <v>48597134</v>
      </c>
      <c r="M745" s="1">
        <v>44551</v>
      </c>
      <c r="N745" t="str">
        <f>"L211221"</f>
        <v>L211221</v>
      </c>
      <c r="O745" t="s">
        <v>28</v>
      </c>
      <c r="Q745" t="s">
        <v>29</v>
      </c>
      <c r="R745" t="s">
        <v>28</v>
      </c>
      <c r="S745" t="s">
        <v>3442</v>
      </c>
      <c r="T745" t="s">
        <v>3443</v>
      </c>
      <c r="U745" t="s">
        <v>60</v>
      </c>
      <c r="V745" t="s">
        <v>60</v>
      </c>
      <c r="W745" t="s">
        <v>214</v>
      </c>
      <c r="X745" t="s">
        <v>34</v>
      </c>
      <c r="Y745" t="str">
        <f>"774072672   "</f>
        <v xml:space="preserve">774072672   </v>
      </c>
    </row>
    <row r="746" spans="1:25" x14ac:dyDescent="0.25">
      <c r="A746" t="s">
        <v>3446</v>
      </c>
      <c r="B746" t="s">
        <v>3447</v>
      </c>
      <c r="C746">
        <v>2020</v>
      </c>
      <c r="D746">
        <v>8001</v>
      </c>
      <c r="E746">
        <v>3</v>
      </c>
      <c r="F746" t="s">
        <v>3448</v>
      </c>
      <c r="G746">
        <v>29883471</v>
      </c>
      <c r="J746">
        <v>6.55</v>
      </c>
      <c r="L746">
        <v>47526093</v>
      </c>
      <c r="M746" s="1">
        <v>44361</v>
      </c>
      <c r="N746" t="str">
        <f>"RC210622"</f>
        <v>RC210622</v>
      </c>
      <c r="O746" t="s">
        <v>28</v>
      </c>
      <c r="Q746" t="s">
        <v>29</v>
      </c>
      <c r="R746" t="s">
        <v>28</v>
      </c>
      <c r="S746" t="s">
        <v>3449</v>
      </c>
      <c r="T746" t="s">
        <v>3450</v>
      </c>
      <c r="W746" t="s">
        <v>392</v>
      </c>
      <c r="X746" t="s">
        <v>34</v>
      </c>
      <c r="Y746" t="str">
        <f>"77459"</f>
        <v>77459</v>
      </c>
    </row>
    <row r="747" spans="1:25" x14ac:dyDescent="0.25">
      <c r="A747" t="s">
        <v>3451</v>
      </c>
      <c r="B747" t="s">
        <v>3452</v>
      </c>
      <c r="C747">
        <v>2021</v>
      </c>
      <c r="D747">
        <v>8001</v>
      </c>
      <c r="E747">
        <v>7</v>
      </c>
      <c r="F747" t="s">
        <v>3453</v>
      </c>
      <c r="G747">
        <v>0</v>
      </c>
      <c r="J747">
        <v>165.48</v>
      </c>
      <c r="L747">
        <v>47767918</v>
      </c>
      <c r="M747" s="1">
        <v>44516</v>
      </c>
      <c r="N747" t="str">
        <f>"TE211116"</f>
        <v>TE211116</v>
      </c>
      <c r="O747" t="s">
        <v>28</v>
      </c>
      <c r="Q747" t="s">
        <v>29</v>
      </c>
      <c r="R747" t="s">
        <v>28</v>
      </c>
      <c r="S747" t="s">
        <v>3453</v>
      </c>
      <c r="T747" t="s">
        <v>3454</v>
      </c>
      <c r="U747" t="s">
        <v>60</v>
      </c>
      <c r="V747" t="s">
        <v>60</v>
      </c>
      <c r="W747" t="s">
        <v>1333</v>
      </c>
      <c r="X747" t="s">
        <v>34</v>
      </c>
      <c r="Y747" t="str">
        <f>"774596989   "</f>
        <v xml:space="preserve">774596989   </v>
      </c>
    </row>
    <row r="748" spans="1:25" x14ac:dyDescent="0.25">
      <c r="A748" t="s">
        <v>3455</v>
      </c>
      <c r="B748" t="s">
        <v>3456</v>
      </c>
      <c r="C748">
        <v>2020</v>
      </c>
      <c r="D748">
        <v>8001</v>
      </c>
      <c r="E748">
        <v>1</v>
      </c>
      <c r="F748" t="s">
        <v>3457</v>
      </c>
      <c r="G748">
        <v>29461635</v>
      </c>
      <c r="J748">
        <v>513.87</v>
      </c>
      <c r="L748">
        <v>46728635</v>
      </c>
      <c r="M748" s="1">
        <v>44230</v>
      </c>
      <c r="N748" t="str">
        <f>"EK210203"</f>
        <v>EK210203</v>
      </c>
      <c r="O748" t="s">
        <v>28</v>
      </c>
      <c r="Q748" t="s">
        <v>29</v>
      </c>
      <c r="R748" t="s">
        <v>28</v>
      </c>
      <c r="S748" t="s">
        <v>3458</v>
      </c>
      <c r="T748" t="s">
        <v>3459</v>
      </c>
      <c r="W748" t="s">
        <v>392</v>
      </c>
      <c r="X748" t="s">
        <v>34</v>
      </c>
      <c r="Y748" t="str">
        <f>"77459"</f>
        <v>77459</v>
      </c>
    </row>
    <row r="749" spans="1:25" x14ac:dyDescent="0.25">
      <c r="A749" t="s">
        <v>3460</v>
      </c>
      <c r="B749" t="s">
        <v>3461</v>
      </c>
      <c r="C749">
        <v>2019</v>
      </c>
      <c r="D749">
        <v>8001</v>
      </c>
      <c r="E749">
        <v>1</v>
      </c>
      <c r="F749" t="s">
        <v>3462</v>
      </c>
      <c r="G749">
        <v>28310273</v>
      </c>
      <c r="J749">
        <v>53.49</v>
      </c>
      <c r="L749">
        <v>43887094</v>
      </c>
      <c r="M749" s="1">
        <v>43895</v>
      </c>
      <c r="N749" t="str">
        <f>"CC200305"</f>
        <v>CC200305</v>
      </c>
      <c r="O749" t="s">
        <v>28</v>
      </c>
      <c r="Q749" t="s">
        <v>29</v>
      </c>
      <c r="R749" t="s">
        <v>28</v>
      </c>
      <c r="S749" t="s">
        <v>3463</v>
      </c>
      <c r="T749" t="s">
        <v>3464</v>
      </c>
      <c r="W749" t="s">
        <v>392</v>
      </c>
      <c r="X749" t="s">
        <v>34</v>
      </c>
      <c r="Y749" t="str">
        <f>"77459"</f>
        <v>77459</v>
      </c>
    </row>
    <row r="750" spans="1:25" x14ac:dyDescent="0.25">
      <c r="A750" t="s">
        <v>3465</v>
      </c>
      <c r="B750" t="s">
        <v>3466</v>
      </c>
      <c r="C750">
        <v>2019</v>
      </c>
      <c r="D750">
        <v>8001</v>
      </c>
      <c r="E750">
        <v>2</v>
      </c>
      <c r="F750" t="s">
        <v>3467</v>
      </c>
      <c r="G750">
        <v>0</v>
      </c>
      <c r="J750">
        <v>63.41</v>
      </c>
      <c r="L750">
        <v>44067759</v>
      </c>
      <c r="M750" s="1">
        <v>43937</v>
      </c>
      <c r="N750" t="str">
        <f>"J200416F3"</f>
        <v>J200416F3</v>
      </c>
      <c r="O750" t="s">
        <v>28</v>
      </c>
      <c r="Q750" t="s">
        <v>29</v>
      </c>
      <c r="R750" t="s">
        <v>28</v>
      </c>
      <c r="S750" t="s">
        <v>3467</v>
      </c>
      <c r="T750" t="s">
        <v>3468</v>
      </c>
      <c r="U750" t="s">
        <v>60</v>
      </c>
      <c r="V750" t="s">
        <v>60</v>
      </c>
      <c r="W750" t="s">
        <v>2502</v>
      </c>
      <c r="X750" t="s">
        <v>34</v>
      </c>
      <c r="Y750" t="str">
        <f>"775450274   "</f>
        <v xml:space="preserve">775450274   </v>
      </c>
    </row>
    <row r="751" spans="1:25" x14ac:dyDescent="0.25">
      <c r="A751" t="s">
        <v>3469</v>
      </c>
      <c r="B751" t="s">
        <v>3470</v>
      </c>
      <c r="C751">
        <v>2019</v>
      </c>
      <c r="D751">
        <v>8001</v>
      </c>
      <c r="E751">
        <v>1</v>
      </c>
      <c r="F751" t="s">
        <v>3471</v>
      </c>
      <c r="G751">
        <v>0</v>
      </c>
      <c r="J751" s="2">
        <v>1634.38</v>
      </c>
      <c r="L751">
        <v>43615233</v>
      </c>
      <c r="M751" s="1">
        <v>43866</v>
      </c>
      <c r="N751" t="str">
        <f>"J200205AW17"</f>
        <v>J200205AW17</v>
      </c>
      <c r="O751" t="s">
        <v>28</v>
      </c>
      <c r="Q751" t="s">
        <v>29</v>
      </c>
      <c r="R751" t="s">
        <v>28</v>
      </c>
      <c r="S751" t="s">
        <v>3471</v>
      </c>
      <c r="T751" t="s">
        <v>3472</v>
      </c>
      <c r="U751" t="s">
        <v>3473</v>
      </c>
      <c r="V751" t="s">
        <v>60</v>
      </c>
      <c r="W751" t="s">
        <v>3474</v>
      </c>
      <c r="X751" t="s">
        <v>317</v>
      </c>
      <c r="Y751" t="str">
        <f>"933090717   "</f>
        <v xml:space="preserve">933090717   </v>
      </c>
    </row>
    <row r="752" spans="1:25" x14ac:dyDescent="0.25">
      <c r="A752" t="s">
        <v>3475</v>
      </c>
      <c r="B752" t="s">
        <v>3476</v>
      </c>
      <c r="C752">
        <v>2020</v>
      </c>
      <c r="D752">
        <v>8001</v>
      </c>
      <c r="E752">
        <v>2</v>
      </c>
      <c r="F752" t="s">
        <v>3477</v>
      </c>
      <c r="G752">
        <v>0</v>
      </c>
      <c r="J752">
        <v>620</v>
      </c>
      <c r="L752">
        <v>47817380</v>
      </c>
      <c r="M752" s="1">
        <v>44488</v>
      </c>
      <c r="N752" t="str">
        <f>"EL211019"</f>
        <v>EL211019</v>
      </c>
      <c r="O752" t="s">
        <v>28</v>
      </c>
      <c r="Q752" t="s">
        <v>29</v>
      </c>
      <c r="R752" t="s">
        <v>28</v>
      </c>
      <c r="S752" t="s">
        <v>3477</v>
      </c>
      <c r="T752" t="s">
        <v>3478</v>
      </c>
      <c r="U752" t="s">
        <v>60</v>
      </c>
      <c r="V752" t="s">
        <v>60</v>
      </c>
      <c r="W752" t="s">
        <v>273</v>
      </c>
      <c r="X752" t="s">
        <v>34</v>
      </c>
      <c r="Y752" t="str">
        <f>"774411411   "</f>
        <v xml:space="preserve">774411411   </v>
      </c>
    </row>
    <row r="753" spans="1:25" x14ac:dyDescent="0.25">
      <c r="A753" t="s">
        <v>3479</v>
      </c>
      <c r="B753" t="s">
        <v>3480</v>
      </c>
      <c r="C753">
        <v>2020</v>
      </c>
      <c r="D753">
        <v>8001</v>
      </c>
      <c r="E753">
        <v>1</v>
      </c>
      <c r="F753" t="s">
        <v>3481</v>
      </c>
      <c r="G753">
        <v>28479019</v>
      </c>
      <c r="J753">
        <v>10.210000000000001</v>
      </c>
      <c r="L753">
        <v>47213292</v>
      </c>
      <c r="M753" s="1">
        <v>44286</v>
      </c>
      <c r="N753" t="str">
        <f>"RC210414"</f>
        <v>RC210414</v>
      </c>
      <c r="O753" t="s">
        <v>28</v>
      </c>
      <c r="Q753" t="s">
        <v>29</v>
      </c>
      <c r="R753" t="s">
        <v>28</v>
      </c>
      <c r="S753" t="s">
        <v>127</v>
      </c>
      <c r="T753" t="s">
        <v>3482</v>
      </c>
      <c r="U753" t="s">
        <v>3483</v>
      </c>
      <c r="V753" t="s">
        <v>3484</v>
      </c>
      <c r="W753" t="s">
        <v>75</v>
      </c>
      <c r="X753" t="s">
        <v>34</v>
      </c>
      <c r="Y753" t="str">
        <f>"77042"</f>
        <v>77042</v>
      </c>
    </row>
    <row r="754" spans="1:25" x14ac:dyDescent="0.25">
      <c r="A754" t="s">
        <v>3485</v>
      </c>
      <c r="B754" t="s">
        <v>3486</v>
      </c>
      <c r="C754">
        <v>2021</v>
      </c>
      <c r="D754">
        <v>8001</v>
      </c>
      <c r="E754">
        <v>2</v>
      </c>
      <c r="F754" t="s">
        <v>3487</v>
      </c>
      <c r="G754">
        <v>28862145</v>
      </c>
      <c r="J754">
        <v>699.44</v>
      </c>
      <c r="L754">
        <v>49180502</v>
      </c>
      <c r="M754" s="1">
        <v>44574</v>
      </c>
      <c r="N754" t="str">
        <f>"RC220225"</f>
        <v>RC220225</v>
      </c>
      <c r="O754" t="s">
        <v>28</v>
      </c>
      <c r="Q754" t="s">
        <v>29</v>
      </c>
      <c r="R754" t="s">
        <v>28</v>
      </c>
      <c r="S754" t="s">
        <v>1369</v>
      </c>
      <c r="T754" t="s">
        <v>203</v>
      </c>
      <c r="U754" t="s">
        <v>1370</v>
      </c>
      <c r="W754" t="s">
        <v>1371</v>
      </c>
      <c r="X754" t="s">
        <v>34</v>
      </c>
      <c r="Y754" t="str">
        <f>"750341953"</f>
        <v>750341953</v>
      </c>
    </row>
    <row r="755" spans="1:25" x14ac:dyDescent="0.25">
      <c r="A755" t="s">
        <v>3488</v>
      </c>
      <c r="B755" t="s">
        <v>3489</v>
      </c>
      <c r="C755">
        <v>2018</v>
      </c>
      <c r="D755">
        <v>8001</v>
      </c>
      <c r="E755">
        <v>3</v>
      </c>
      <c r="F755" t="s">
        <v>3490</v>
      </c>
      <c r="G755">
        <v>23460103</v>
      </c>
      <c r="J755">
        <v>7.55</v>
      </c>
      <c r="L755">
        <v>41008960</v>
      </c>
      <c r="M755" s="1">
        <v>43551</v>
      </c>
      <c r="N755" t="str">
        <f>"J190327AW4"</f>
        <v>J190327AW4</v>
      </c>
      <c r="O755" t="s">
        <v>28</v>
      </c>
      <c r="Q755" t="s">
        <v>29</v>
      </c>
      <c r="R755" t="s">
        <v>28</v>
      </c>
      <c r="S755" t="s">
        <v>3491</v>
      </c>
      <c r="T755" t="s">
        <v>3492</v>
      </c>
      <c r="W755" t="s">
        <v>3493</v>
      </c>
      <c r="X755" t="s">
        <v>34</v>
      </c>
      <c r="Y755" t="str">
        <f>"77546"</f>
        <v>77546</v>
      </c>
    </row>
    <row r="756" spans="1:25" x14ac:dyDescent="0.25">
      <c r="A756" t="s">
        <v>3494</v>
      </c>
      <c r="B756" t="s">
        <v>3495</v>
      </c>
      <c r="C756">
        <v>2019</v>
      </c>
      <c r="D756">
        <v>8001</v>
      </c>
      <c r="E756">
        <v>2</v>
      </c>
      <c r="F756" t="s">
        <v>3496</v>
      </c>
      <c r="G756">
        <v>0</v>
      </c>
      <c r="J756">
        <v>9.3699999999999992</v>
      </c>
      <c r="L756">
        <v>44288894</v>
      </c>
      <c r="M756" s="1">
        <v>43990</v>
      </c>
      <c r="N756" t="str">
        <f>"J200608K6"</f>
        <v>J200608K6</v>
      </c>
      <c r="O756" t="s">
        <v>28</v>
      </c>
      <c r="Q756" t="s">
        <v>29</v>
      </c>
      <c r="R756" t="s">
        <v>28</v>
      </c>
      <c r="S756" t="s">
        <v>3496</v>
      </c>
      <c r="T756" t="s">
        <v>3497</v>
      </c>
      <c r="U756" t="s">
        <v>60</v>
      </c>
      <c r="V756" t="s">
        <v>60</v>
      </c>
      <c r="W756" t="s">
        <v>135</v>
      </c>
      <c r="X756" t="s">
        <v>34</v>
      </c>
      <c r="Y756" t="str">
        <f>"770533031   "</f>
        <v xml:space="preserve">770533031   </v>
      </c>
    </row>
    <row r="757" spans="1:25" x14ac:dyDescent="0.25">
      <c r="A757" t="s">
        <v>3498</v>
      </c>
      <c r="B757" t="s">
        <v>3499</v>
      </c>
      <c r="C757">
        <v>2019</v>
      </c>
      <c r="D757">
        <v>8001</v>
      </c>
      <c r="E757">
        <v>1</v>
      </c>
      <c r="F757" t="s">
        <v>3500</v>
      </c>
      <c r="G757">
        <v>0</v>
      </c>
      <c r="J757">
        <v>15.89</v>
      </c>
      <c r="L757">
        <v>44026796</v>
      </c>
      <c r="M757" s="1">
        <v>43924</v>
      </c>
      <c r="N757" t="str">
        <f>"J200403K1"</f>
        <v>J200403K1</v>
      </c>
      <c r="O757" t="s">
        <v>28</v>
      </c>
      <c r="Q757" t="s">
        <v>29</v>
      </c>
      <c r="R757" t="s">
        <v>28</v>
      </c>
      <c r="S757" t="s">
        <v>3500</v>
      </c>
      <c r="T757" t="s">
        <v>3501</v>
      </c>
      <c r="U757" t="s">
        <v>60</v>
      </c>
      <c r="V757" t="s">
        <v>60</v>
      </c>
      <c r="W757" t="s">
        <v>135</v>
      </c>
      <c r="X757" t="s">
        <v>34</v>
      </c>
      <c r="Y757" t="str">
        <f>"770533209   "</f>
        <v xml:space="preserve">770533209   </v>
      </c>
    </row>
    <row r="758" spans="1:25" x14ac:dyDescent="0.25">
      <c r="A758" t="s">
        <v>3502</v>
      </c>
      <c r="B758" t="s">
        <v>3503</v>
      </c>
      <c r="C758">
        <v>2020</v>
      </c>
      <c r="D758">
        <v>8001</v>
      </c>
      <c r="E758">
        <v>2</v>
      </c>
      <c r="F758" t="s">
        <v>3504</v>
      </c>
      <c r="G758">
        <v>0</v>
      </c>
      <c r="J758">
        <v>9</v>
      </c>
      <c r="L758">
        <v>46222557</v>
      </c>
      <c r="M758" s="1">
        <v>44218</v>
      </c>
      <c r="N758" t="str">
        <f>"L210122"</f>
        <v>L210122</v>
      </c>
      <c r="O758" t="s">
        <v>28</v>
      </c>
      <c r="Q758" t="s">
        <v>29</v>
      </c>
      <c r="R758" t="s">
        <v>28</v>
      </c>
      <c r="S758" t="s">
        <v>3504</v>
      </c>
      <c r="T758" t="s">
        <v>3505</v>
      </c>
      <c r="U758" t="s">
        <v>60</v>
      </c>
      <c r="V758" t="s">
        <v>60</v>
      </c>
      <c r="W758" t="s">
        <v>135</v>
      </c>
      <c r="X758" t="s">
        <v>34</v>
      </c>
      <c r="Y758" t="str">
        <f>"770533215   "</f>
        <v xml:space="preserve">770533215   </v>
      </c>
    </row>
    <row r="759" spans="1:25" x14ac:dyDescent="0.25">
      <c r="A759" t="s">
        <v>3506</v>
      </c>
      <c r="B759" t="s">
        <v>3507</v>
      </c>
      <c r="C759">
        <v>2021</v>
      </c>
      <c r="D759">
        <v>8001</v>
      </c>
      <c r="E759">
        <v>3</v>
      </c>
      <c r="F759" t="s">
        <v>3508</v>
      </c>
      <c r="G759">
        <v>0</v>
      </c>
      <c r="J759">
        <v>156.16</v>
      </c>
      <c r="L759">
        <v>49787783</v>
      </c>
      <c r="M759" s="1">
        <v>44592</v>
      </c>
      <c r="N759" t="str">
        <f>"O220131C7"</f>
        <v>O220131C7</v>
      </c>
      <c r="O759" t="s">
        <v>28</v>
      </c>
      <c r="Q759" t="s">
        <v>29</v>
      </c>
      <c r="R759" t="s">
        <v>28</v>
      </c>
      <c r="S759" t="s">
        <v>3508</v>
      </c>
      <c r="T759" t="s">
        <v>3509</v>
      </c>
      <c r="U759" t="s">
        <v>60</v>
      </c>
      <c r="V759" t="s">
        <v>60</v>
      </c>
      <c r="W759" t="s">
        <v>135</v>
      </c>
      <c r="X759" t="s">
        <v>34</v>
      </c>
      <c r="Y759" t="str">
        <f>"770533214   "</f>
        <v xml:space="preserve">770533214   </v>
      </c>
    </row>
    <row r="760" spans="1:25" x14ac:dyDescent="0.25">
      <c r="A760" t="s">
        <v>3510</v>
      </c>
      <c r="B760" t="s">
        <v>3511</v>
      </c>
      <c r="C760">
        <v>2020</v>
      </c>
      <c r="D760">
        <v>8001</v>
      </c>
      <c r="E760">
        <v>1</v>
      </c>
      <c r="F760" t="s">
        <v>3512</v>
      </c>
      <c r="G760">
        <v>29461812</v>
      </c>
      <c r="J760">
        <v>35.28</v>
      </c>
      <c r="L760">
        <v>46728812</v>
      </c>
      <c r="M760" s="1">
        <v>44230</v>
      </c>
      <c r="N760" t="str">
        <f>"EK210203"</f>
        <v>EK210203</v>
      </c>
      <c r="O760" t="s">
        <v>28</v>
      </c>
      <c r="Q760" t="s">
        <v>29</v>
      </c>
      <c r="R760" t="s">
        <v>28</v>
      </c>
      <c r="S760" t="s">
        <v>3513</v>
      </c>
      <c r="T760" t="s">
        <v>3514</v>
      </c>
      <c r="W760" t="s">
        <v>75</v>
      </c>
      <c r="X760" t="s">
        <v>34</v>
      </c>
      <c r="Y760" t="str">
        <f>"77053"</f>
        <v>77053</v>
      </c>
    </row>
    <row r="761" spans="1:25" x14ac:dyDescent="0.25">
      <c r="A761" t="s">
        <v>3515</v>
      </c>
      <c r="B761" t="s">
        <v>3516</v>
      </c>
      <c r="C761">
        <v>2021</v>
      </c>
      <c r="D761">
        <v>8001</v>
      </c>
      <c r="E761">
        <v>1</v>
      </c>
      <c r="F761" t="s">
        <v>3517</v>
      </c>
      <c r="G761">
        <v>22734742</v>
      </c>
      <c r="J761">
        <v>6.32</v>
      </c>
      <c r="L761">
        <v>47919845</v>
      </c>
      <c r="M761" s="1">
        <v>44516</v>
      </c>
      <c r="N761" t="str">
        <f>"TE211116"</f>
        <v>TE211116</v>
      </c>
      <c r="O761" t="s">
        <v>28</v>
      </c>
      <c r="Q761" t="s">
        <v>29</v>
      </c>
      <c r="R761" t="s">
        <v>28</v>
      </c>
      <c r="S761" t="s">
        <v>3518</v>
      </c>
      <c r="T761" t="s">
        <v>3519</v>
      </c>
      <c r="W761" t="s">
        <v>75</v>
      </c>
      <c r="X761" t="s">
        <v>34</v>
      </c>
      <c r="Y761" t="str">
        <f>"770533113"</f>
        <v>770533113</v>
      </c>
    </row>
    <row r="762" spans="1:25" x14ac:dyDescent="0.25">
      <c r="A762" t="s">
        <v>3520</v>
      </c>
      <c r="B762" t="s">
        <v>3521</v>
      </c>
      <c r="C762">
        <v>2020</v>
      </c>
      <c r="D762">
        <v>8001</v>
      </c>
      <c r="E762">
        <v>1</v>
      </c>
      <c r="F762" t="s">
        <v>3522</v>
      </c>
      <c r="G762">
        <v>29461609</v>
      </c>
      <c r="J762">
        <v>29.69</v>
      </c>
      <c r="L762">
        <v>46728609</v>
      </c>
      <c r="M762" s="1">
        <v>44230</v>
      </c>
      <c r="N762" t="str">
        <f>"EK210203"</f>
        <v>EK210203</v>
      </c>
      <c r="O762" t="s">
        <v>28</v>
      </c>
      <c r="Q762" t="s">
        <v>29</v>
      </c>
      <c r="R762" t="s">
        <v>28</v>
      </c>
      <c r="S762" t="s">
        <v>3523</v>
      </c>
      <c r="T762" t="s">
        <v>3524</v>
      </c>
      <c r="W762" t="s">
        <v>81</v>
      </c>
      <c r="X762" t="s">
        <v>34</v>
      </c>
      <c r="Y762" t="str">
        <f>"77469"</f>
        <v>77469</v>
      </c>
    </row>
    <row r="763" spans="1:25" x14ac:dyDescent="0.25">
      <c r="A763" t="s">
        <v>3525</v>
      </c>
      <c r="B763" t="s">
        <v>3526</v>
      </c>
      <c r="C763">
        <v>2020</v>
      </c>
      <c r="D763">
        <v>8001</v>
      </c>
      <c r="E763">
        <v>3</v>
      </c>
      <c r="F763" t="s">
        <v>3527</v>
      </c>
      <c r="G763">
        <v>30044381</v>
      </c>
      <c r="J763">
        <v>456.35</v>
      </c>
      <c r="L763">
        <v>47839128</v>
      </c>
      <c r="M763" s="1">
        <v>44491</v>
      </c>
      <c r="N763" t="str">
        <f>"O211022AE1"</f>
        <v>O211022AE1</v>
      </c>
      <c r="O763" t="s">
        <v>28</v>
      </c>
      <c r="Q763" t="s">
        <v>29</v>
      </c>
      <c r="R763" t="s">
        <v>28</v>
      </c>
      <c r="S763" t="s">
        <v>1816</v>
      </c>
      <c r="T763" t="s">
        <v>3528</v>
      </c>
      <c r="U763" t="s">
        <v>3529</v>
      </c>
      <c r="W763" t="s">
        <v>75</v>
      </c>
      <c r="X763" t="s">
        <v>34</v>
      </c>
      <c r="Y763" t="str">
        <f>"770272920"</f>
        <v>770272920</v>
      </c>
    </row>
    <row r="764" spans="1:25" x14ac:dyDescent="0.25">
      <c r="A764" t="s">
        <v>3530</v>
      </c>
      <c r="B764" t="s">
        <v>3531</v>
      </c>
      <c r="C764">
        <v>2021</v>
      </c>
      <c r="D764">
        <v>8001</v>
      </c>
      <c r="E764">
        <v>1</v>
      </c>
      <c r="F764" t="s">
        <v>3532</v>
      </c>
      <c r="G764">
        <v>0</v>
      </c>
      <c r="J764">
        <v>439.89</v>
      </c>
      <c r="L764">
        <v>48680046</v>
      </c>
      <c r="M764" s="1">
        <v>44557</v>
      </c>
      <c r="N764" t="str">
        <f>"L211227B"</f>
        <v>L211227B</v>
      </c>
      <c r="O764" t="s">
        <v>28</v>
      </c>
      <c r="Q764" t="s">
        <v>29</v>
      </c>
      <c r="R764" t="s">
        <v>28</v>
      </c>
      <c r="S764" t="s">
        <v>3532</v>
      </c>
      <c r="T764" t="s">
        <v>3533</v>
      </c>
      <c r="U764" t="s">
        <v>60</v>
      </c>
      <c r="V764" t="s">
        <v>60</v>
      </c>
      <c r="W764" t="s">
        <v>219</v>
      </c>
      <c r="X764" t="s">
        <v>34</v>
      </c>
      <c r="Y764" t="str">
        <f>"774792713   "</f>
        <v xml:space="preserve">774792713   </v>
      </c>
    </row>
    <row r="765" spans="1:25" x14ac:dyDescent="0.25">
      <c r="A765" t="s">
        <v>3534</v>
      </c>
      <c r="B765" t="s">
        <v>3535</v>
      </c>
      <c r="C765">
        <v>2020</v>
      </c>
      <c r="D765">
        <v>8001</v>
      </c>
      <c r="E765">
        <v>2</v>
      </c>
      <c r="F765" t="s">
        <v>3536</v>
      </c>
      <c r="G765">
        <v>29224504</v>
      </c>
      <c r="J765">
        <v>95.75</v>
      </c>
      <c r="L765">
        <v>47098392</v>
      </c>
      <c r="M765" s="1">
        <v>44270</v>
      </c>
      <c r="N765" t="str">
        <f>"RC210324"</f>
        <v>RC210324</v>
      </c>
      <c r="O765" t="s">
        <v>28</v>
      </c>
      <c r="Q765" t="s">
        <v>29</v>
      </c>
      <c r="R765" t="s">
        <v>28</v>
      </c>
      <c r="S765" t="s">
        <v>3537</v>
      </c>
      <c r="T765" t="s">
        <v>3538</v>
      </c>
      <c r="W765" t="s">
        <v>40</v>
      </c>
      <c r="X765" t="s">
        <v>34</v>
      </c>
      <c r="Y765" t="str">
        <f>"774785279"</f>
        <v>774785279</v>
      </c>
    </row>
    <row r="766" spans="1:25" x14ac:dyDescent="0.25">
      <c r="A766" t="s">
        <v>3539</v>
      </c>
      <c r="B766" t="s">
        <v>3540</v>
      </c>
      <c r="C766">
        <v>2020</v>
      </c>
      <c r="D766">
        <v>8001</v>
      </c>
      <c r="E766">
        <v>1</v>
      </c>
      <c r="F766" t="s">
        <v>3541</v>
      </c>
      <c r="G766">
        <v>27648632</v>
      </c>
      <c r="J766">
        <v>269.97000000000003</v>
      </c>
      <c r="L766">
        <v>46869790</v>
      </c>
      <c r="M766" s="1">
        <v>44235</v>
      </c>
      <c r="N766" t="str">
        <f>"RC210304"</f>
        <v>RC210304</v>
      </c>
      <c r="O766" t="s">
        <v>28</v>
      </c>
      <c r="Q766" t="s">
        <v>29</v>
      </c>
      <c r="R766" t="s">
        <v>28</v>
      </c>
      <c r="S766" t="s">
        <v>3542</v>
      </c>
      <c r="T766" t="s">
        <v>3543</v>
      </c>
      <c r="W766" t="s">
        <v>3272</v>
      </c>
      <c r="X766" t="s">
        <v>34</v>
      </c>
      <c r="Y766" t="str">
        <f>"78757"</f>
        <v>78757</v>
      </c>
    </row>
    <row r="767" spans="1:25" x14ac:dyDescent="0.25">
      <c r="A767" t="s">
        <v>3544</v>
      </c>
      <c r="B767" t="s">
        <v>3545</v>
      </c>
      <c r="C767">
        <v>2018</v>
      </c>
      <c r="D767">
        <v>8001</v>
      </c>
      <c r="E767">
        <v>6</v>
      </c>
      <c r="F767" t="s">
        <v>3546</v>
      </c>
      <c r="G767">
        <v>27328749</v>
      </c>
      <c r="J767">
        <v>19.71</v>
      </c>
      <c r="L767">
        <v>41063790</v>
      </c>
      <c r="M767" s="1">
        <v>43558</v>
      </c>
      <c r="N767" t="str">
        <f>"EK190403"</f>
        <v>EK190403</v>
      </c>
      <c r="O767" t="s">
        <v>28</v>
      </c>
      <c r="Q767" t="s">
        <v>29</v>
      </c>
      <c r="R767" t="s">
        <v>28</v>
      </c>
      <c r="S767" t="s">
        <v>3547</v>
      </c>
      <c r="T767" t="s">
        <v>3548</v>
      </c>
      <c r="W767" t="s">
        <v>392</v>
      </c>
      <c r="X767" t="s">
        <v>34</v>
      </c>
      <c r="Y767" t="str">
        <f>"77459"</f>
        <v>77459</v>
      </c>
    </row>
    <row r="768" spans="1:25" x14ac:dyDescent="0.25">
      <c r="A768" t="s">
        <v>3549</v>
      </c>
      <c r="B768" t="s">
        <v>3550</v>
      </c>
      <c r="C768">
        <v>2020</v>
      </c>
      <c r="D768">
        <v>8001</v>
      </c>
      <c r="E768">
        <v>3</v>
      </c>
      <c r="F768" t="s">
        <v>3551</v>
      </c>
      <c r="G768">
        <v>0</v>
      </c>
      <c r="J768">
        <v>7.34</v>
      </c>
      <c r="L768">
        <v>47682222</v>
      </c>
      <c r="M768" s="1">
        <v>44414</v>
      </c>
      <c r="N768" t="str">
        <f>"J210806BW1"</f>
        <v>J210806BW1</v>
      </c>
      <c r="O768" t="s">
        <v>28</v>
      </c>
      <c r="Q768" t="s">
        <v>29</v>
      </c>
      <c r="R768" t="s">
        <v>28</v>
      </c>
      <c r="S768" t="s">
        <v>3552</v>
      </c>
      <c r="T768" t="s">
        <v>3553</v>
      </c>
      <c r="U768" t="s">
        <v>60</v>
      </c>
      <c r="V768" t="s">
        <v>60</v>
      </c>
      <c r="W768" t="s">
        <v>135</v>
      </c>
      <c r="X768" t="s">
        <v>34</v>
      </c>
      <c r="Y768" t="str">
        <f>"770404094   "</f>
        <v xml:space="preserve">770404094   </v>
      </c>
    </row>
    <row r="769" spans="1:25" x14ac:dyDescent="0.25">
      <c r="A769" t="s">
        <v>3554</v>
      </c>
      <c r="B769" t="s">
        <v>3555</v>
      </c>
      <c r="C769">
        <v>2021</v>
      </c>
      <c r="D769">
        <v>8001</v>
      </c>
      <c r="E769">
        <v>2</v>
      </c>
      <c r="F769" t="s">
        <v>3556</v>
      </c>
      <c r="G769">
        <v>26710565</v>
      </c>
      <c r="J769">
        <v>86.44</v>
      </c>
      <c r="L769">
        <v>50089282</v>
      </c>
      <c r="M769" s="1">
        <v>44600</v>
      </c>
      <c r="N769" t="str">
        <f>"RC220314"</f>
        <v>RC220314</v>
      </c>
      <c r="O769" t="s">
        <v>28</v>
      </c>
      <c r="Q769" t="s">
        <v>29</v>
      </c>
      <c r="R769" t="s">
        <v>28</v>
      </c>
      <c r="S769" t="s">
        <v>285</v>
      </c>
      <c r="T769" t="s">
        <v>286</v>
      </c>
      <c r="W769" t="s">
        <v>75</v>
      </c>
      <c r="X769" t="s">
        <v>34</v>
      </c>
      <c r="Y769" t="str">
        <f>"770424240"</f>
        <v>770424240</v>
      </c>
    </row>
    <row r="770" spans="1:25" x14ac:dyDescent="0.25">
      <c r="A770" t="s">
        <v>3557</v>
      </c>
      <c r="B770" t="s">
        <v>3558</v>
      </c>
      <c r="C770">
        <v>2021</v>
      </c>
      <c r="D770">
        <v>8001</v>
      </c>
      <c r="E770">
        <v>2</v>
      </c>
      <c r="F770" t="s">
        <v>3559</v>
      </c>
      <c r="G770">
        <v>26710565</v>
      </c>
      <c r="J770">
        <v>86.44</v>
      </c>
      <c r="L770">
        <v>50089284</v>
      </c>
      <c r="M770" s="1">
        <v>44600</v>
      </c>
      <c r="N770" t="str">
        <f>"RC220314"</f>
        <v>RC220314</v>
      </c>
      <c r="O770" t="s">
        <v>28</v>
      </c>
      <c r="Q770" t="s">
        <v>29</v>
      </c>
      <c r="R770" t="s">
        <v>28</v>
      </c>
      <c r="S770" t="s">
        <v>285</v>
      </c>
      <c r="T770" t="s">
        <v>286</v>
      </c>
      <c r="W770" t="s">
        <v>75</v>
      </c>
      <c r="X770" t="s">
        <v>34</v>
      </c>
      <c r="Y770" t="str">
        <f>"770424240"</f>
        <v>770424240</v>
      </c>
    </row>
    <row r="771" spans="1:25" x14ac:dyDescent="0.25">
      <c r="A771" t="s">
        <v>3560</v>
      </c>
      <c r="B771" t="s">
        <v>3561</v>
      </c>
      <c r="C771">
        <v>2021</v>
      </c>
      <c r="D771">
        <v>8001</v>
      </c>
      <c r="E771">
        <v>1</v>
      </c>
      <c r="F771" t="s">
        <v>3562</v>
      </c>
      <c r="G771">
        <v>0</v>
      </c>
      <c r="J771">
        <v>86.44</v>
      </c>
      <c r="L771">
        <v>50008598</v>
      </c>
      <c r="M771" s="1">
        <v>44596</v>
      </c>
      <c r="N771" t="str">
        <f>"J220204K2"</f>
        <v>J220204K2</v>
      </c>
      <c r="O771" t="s">
        <v>28</v>
      </c>
      <c r="Q771" t="s">
        <v>29</v>
      </c>
      <c r="R771" t="s">
        <v>28</v>
      </c>
      <c r="S771" t="s">
        <v>2037</v>
      </c>
      <c r="T771" t="s">
        <v>3563</v>
      </c>
      <c r="U771" t="s">
        <v>3564</v>
      </c>
      <c r="V771" t="s">
        <v>60</v>
      </c>
      <c r="W771" t="s">
        <v>135</v>
      </c>
      <c r="X771" t="s">
        <v>34</v>
      </c>
      <c r="Y771" t="str">
        <f>"770424239   "</f>
        <v xml:space="preserve">770424239   </v>
      </c>
    </row>
    <row r="772" spans="1:25" x14ac:dyDescent="0.25">
      <c r="A772" t="s">
        <v>3565</v>
      </c>
      <c r="B772" t="s">
        <v>3566</v>
      </c>
      <c r="C772">
        <v>2019</v>
      </c>
      <c r="D772">
        <v>8001</v>
      </c>
      <c r="E772">
        <v>2</v>
      </c>
      <c r="F772" t="s">
        <v>3567</v>
      </c>
      <c r="G772">
        <v>27420716</v>
      </c>
      <c r="J772">
        <v>54.32</v>
      </c>
      <c r="L772">
        <v>43907833</v>
      </c>
      <c r="M772" s="1">
        <v>43899</v>
      </c>
      <c r="N772" t="str">
        <f>"J200309AW1"</f>
        <v>J200309AW1</v>
      </c>
      <c r="O772" t="s">
        <v>28</v>
      </c>
      <c r="Q772" t="s">
        <v>29</v>
      </c>
      <c r="R772" t="s">
        <v>28</v>
      </c>
      <c r="S772" t="s">
        <v>3568</v>
      </c>
      <c r="T772" t="s">
        <v>3569</v>
      </c>
      <c r="W772" t="s">
        <v>81</v>
      </c>
      <c r="X772" t="s">
        <v>34</v>
      </c>
      <c r="Y772" t="str">
        <f>"774077150"</f>
        <v>774077150</v>
      </c>
    </row>
    <row r="773" spans="1:25" x14ac:dyDescent="0.25">
      <c r="A773" t="s">
        <v>3570</v>
      </c>
      <c r="B773" t="s">
        <v>3571</v>
      </c>
      <c r="C773">
        <v>2021</v>
      </c>
      <c r="D773">
        <v>8001</v>
      </c>
      <c r="E773">
        <v>21</v>
      </c>
      <c r="F773" t="s">
        <v>3572</v>
      </c>
      <c r="G773">
        <v>0</v>
      </c>
      <c r="J773">
        <v>22.58</v>
      </c>
      <c r="L773">
        <v>47780254</v>
      </c>
      <c r="M773" s="1">
        <v>44516</v>
      </c>
      <c r="N773" t="str">
        <f>"TE211116"</f>
        <v>TE211116</v>
      </c>
      <c r="O773" t="s">
        <v>28</v>
      </c>
      <c r="Q773" t="s">
        <v>29</v>
      </c>
      <c r="R773" t="s">
        <v>28</v>
      </c>
      <c r="S773" t="s">
        <v>3572</v>
      </c>
      <c r="T773" t="s">
        <v>3573</v>
      </c>
      <c r="U773" t="s">
        <v>60</v>
      </c>
      <c r="V773" t="s">
        <v>60</v>
      </c>
      <c r="W773" t="s">
        <v>214</v>
      </c>
      <c r="X773" t="s">
        <v>34</v>
      </c>
      <c r="Y773" t="str">
        <f>"774074986   "</f>
        <v xml:space="preserve">774074986   </v>
      </c>
    </row>
    <row r="774" spans="1:25" x14ac:dyDescent="0.25">
      <c r="A774" t="s">
        <v>3574</v>
      </c>
      <c r="B774" t="s">
        <v>3575</v>
      </c>
      <c r="C774">
        <v>2021</v>
      </c>
      <c r="D774">
        <v>8001</v>
      </c>
      <c r="E774">
        <v>1</v>
      </c>
      <c r="F774" t="s">
        <v>3576</v>
      </c>
      <c r="G774">
        <v>0</v>
      </c>
      <c r="J774">
        <v>14.25</v>
      </c>
      <c r="L774">
        <v>50226456</v>
      </c>
      <c r="M774" s="1">
        <v>44617</v>
      </c>
      <c r="N774" t="str">
        <f>"QP220225"</f>
        <v>QP220225</v>
      </c>
      <c r="O774" t="s">
        <v>28</v>
      </c>
      <c r="Q774" t="s">
        <v>29</v>
      </c>
      <c r="R774" t="s">
        <v>28</v>
      </c>
      <c r="S774" t="s">
        <v>3576</v>
      </c>
      <c r="T774" t="s">
        <v>3577</v>
      </c>
      <c r="U774" t="s">
        <v>60</v>
      </c>
      <c r="V774" t="s">
        <v>60</v>
      </c>
      <c r="W774" t="s">
        <v>219</v>
      </c>
      <c r="X774" t="s">
        <v>34</v>
      </c>
      <c r="Y774" t="str">
        <f>"774982953   "</f>
        <v xml:space="preserve">774982953   </v>
      </c>
    </row>
    <row r="775" spans="1:25" x14ac:dyDescent="0.25">
      <c r="A775" t="s">
        <v>3578</v>
      </c>
      <c r="B775" t="s">
        <v>3579</v>
      </c>
      <c r="C775">
        <v>2018</v>
      </c>
      <c r="D775">
        <v>8001</v>
      </c>
      <c r="E775">
        <v>6</v>
      </c>
      <c r="F775" t="s">
        <v>3580</v>
      </c>
      <c r="G775">
        <v>27328819</v>
      </c>
      <c r="J775">
        <v>6.04</v>
      </c>
      <c r="L775">
        <v>41063908</v>
      </c>
      <c r="M775" s="1">
        <v>43558</v>
      </c>
      <c r="N775" t="str">
        <f>"CC190403"</f>
        <v>CC190403</v>
      </c>
      <c r="O775" t="s">
        <v>28</v>
      </c>
      <c r="Q775" t="s">
        <v>29</v>
      </c>
      <c r="R775" t="s">
        <v>28</v>
      </c>
      <c r="S775" t="s">
        <v>3581</v>
      </c>
      <c r="T775" t="s">
        <v>3582</v>
      </c>
      <c r="W775" t="s">
        <v>40</v>
      </c>
      <c r="X775" t="s">
        <v>34</v>
      </c>
      <c r="Y775" t="str">
        <f>"77498"</f>
        <v>77498</v>
      </c>
    </row>
    <row r="776" spans="1:25" x14ac:dyDescent="0.25">
      <c r="A776" t="s">
        <v>3583</v>
      </c>
      <c r="B776" t="s">
        <v>3584</v>
      </c>
      <c r="C776">
        <v>2019</v>
      </c>
      <c r="D776">
        <v>8001</v>
      </c>
      <c r="E776">
        <v>2</v>
      </c>
      <c r="F776" t="s">
        <v>3585</v>
      </c>
      <c r="G776">
        <v>0</v>
      </c>
      <c r="J776">
        <v>210.82</v>
      </c>
      <c r="L776">
        <v>43875680</v>
      </c>
      <c r="M776" s="1">
        <v>43894</v>
      </c>
      <c r="N776" t="str">
        <f>"L200304"</f>
        <v>L200304</v>
      </c>
      <c r="O776" t="s">
        <v>28</v>
      </c>
      <c r="Q776" t="s">
        <v>29</v>
      </c>
      <c r="R776" t="s">
        <v>28</v>
      </c>
      <c r="S776" t="s">
        <v>3585</v>
      </c>
      <c r="T776" t="s">
        <v>3586</v>
      </c>
      <c r="U776" t="s">
        <v>60</v>
      </c>
      <c r="V776" t="s">
        <v>60</v>
      </c>
      <c r="W776" t="s">
        <v>219</v>
      </c>
      <c r="X776" t="s">
        <v>34</v>
      </c>
      <c r="Y776" t="str">
        <f>"774794661   "</f>
        <v xml:space="preserve">774794661   </v>
      </c>
    </row>
    <row r="777" spans="1:25" x14ac:dyDescent="0.25">
      <c r="A777" t="s">
        <v>3587</v>
      </c>
      <c r="B777" t="s">
        <v>3588</v>
      </c>
      <c r="C777">
        <v>2019</v>
      </c>
      <c r="D777">
        <v>8001</v>
      </c>
      <c r="E777">
        <v>2</v>
      </c>
      <c r="F777" t="s">
        <v>3589</v>
      </c>
      <c r="G777">
        <v>28221915</v>
      </c>
      <c r="J777">
        <v>43.76</v>
      </c>
      <c r="L777">
        <v>43774402</v>
      </c>
      <c r="M777" s="1">
        <v>43882</v>
      </c>
      <c r="N777" t="str">
        <f>"J200221K1"</f>
        <v>J200221K1</v>
      </c>
      <c r="O777" t="s">
        <v>28</v>
      </c>
      <c r="Q777" t="s">
        <v>29</v>
      </c>
      <c r="R777" t="s">
        <v>28</v>
      </c>
      <c r="S777" t="s">
        <v>3590</v>
      </c>
      <c r="T777" t="s">
        <v>3591</v>
      </c>
      <c r="U777" t="s">
        <v>1266</v>
      </c>
      <c r="W777" t="s">
        <v>332</v>
      </c>
      <c r="X777" t="s">
        <v>34</v>
      </c>
      <c r="Y777" t="str">
        <f>"752359788"</f>
        <v>752359788</v>
      </c>
    </row>
    <row r="778" spans="1:25" x14ac:dyDescent="0.25">
      <c r="A778" t="s">
        <v>3592</v>
      </c>
      <c r="B778" t="s">
        <v>3593</v>
      </c>
      <c r="C778">
        <v>2021</v>
      </c>
      <c r="D778">
        <v>8001</v>
      </c>
      <c r="E778">
        <v>1</v>
      </c>
      <c r="F778" t="s">
        <v>3594</v>
      </c>
      <c r="G778">
        <v>29655411</v>
      </c>
      <c r="J778">
        <v>228.84</v>
      </c>
      <c r="L778">
        <v>49957918</v>
      </c>
      <c r="M778" s="1">
        <v>44595</v>
      </c>
      <c r="N778" t="str">
        <f>"RC220303"</f>
        <v>RC220303</v>
      </c>
      <c r="O778" t="s">
        <v>28</v>
      </c>
      <c r="Q778" t="s">
        <v>29</v>
      </c>
      <c r="R778" t="s">
        <v>28</v>
      </c>
      <c r="S778" t="s">
        <v>3595</v>
      </c>
      <c r="T778" t="s">
        <v>3596</v>
      </c>
      <c r="W778" t="s">
        <v>75</v>
      </c>
      <c r="X778" t="s">
        <v>34</v>
      </c>
      <c r="Y778" t="str">
        <f>"770791707"</f>
        <v>770791707</v>
      </c>
    </row>
    <row r="779" spans="1:25" x14ac:dyDescent="0.25">
      <c r="A779" t="s">
        <v>3597</v>
      </c>
      <c r="B779" t="s">
        <v>3598</v>
      </c>
      <c r="C779">
        <v>2019</v>
      </c>
      <c r="D779">
        <v>8001</v>
      </c>
      <c r="E779">
        <v>11</v>
      </c>
      <c r="F779" t="s">
        <v>3599</v>
      </c>
      <c r="G779">
        <v>0</v>
      </c>
      <c r="J779">
        <v>484.51</v>
      </c>
      <c r="L779">
        <v>42538824</v>
      </c>
      <c r="M779" s="1">
        <v>43830</v>
      </c>
      <c r="N779" t="str">
        <f>"L191231"</f>
        <v>L191231</v>
      </c>
      <c r="O779" t="s">
        <v>28</v>
      </c>
      <c r="Q779" t="s">
        <v>29</v>
      </c>
      <c r="R779" t="s">
        <v>28</v>
      </c>
      <c r="S779" t="s">
        <v>3599</v>
      </c>
      <c r="T779" t="s">
        <v>3600</v>
      </c>
      <c r="U779" t="s">
        <v>60</v>
      </c>
      <c r="V779" t="s">
        <v>60</v>
      </c>
      <c r="W779" t="s">
        <v>1333</v>
      </c>
      <c r="X779" t="s">
        <v>34</v>
      </c>
      <c r="Y779" t="str">
        <f>"774895044   "</f>
        <v xml:space="preserve">774895044   </v>
      </c>
    </row>
    <row r="780" spans="1:25" x14ac:dyDescent="0.25">
      <c r="A780" t="s">
        <v>3601</v>
      </c>
      <c r="B780" t="s">
        <v>3602</v>
      </c>
      <c r="C780">
        <v>2020</v>
      </c>
      <c r="D780">
        <v>8001</v>
      </c>
      <c r="E780">
        <v>1</v>
      </c>
      <c r="F780" t="s">
        <v>3603</v>
      </c>
      <c r="G780">
        <v>22783607</v>
      </c>
      <c r="J780">
        <v>960.57</v>
      </c>
      <c r="L780">
        <v>45356734</v>
      </c>
      <c r="M780" s="1">
        <v>44183</v>
      </c>
      <c r="N780" t="str">
        <f>"RC210107"</f>
        <v>RC210107</v>
      </c>
      <c r="O780" t="s">
        <v>28</v>
      </c>
      <c r="Q780" t="s">
        <v>29</v>
      </c>
      <c r="R780" t="s">
        <v>28</v>
      </c>
      <c r="S780" t="s">
        <v>3604</v>
      </c>
      <c r="T780" t="s">
        <v>203</v>
      </c>
      <c r="U780" t="s">
        <v>3605</v>
      </c>
      <c r="W780" t="s">
        <v>1075</v>
      </c>
      <c r="X780" t="s">
        <v>34</v>
      </c>
      <c r="Y780" t="str">
        <f>"761024528"</f>
        <v>761024528</v>
      </c>
    </row>
    <row r="781" spans="1:25" x14ac:dyDescent="0.25">
      <c r="A781" t="s">
        <v>3606</v>
      </c>
      <c r="B781" t="s">
        <v>3607</v>
      </c>
      <c r="C781">
        <v>2020</v>
      </c>
      <c r="D781">
        <v>8001</v>
      </c>
      <c r="E781">
        <v>3</v>
      </c>
      <c r="F781" t="s">
        <v>3608</v>
      </c>
      <c r="G781">
        <v>29855862</v>
      </c>
      <c r="J781">
        <v>17.690000000000001</v>
      </c>
      <c r="L781">
        <v>47493659</v>
      </c>
      <c r="M781" s="1">
        <v>44350</v>
      </c>
      <c r="N781" t="str">
        <f>"EK210603"</f>
        <v>EK210603</v>
      </c>
      <c r="O781" t="s">
        <v>28</v>
      </c>
      <c r="Q781" t="s">
        <v>29</v>
      </c>
      <c r="R781" t="s">
        <v>28</v>
      </c>
      <c r="S781" t="s">
        <v>3609</v>
      </c>
      <c r="T781" t="s">
        <v>3610</v>
      </c>
      <c r="W781" t="s">
        <v>3611</v>
      </c>
      <c r="X781" t="s">
        <v>34</v>
      </c>
      <c r="Y781" t="str">
        <f>"77477"</f>
        <v>77477</v>
      </c>
    </row>
    <row r="782" spans="1:25" x14ac:dyDescent="0.25">
      <c r="A782" t="s">
        <v>3612</v>
      </c>
      <c r="B782" t="s">
        <v>3613</v>
      </c>
      <c r="C782">
        <v>2020</v>
      </c>
      <c r="D782">
        <v>8001</v>
      </c>
      <c r="E782">
        <v>4</v>
      </c>
      <c r="F782" t="s">
        <v>3614</v>
      </c>
      <c r="G782">
        <v>27298891</v>
      </c>
      <c r="J782">
        <v>21.96</v>
      </c>
      <c r="L782">
        <v>47379264</v>
      </c>
      <c r="M782" s="1">
        <v>44323</v>
      </c>
      <c r="N782" t="str">
        <f>"O210507BV6"</f>
        <v>O210507BV6</v>
      </c>
      <c r="O782" t="s">
        <v>28</v>
      </c>
      <c r="Q782" t="s">
        <v>29</v>
      </c>
      <c r="R782" t="s">
        <v>28</v>
      </c>
      <c r="S782" t="s">
        <v>3615</v>
      </c>
      <c r="T782" t="s">
        <v>3616</v>
      </c>
      <c r="U782" t="s">
        <v>3617</v>
      </c>
      <c r="W782" t="s">
        <v>371</v>
      </c>
      <c r="X782" t="s">
        <v>34</v>
      </c>
      <c r="Y782" t="str">
        <f>"774772259"</f>
        <v>774772259</v>
      </c>
    </row>
    <row r="783" spans="1:25" x14ac:dyDescent="0.25">
      <c r="A783" t="s">
        <v>3618</v>
      </c>
      <c r="B783" t="s">
        <v>3619</v>
      </c>
      <c r="C783">
        <v>2019</v>
      </c>
      <c r="D783">
        <v>8001</v>
      </c>
      <c r="E783">
        <v>1</v>
      </c>
      <c r="F783" t="s">
        <v>3620</v>
      </c>
      <c r="G783">
        <v>22993312</v>
      </c>
      <c r="J783">
        <v>16.61</v>
      </c>
      <c r="L783">
        <v>44288768</v>
      </c>
      <c r="M783" s="1">
        <v>43990</v>
      </c>
      <c r="N783" t="str">
        <f>"J200608K5"</f>
        <v>J200608K5</v>
      </c>
      <c r="O783" t="s">
        <v>28</v>
      </c>
      <c r="Q783" t="s">
        <v>29</v>
      </c>
      <c r="R783" t="s">
        <v>28</v>
      </c>
      <c r="S783" t="s">
        <v>1794</v>
      </c>
      <c r="T783" t="s">
        <v>1795</v>
      </c>
      <c r="W783" t="s">
        <v>1615</v>
      </c>
      <c r="X783" t="s">
        <v>143</v>
      </c>
      <c r="Y783" t="str">
        <f>"191156320"</f>
        <v>191156320</v>
      </c>
    </row>
    <row r="784" spans="1:25" x14ac:dyDescent="0.25">
      <c r="A784" t="s">
        <v>3621</v>
      </c>
      <c r="B784" t="s">
        <v>3622</v>
      </c>
      <c r="C784">
        <v>2019</v>
      </c>
      <c r="D784">
        <v>8001</v>
      </c>
      <c r="E784">
        <v>1</v>
      </c>
      <c r="F784" t="s">
        <v>3623</v>
      </c>
      <c r="G784">
        <v>25213402</v>
      </c>
      <c r="J784">
        <v>681.68</v>
      </c>
      <c r="L784">
        <v>42844087</v>
      </c>
      <c r="M784" s="1">
        <v>43843</v>
      </c>
      <c r="N784" t="str">
        <f>"J200113K13"</f>
        <v>J200113K13</v>
      </c>
      <c r="O784" t="s">
        <v>28</v>
      </c>
      <c r="Q784" t="s">
        <v>29</v>
      </c>
      <c r="R784" t="s">
        <v>28</v>
      </c>
      <c r="S784" t="s">
        <v>3624</v>
      </c>
      <c r="T784" t="s">
        <v>3625</v>
      </c>
      <c r="U784" t="s">
        <v>3626</v>
      </c>
      <c r="W784" t="s">
        <v>33</v>
      </c>
      <c r="X784" t="s">
        <v>34</v>
      </c>
      <c r="Y784" t="str">
        <f>"75075"</f>
        <v>75075</v>
      </c>
    </row>
    <row r="785" spans="1:25" x14ac:dyDescent="0.25">
      <c r="A785" t="s">
        <v>3627</v>
      </c>
      <c r="B785" t="s">
        <v>3628</v>
      </c>
      <c r="C785">
        <v>2020</v>
      </c>
      <c r="D785">
        <v>8001</v>
      </c>
      <c r="E785">
        <v>1</v>
      </c>
      <c r="F785" t="s">
        <v>3629</v>
      </c>
      <c r="G785">
        <v>29461914</v>
      </c>
      <c r="J785">
        <v>237.82</v>
      </c>
      <c r="L785">
        <v>46728914</v>
      </c>
      <c r="M785" s="1">
        <v>44230</v>
      </c>
      <c r="N785" t="str">
        <f>"EK210203"</f>
        <v>EK210203</v>
      </c>
      <c r="O785" t="s">
        <v>28</v>
      </c>
      <c r="Q785" t="s">
        <v>29</v>
      </c>
      <c r="R785" t="s">
        <v>28</v>
      </c>
      <c r="S785" t="s">
        <v>3630</v>
      </c>
      <c r="T785" t="s">
        <v>3631</v>
      </c>
      <c r="W785" t="s">
        <v>392</v>
      </c>
      <c r="X785" t="s">
        <v>34</v>
      </c>
      <c r="Y785" t="str">
        <f>"77459"</f>
        <v>77459</v>
      </c>
    </row>
    <row r="786" spans="1:25" x14ac:dyDescent="0.25">
      <c r="A786" t="s">
        <v>3632</v>
      </c>
      <c r="B786" t="s">
        <v>3633</v>
      </c>
      <c r="C786">
        <v>2021</v>
      </c>
      <c r="D786">
        <v>8001</v>
      </c>
      <c r="E786">
        <v>1</v>
      </c>
      <c r="F786" t="s">
        <v>3634</v>
      </c>
      <c r="G786">
        <v>30513017</v>
      </c>
      <c r="J786">
        <v>49.31</v>
      </c>
      <c r="L786">
        <v>48537635</v>
      </c>
      <c r="M786" s="1">
        <v>44547</v>
      </c>
      <c r="N786" t="str">
        <f>"RC220114"</f>
        <v>RC220114</v>
      </c>
      <c r="O786" t="s">
        <v>28</v>
      </c>
      <c r="Q786" t="s">
        <v>29</v>
      </c>
      <c r="R786" t="s">
        <v>28</v>
      </c>
      <c r="S786" t="s">
        <v>3635</v>
      </c>
      <c r="T786" t="s">
        <v>3636</v>
      </c>
      <c r="U786" t="s">
        <v>3637</v>
      </c>
      <c r="V786" t="s">
        <v>3638</v>
      </c>
      <c r="W786" t="s">
        <v>107</v>
      </c>
      <c r="X786" t="s">
        <v>34</v>
      </c>
      <c r="Y786" t="str">
        <f>"77450"</f>
        <v>77450</v>
      </c>
    </row>
    <row r="787" spans="1:25" x14ac:dyDescent="0.25">
      <c r="A787" t="s">
        <v>3639</v>
      </c>
      <c r="B787" t="s">
        <v>3640</v>
      </c>
      <c r="C787">
        <v>2020</v>
      </c>
      <c r="D787">
        <v>8001</v>
      </c>
      <c r="E787">
        <v>1</v>
      </c>
      <c r="F787" t="s">
        <v>3641</v>
      </c>
      <c r="G787">
        <v>0</v>
      </c>
      <c r="J787">
        <v>796.05</v>
      </c>
      <c r="L787">
        <v>46674172</v>
      </c>
      <c r="M787" s="1">
        <v>44229</v>
      </c>
      <c r="N787" t="str">
        <f>"L210202"</f>
        <v>L210202</v>
      </c>
      <c r="O787" t="s">
        <v>28</v>
      </c>
      <c r="Q787" t="s">
        <v>29</v>
      </c>
      <c r="R787" t="s">
        <v>28</v>
      </c>
      <c r="S787" t="s">
        <v>3641</v>
      </c>
      <c r="T787" t="s">
        <v>3642</v>
      </c>
      <c r="U787" t="s">
        <v>60</v>
      </c>
      <c r="V787" t="s">
        <v>60</v>
      </c>
      <c r="W787" t="s">
        <v>219</v>
      </c>
      <c r="X787" t="s">
        <v>34</v>
      </c>
      <c r="Y787" t="str">
        <f>"774966698   "</f>
        <v xml:space="preserve">774966698   </v>
      </c>
    </row>
    <row r="788" spans="1:25" x14ac:dyDescent="0.25">
      <c r="A788" t="s">
        <v>3643</v>
      </c>
      <c r="B788" t="s">
        <v>3644</v>
      </c>
      <c r="C788">
        <v>2020</v>
      </c>
      <c r="D788">
        <v>8001</v>
      </c>
      <c r="E788">
        <v>1</v>
      </c>
      <c r="F788" t="s">
        <v>3645</v>
      </c>
      <c r="G788">
        <v>0</v>
      </c>
      <c r="J788">
        <v>45.21</v>
      </c>
      <c r="L788">
        <v>47020749</v>
      </c>
      <c r="M788" s="1">
        <v>44258</v>
      </c>
      <c r="N788" t="str">
        <f>"L210303"</f>
        <v>L210303</v>
      </c>
      <c r="O788" t="s">
        <v>28</v>
      </c>
      <c r="Q788" t="s">
        <v>29</v>
      </c>
      <c r="R788" t="s">
        <v>28</v>
      </c>
      <c r="S788" t="s">
        <v>3645</v>
      </c>
      <c r="T788" t="s">
        <v>3646</v>
      </c>
      <c r="U788" t="s">
        <v>60</v>
      </c>
      <c r="V788" t="s">
        <v>60</v>
      </c>
      <c r="W788" t="s">
        <v>135</v>
      </c>
      <c r="X788" t="s">
        <v>34</v>
      </c>
      <c r="Y788" t="str">
        <f>"770832904   "</f>
        <v xml:space="preserve">770832904   </v>
      </c>
    </row>
    <row r="789" spans="1:25" x14ac:dyDescent="0.25">
      <c r="A789" t="s">
        <v>3647</v>
      </c>
      <c r="B789" t="s">
        <v>3648</v>
      </c>
      <c r="C789">
        <v>2019</v>
      </c>
      <c r="D789">
        <v>8001</v>
      </c>
      <c r="E789">
        <v>5</v>
      </c>
      <c r="F789" t="s">
        <v>3649</v>
      </c>
      <c r="G789">
        <v>24703175</v>
      </c>
      <c r="J789">
        <v>81.69</v>
      </c>
      <c r="L789">
        <v>44113770</v>
      </c>
      <c r="M789" s="1">
        <v>43951</v>
      </c>
      <c r="N789" t="str">
        <f>"S200430U1"</f>
        <v>S200430U1</v>
      </c>
      <c r="O789" t="s">
        <v>28</v>
      </c>
      <c r="Q789" t="s">
        <v>29</v>
      </c>
      <c r="R789" t="s">
        <v>28</v>
      </c>
      <c r="S789" t="s">
        <v>3650</v>
      </c>
      <c r="T789" t="s">
        <v>3651</v>
      </c>
      <c r="W789" t="s">
        <v>75</v>
      </c>
      <c r="X789" t="s">
        <v>34</v>
      </c>
      <c r="Y789" t="str">
        <f>"770141345"</f>
        <v>770141345</v>
      </c>
    </row>
    <row r="790" spans="1:25" x14ac:dyDescent="0.25">
      <c r="A790" t="s">
        <v>3652</v>
      </c>
      <c r="B790" t="s">
        <v>3653</v>
      </c>
      <c r="C790">
        <v>2018</v>
      </c>
      <c r="D790">
        <v>8001</v>
      </c>
      <c r="E790">
        <v>7</v>
      </c>
      <c r="F790" t="s">
        <v>3654</v>
      </c>
      <c r="G790">
        <v>25048477</v>
      </c>
      <c r="J790">
        <v>9.33</v>
      </c>
      <c r="L790">
        <v>41480053</v>
      </c>
      <c r="M790" s="1">
        <v>43684</v>
      </c>
      <c r="N790" t="str">
        <f>"J190807K1"</f>
        <v>J190807K1</v>
      </c>
      <c r="O790" t="s">
        <v>28</v>
      </c>
      <c r="Q790" t="s">
        <v>29</v>
      </c>
      <c r="R790" t="s">
        <v>28</v>
      </c>
      <c r="S790" t="s">
        <v>2579</v>
      </c>
      <c r="T790" t="s">
        <v>2052</v>
      </c>
      <c r="W790" t="s">
        <v>1328</v>
      </c>
      <c r="X790" t="s">
        <v>162</v>
      </c>
      <c r="Y790" t="str">
        <f>"080545452"</f>
        <v>080545452</v>
      </c>
    </row>
    <row r="791" spans="1:25" x14ac:dyDescent="0.25">
      <c r="A791" t="s">
        <v>3655</v>
      </c>
      <c r="B791" t="s">
        <v>3656</v>
      </c>
      <c r="C791">
        <v>2020</v>
      </c>
      <c r="D791">
        <v>8001</v>
      </c>
      <c r="E791">
        <v>1</v>
      </c>
      <c r="F791" t="s">
        <v>3657</v>
      </c>
      <c r="G791">
        <v>29489436</v>
      </c>
      <c r="J791">
        <v>171</v>
      </c>
      <c r="L791">
        <v>46782135</v>
      </c>
      <c r="M791" s="1">
        <v>44231</v>
      </c>
      <c r="N791" t="str">
        <f>"CC210204"</f>
        <v>CC210204</v>
      </c>
      <c r="O791" t="s">
        <v>28</v>
      </c>
      <c r="Q791" t="s">
        <v>29</v>
      </c>
      <c r="R791" t="s">
        <v>28</v>
      </c>
      <c r="S791" t="s">
        <v>3658</v>
      </c>
      <c r="T791" t="s">
        <v>3659</v>
      </c>
      <c r="W791" t="s">
        <v>75</v>
      </c>
      <c r="X791" t="s">
        <v>34</v>
      </c>
      <c r="Y791" t="str">
        <f>"77254"</f>
        <v>77254</v>
      </c>
    </row>
    <row r="792" spans="1:25" x14ac:dyDescent="0.25">
      <c r="A792" t="s">
        <v>3660</v>
      </c>
      <c r="B792" t="s">
        <v>3661</v>
      </c>
      <c r="C792">
        <v>2019</v>
      </c>
      <c r="D792">
        <v>8001</v>
      </c>
      <c r="E792">
        <v>1</v>
      </c>
      <c r="F792" t="s">
        <v>3662</v>
      </c>
      <c r="G792">
        <v>25409125</v>
      </c>
      <c r="J792">
        <v>18</v>
      </c>
      <c r="L792">
        <v>43597516</v>
      </c>
      <c r="M792" s="1">
        <v>43866</v>
      </c>
      <c r="N792" t="str">
        <f>"J200205AW8"</f>
        <v>J200205AW8</v>
      </c>
      <c r="O792" t="s">
        <v>28</v>
      </c>
      <c r="Q792" t="s">
        <v>29</v>
      </c>
      <c r="R792" t="s">
        <v>28</v>
      </c>
      <c r="S792" t="s">
        <v>3663</v>
      </c>
      <c r="T792" t="s">
        <v>3664</v>
      </c>
      <c r="W792" t="s">
        <v>3665</v>
      </c>
      <c r="X792" t="s">
        <v>169</v>
      </c>
      <c r="Y792" t="str">
        <f>"801264203"</f>
        <v>801264203</v>
      </c>
    </row>
    <row r="793" spans="1:25" x14ac:dyDescent="0.25">
      <c r="A793" t="s">
        <v>3666</v>
      </c>
      <c r="B793" t="s">
        <v>3667</v>
      </c>
      <c r="C793">
        <v>2020</v>
      </c>
      <c r="D793">
        <v>8001</v>
      </c>
      <c r="E793">
        <v>1</v>
      </c>
      <c r="F793" t="s">
        <v>3668</v>
      </c>
      <c r="G793">
        <v>0</v>
      </c>
      <c r="J793">
        <v>205.54</v>
      </c>
      <c r="L793">
        <v>45881464</v>
      </c>
      <c r="M793" s="1">
        <v>44207</v>
      </c>
      <c r="N793" t="str">
        <f>"L210111"</f>
        <v>L210111</v>
      </c>
      <c r="O793" t="s">
        <v>28</v>
      </c>
      <c r="Q793" t="s">
        <v>29</v>
      </c>
      <c r="R793" t="s">
        <v>28</v>
      </c>
      <c r="S793" t="s">
        <v>3668</v>
      </c>
      <c r="T793" t="s">
        <v>3669</v>
      </c>
      <c r="U793" t="s">
        <v>60</v>
      </c>
      <c r="V793" t="s">
        <v>60</v>
      </c>
      <c r="W793" t="s">
        <v>135</v>
      </c>
      <c r="X793" t="s">
        <v>34</v>
      </c>
      <c r="Y793" t="str">
        <f>"770834930   "</f>
        <v xml:space="preserve">770834930   </v>
      </c>
    </row>
    <row r="794" spans="1:25" x14ac:dyDescent="0.25">
      <c r="A794" t="s">
        <v>3670</v>
      </c>
      <c r="B794" t="s">
        <v>3671</v>
      </c>
      <c r="C794">
        <v>2019</v>
      </c>
      <c r="D794">
        <v>8001</v>
      </c>
      <c r="E794">
        <v>2</v>
      </c>
      <c r="F794" t="s">
        <v>3672</v>
      </c>
      <c r="G794">
        <v>0</v>
      </c>
      <c r="J794">
        <v>14.4</v>
      </c>
      <c r="L794">
        <v>43998755</v>
      </c>
      <c r="M794" s="1">
        <v>43920</v>
      </c>
      <c r="N794" t="str">
        <f>"J200330AW3"</f>
        <v>J200330AW3</v>
      </c>
      <c r="O794" t="s">
        <v>28</v>
      </c>
      <c r="Q794" t="s">
        <v>29</v>
      </c>
      <c r="R794" t="s">
        <v>28</v>
      </c>
      <c r="S794" t="s">
        <v>3672</v>
      </c>
      <c r="T794" t="s">
        <v>3673</v>
      </c>
      <c r="U794" t="s">
        <v>60</v>
      </c>
      <c r="V794" t="s">
        <v>60</v>
      </c>
      <c r="W794" t="s">
        <v>135</v>
      </c>
      <c r="X794" t="s">
        <v>34</v>
      </c>
      <c r="Y794" t="str">
        <f>"770834919   "</f>
        <v xml:space="preserve">770834919   </v>
      </c>
    </row>
    <row r="795" spans="1:25" x14ac:dyDescent="0.25">
      <c r="A795" t="s">
        <v>3674</v>
      </c>
      <c r="B795" t="s">
        <v>3675</v>
      </c>
      <c r="C795">
        <v>2020</v>
      </c>
      <c r="D795">
        <v>8001</v>
      </c>
      <c r="E795">
        <v>1</v>
      </c>
      <c r="F795" t="s">
        <v>3676</v>
      </c>
      <c r="G795">
        <v>24540489</v>
      </c>
      <c r="J795">
        <v>413.61</v>
      </c>
      <c r="L795">
        <v>44643410</v>
      </c>
      <c r="M795" s="1">
        <v>44147</v>
      </c>
      <c r="N795" t="str">
        <f>"TE201112"</f>
        <v>TE201112</v>
      </c>
      <c r="O795" t="s">
        <v>28</v>
      </c>
      <c r="Q795" t="s">
        <v>29</v>
      </c>
      <c r="R795" t="s">
        <v>28</v>
      </c>
      <c r="S795" t="s">
        <v>3677</v>
      </c>
      <c r="T795" t="s">
        <v>3625</v>
      </c>
      <c r="U795" t="s">
        <v>3678</v>
      </c>
      <c r="W795" t="s">
        <v>33</v>
      </c>
      <c r="X795" t="s">
        <v>34</v>
      </c>
      <c r="Y795" t="str">
        <f>"75075"</f>
        <v>75075</v>
      </c>
    </row>
    <row r="796" spans="1:25" x14ac:dyDescent="0.25">
      <c r="A796" t="s">
        <v>3679</v>
      </c>
      <c r="B796" t="s">
        <v>3680</v>
      </c>
      <c r="C796">
        <v>2019</v>
      </c>
      <c r="D796">
        <v>8001</v>
      </c>
      <c r="E796">
        <v>2</v>
      </c>
      <c r="F796" t="s">
        <v>3681</v>
      </c>
      <c r="G796">
        <v>25560244</v>
      </c>
      <c r="J796">
        <v>35.369999999999997</v>
      </c>
      <c r="L796">
        <v>44130342</v>
      </c>
      <c r="M796" s="1">
        <v>43956</v>
      </c>
      <c r="N796" t="str">
        <f>"J200505AW2"</f>
        <v>J200505AW2</v>
      </c>
      <c r="O796" t="s">
        <v>28</v>
      </c>
      <c r="Q796" t="s">
        <v>29</v>
      </c>
      <c r="R796" t="s">
        <v>28</v>
      </c>
      <c r="S796" t="s">
        <v>2042</v>
      </c>
      <c r="T796" t="s">
        <v>3682</v>
      </c>
      <c r="U796" t="s">
        <v>3683</v>
      </c>
      <c r="V796" t="s">
        <v>562</v>
      </c>
      <c r="W796" t="s">
        <v>563</v>
      </c>
      <c r="X796" t="s">
        <v>34</v>
      </c>
      <c r="Y796" t="str">
        <f>"750630156"</f>
        <v>750630156</v>
      </c>
    </row>
    <row r="797" spans="1:25" x14ac:dyDescent="0.25">
      <c r="A797" t="s">
        <v>3684</v>
      </c>
      <c r="B797" t="s">
        <v>3685</v>
      </c>
      <c r="C797">
        <v>2021</v>
      </c>
      <c r="D797">
        <v>8001</v>
      </c>
      <c r="E797">
        <v>1</v>
      </c>
      <c r="F797" t="s">
        <v>3686</v>
      </c>
      <c r="G797">
        <v>29770481</v>
      </c>
      <c r="J797">
        <v>222.74</v>
      </c>
      <c r="L797">
        <v>49597727</v>
      </c>
      <c r="M797" s="1">
        <v>44588</v>
      </c>
      <c r="N797" t="str">
        <f>"RC220309"</f>
        <v>RC220309</v>
      </c>
      <c r="O797" t="s">
        <v>28</v>
      </c>
      <c r="Q797" t="s">
        <v>29</v>
      </c>
      <c r="R797" t="s">
        <v>28</v>
      </c>
      <c r="S797" t="s">
        <v>3687</v>
      </c>
      <c r="T797" t="s">
        <v>3688</v>
      </c>
      <c r="W797" t="s">
        <v>112</v>
      </c>
      <c r="X797" t="s">
        <v>34</v>
      </c>
      <c r="Y797" t="str">
        <f>"774782987"</f>
        <v>774782987</v>
      </c>
    </row>
    <row r="798" spans="1:25" x14ac:dyDescent="0.25">
      <c r="A798" t="s">
        <v>3689</v>
      </c>
      <c r="B798" t="s">
        <v>3690</v>
      </c>
      <c r="C798">
        <v>2019</v>
      </c>
      <c r="D798">
        <v>8001</v>
      </c>
      <c r="E798">
        <v>1</v>
      </c>
      <c r="F798" t="s">
        <v>3691</v>
      </c>
      <c r="G798">
        <v>27426072</v>
      </c>
      <c r="J798">
        <v>165.9</v>
      </c>
      <c r="L798">
        <v>43615503</v>
      </c>
      <c r="M798" s="1">
        <v>43866</v>
      </c>
      <c r="N798" t="str">
        <f>"J200205AW18"</f>
        <v>J200205AW18</v>
      </c>
      <c r="O798" t="s">
        <v>28</v>
      </c>
      <c r="Q798" t="s">
        <v>29</v>
      </c>
      <c r="R798" t="s">
        <v>28</v>
      </c>
      <c r="S798" t="s">
        <v>178</v>
      </c>
      <c r="T798" t="s">
        <v>179</v>
      </c>
      <c r="U798" t="s">
        <v>180</v>
      </c>
      <c r="W798" t="s">
        <v>107</v>
      </c>
      <c r="X798" t="s">
        <v>34</v>
      </c>
      <c r="Y798" t="str">
        <f>"774943095"</f>
        <v>774943095</v>
      </c>
    </row>
    <row r="799" spans="1:25" x14ac:dyDescent="0.25">
      <c r="A799" t="s">
        <v>3692</v>
      </c>
      <c r="B799" t="s">
        <v>3693</v>
      </c>
      <c r="C799">
        <v>2021</v>
      </c>
      <c r="D799">
        <v>8001</v>
      </c>
      <c r="E799">
        <v>7</v>
      </c>
      <c r="F799" t="s">
        <v>3694</v>
      </c>
      <c r="G799">
        <v>29932721</v>
      </c>
      <c r="J799">
        <v>40.46</v>
      </c>
      <c r="L799">
        <v>47697751</v>
      </c>
      <c r="M799" s="1">
        <v>44516</v>
      </c>
      <c r="N799" t="str">
        <f>"TE211116"</f>
        <v>TE211116</v>
      </c>
      <c r="O799" t="s">
        <v>28</v>
      </c>
      <c r="Q799" t="s">
        <v>29</v>
      </c>
      <c r="R799" t="s">
        <v>28</v>
      </c>
      <c r="S799" t="s">
        <v>3695</v>
      </c>
      <c r="T799" t="s">
        <v>3696</v>
      </c>
      <c r="W799" t="s">
        <v>75</v>
      </c>
      <c r="X799" t="s">
        <v>34</v>
      </c>
      <c r="Y799" t="str">
        <f>"770835389"</f>
        <v>770835389</v>
      </c>
    </row>
    <row r="800" spans="1:25" x14ac:dyDescent="0.25">
      <c r="A800" t="s">
        <v>3697</v>
      </c>
      <c r="B800" t="s">
        <v>3698</v>
      </c>
      <c r="C800">
        <v>2021</v>
      </c>
      <c r="D800">
        <v>8001</v>
      </c>
      <c r="E800">
        <v>1</v>
      </c>
      <c r="F800" t="s">
        <v>3699</v>
      </c>
      <c r="G800">
        <v>0</v>
      </c>
      <c r="J800">
        <v>72.42</v>
      </c>
      <c r="L800">
        <v>49065975</v>
      </c>
      <c r="M800" s="1">
        <v>44571</v>
      </c>
      <c r="N800" t="str">
        <f>"J220110BW11"</f>
        <v>J220110BW11</v>
      </c>
      <c r="O800" t="s">
        <v>28</v>
      </c>
      <c r="Q800" t="s">
        <v>29</v>
      </c>
      <c r="R800" t="s">
        <v>28</v>
      </c>
      <c r="S800" t="s">
        <v>3699</v>
      </c>
      <c r="T800" t="s">
        <v>3700</v>
      </c>
      <c r="U800" t="s">
        <v>60</v>
      </c>
      <c r="V800" t="s">
        <v>60</v>
      </c>
      <c r="W800" t="s">
        <v>135</v>
      </c>
      <c r="X800" t="s">
        <v>34</v>
      </c>
      <c r="Y800" t="str">
        <f>"770835324   "</f>
        <v xml:space="preserve">770835324   </v>
      </c>
    </row>
    <row r="801" spans="1:25" x14ac:dyDescent="0.25">
      <c r="A801" t="s">
        <v>3701</v>
      </c>
      <c r="B801" t="s">
        <v>3702</v>
      </c>
      <c r="C801">
        <v>2018</v>
      </c>
      <c r="D801">
        <v>8001</v>
      </c>
      <c r="E801">
        <v>2</v>
      </c>
      <c r="F801" t="s">
        <v>3703</v>
      </c>
      <c r="G801">
        <v>21600983</v>
      </c>
      <c r="J801">
        <v>71.78</v>
      </c>
      <c r="L801">
        <v>41293670</v>
      </c>
      <c r="M801" s="1">
        <v>43621</v>
      </c>
      <c r="N801" t="str">
        <f>"J190605AW7"</f>
        <v>J190605AW7</v>
      </c>
      <c r="O801" t="s">
        <v>28</v>
      </c>
      <c r="Q801" t="s">
        <v>29</v>
      </c>
      <c r="R801" t="s">
        <v>28</v>
      </c>
      <c r="S801" t="s">
        <v>1454</v>
      </c>
      <c r="T801" t="s">
        <v>1455</v>
      </c>
      <c r="W801" t="s">
        <v>1456</v>
      </c>
      <c r="X801" t="s">
        <v>1457</v>
      </c>
      <c r="Y801" t="str">
        <f>"234504968"</f>
        <v>234504968</v>
      </c>
    </row>
    <row r="802" spans="1:25" x14ac:dyDescent="0.25">
      <c r="A802" t="s">
        <v>3704</v>
      </c>
      <c r="B802" t="s">
        <v>3705</v>
      </c>
      <c r="C802">
        <v>2018</v>
      </c>
      <c r="D802">
        <v>8001</v>
      </c>
      <c r="E802">
        <v>2</v>
      </c>
      <c r="F802" t="s">
        <v>3706</v>
      </c>
      <c r="G802">
        <v>22424718</v>
      </c>
      <c r="J802">
        <v>60.37</v>
      </c>
      <c r="L802">
        <v>41313814</v>
      </c>
      <c r="M802" s="1">
        <v>43628</v>
      </c>
      <c r="N802" t="str">
        <f>"O190612BU9"</f>
        <v>O190612BU9</v>
      </c>
      <c r="O802" t="s">
        <v>28</v>
      </c>
      <c r="Q802" t="s">
        <v>29</v>
      </c>
      <c r="R802" t="s">
        <v>28</v>
      </c>
      <c r="S802" t="s">
        <v>3707</v>
      </c>
      <c r="T802" t="s">
        <v>3708</v>
      </c>
      <c r="U802" t="s">
        <v>3709</v>
      </c>
      <c r="W802" t="s">
        <v>3710</v>
      </c>
      <c r="X802" t="s">
        <v>900</v>
      </c>
      <c r="Y802" t="str">
        <f>"600478924"</f>
        <v>600478924</v>
      </c>
    </row>
    <row r="803" spans="1:25" x14ac:dyDescent="0.25">
      <c r="A803" t="s">
        <v>3711</v>
      </c>
      <c r="B803" t="s">
        <v>3712</v>
      </c>
      <c r="C803">
        <v>2020</v>
      </c>
      <c r="D803">
        <v>8001</v>
      </c>
      <c r="E803">
        <v>3</v>
      </c>
      <c r="F803" t="s">
        <v>3713</v>
      </c>
      <c r="G803">
        <v>0</v>
      </c>
      <c r="J803">
        <v>80</v>
      </c>
      <c r="L803">
        <v>46570470</v>
      </c>
      <c r="M803" s="1">
        <v>44228</v>
      </c>
      <c r="N803" t="str">
        <f>"J210201K1"</f>
        <v>J210201K1</v>
      </c>
      <c r="O803" t="s">
        <v>28</v>
      </c>
      <c r="Q803" t="s">
        <v>29</v>
      </c>
      <c r="R803" t="s">
        <v>28</v>
      </c>
      <c r="S803" t="s">
        <v>3713</v>
      </c>
      <c r="T803" t="s">
        <v>3714</v>
      </c>
      <c r="U803" t="s">
        <v>60</v>
      </c>
      <c r="V803" t="s">
        <v>60</v>
      </c>
      <c r="W803" t="s">
        <v>135</v>
      </c>
      <c r="X803" t="s">
        <v>34</v>
      </c>
      <c r="Y803" t="str">
        <f>"770836522   "</f>
        <v xml:space="preserve">770836522   </v>
      </c>
    </row>
    <row r="804" spans="1:25" x14ac:dyDescent="0.25">
      <c r="A804" t="s">
        <v>3715</v>
      </c>
      <c r="B804" t="s">
        <v>3716</v>
      </c>
      <c r="C804">
        <v>2020</v>
      </c>
      <c r="D804">
        <v>8001</v>
      </c>
      <c r="E804">
        <v>4</v>
      </c>
      <c r="F804" t="s">
        <v>3717</v>
      </c>
      <c r="G804">
        <v>29464477</v>
      </c>
      <c r="J804">
        <v>5.3</v>
      </c>
      <c r="L804">
        <v>46731875</v>
      </c>
      <c r="M804" s="1">
        <v>44230</v>
      </c>
      <c r="N804" t="str">
        <f>"CC310203"</f>
        <v>CC310203</v>
      </c>
      <c r="O804" t="s">
        <v>28</v>
      </c>
      <c r="Q804" t="s">
        <v>29</v>
      </c>
      <c r="R804" t="s">
        <v>28</v>
      </c>
      <c r="S804" t="s">
        <v>3718</v>
      </c>
      <c r="T804" t="s">
        <v>3719</v>
      </c>
      <c r="W804" t="s">
        <v>81</v>
      </c>
      <c r="X804" t="s">
        <v>34</v>
      </c>
      <c r="Y804" t="str">
        <f>"77407"</f>
        <v>77407</v>
      </c>
    </row>
    <row r="805" spans="1:25" x14ac:dyDescent="0.25">
      <c r="A805" t="s">
        <v>3720</v>
      </c>
      <c r="B805" t="s">
        <v>3721</v>
      </c>
      <c r="C805">
        <v>2020</v>
      </c>
      <c r="D805">
        <v>8001</v>
      </c>
      <c r="E805">
        <v>2</v>
      </c>
      <c r="F805" t="s">
        <v>3722</v>
      </c>
      <c r="G805">
        <v>0</v>
      </c>
      <c r="J805">
        <v>941.82</v>
      </c>
      <c r="L805">
        <v>47413064</v>
      </c>
      <c r="M805" s="1">
        <v>44334</v>
      </c>
      <c r="N805" t="str">
        <f>"J210518K3"</f>
        <v>J210518K3</v>
      </c>
      <c r="O805" t="s">
        <v>28</v>
      </c>
      <c r="Q805" t="s">
        <v>29</v>
      </c>
      <c r="R805" t="s">
        <v>28</v>
      </c>
      <c r="S805" t="s">
        <v>3722</v>
      </c>
      <c r="T805" t="s">
        <v>3723</v>
      </c>
      <c r="U805" t="s">
        <v>60</v>
      </c>
      <c r="V805" t="s">
        <v>60</v>
      </c>
      <c r="W805" t="s">
        <v>135</v>
      </c>
      <c r="X805" t="s">
        <v>34</v>
      </c>
      <c r="Y805" t="str">
        <f>"770831005   "</f>
        <v xml:space="preserve">770831005   </v>
      </c>
    </row>
    <row r="806" spans="1:25" x14ac:dyDescent="0.25">
      <c r="A806" t="s">
        <v>3724</v>
      </c>
      <c r="B806" t="s">
        <v>3725</v>
      </c>
      <c r="C806">
        <v>2019</v>
      </c>
      <c r="D806">
        <v>8001</v>
      </c>
      <c r="E806">
        <v>2</v>
      </c>
      <c r="F806" t="s">
        <v>3726</v>
      </c>
      <c r="G806">
        <v>25141064</v>
      </c>
      <c r="J806">
        <v>41.94</v>
      </c>
      <c r="L806">
        <v>44185602</v>
      </c>
      <c r="M806" s="1">
        <v>43971</v>
      </c>
      <c r="N806" t="str">
        <f>"J200520AW5"</f>
        <v>J200520AW5</v>
      </c>
      <c r="O806" t="s">
        <v>28</v>
      </c>
      <c r="Q806" t="s">
        <v>29</v>
      </c>
      <c r="R806" t="s">
        <v>28</v>
      </c>
      <c r="S806" t="s">
        <v>3727</v>
      </c>
      <c r="T806" t="s">
        <v>203</v>
      </c>
      <c r="U806" t="s">
        <v>3728</v>
      </c>
      <c r="V806" t="s">
        <v>3729</v>
      </c>
      <c r="W806" t="s">
        <v>75</v>
      </c>
      <c r="X806" t="s">
        <v>34</v>
      </c>
      <c r="Y806" t="str">
        <f>"77027"</f>
        <v>77027</v>
      </c>
    </row>
    <row r="807" spans="1:25" x14ac:dyDescent="0.25">
      <c r="A807" t="s">
        <v>3730</v>
      </c>
      <c r="B807" t="s">
        <v>3731</v>
      </c>
      <c r="C807">
        <v>2020</v>
      </c>
      <c r="D807">
        <v>8001</v>
      </c>
      <c r="E807">
        <v>1</v>
      </c>
      <c r="F807" t="s">
        <v>3732</v>
      </c>
      <c r="G807">
        <v>29859268</v>
      </c>
      <c r="J807">
        <v>37.409999999999997</v>
      </c>
      <c r="L807">
        <v>47500767</v>
      </c>
      <c r="M807" s="1">
        <v>44351</v>
      </c>
      <c r="N807" t="str">
        <f>"CC210604"</f>
        <v>CC210604</v>
      </c>
      <c r="O807" t="s">
        <v>28</v>
      </c>
      <c r="Q807" t="s">
        <v>29</v>
      </c>
      <c r="R807" t="s">
        <v>28</v>
      </c>
      <c r="S807" t="s">
        <v>3733</v>
      </c>
      <c r="T807" t="s">
        <v>3734</v>
      </c>
      <c r="W807" t="s">
        <v>81</v>
      </c>
      <c r="X807" t="s">
        <v>34</v>
      </c>
      <c r="Y807" t="str">
        <f>"77407"</f>
        <v>77407</v>
      </c>
    </row>
    <row r="808" spans="1:25" x14ac:dyDescent="0.25">
      <c r="A808" t="s">
        <v>3735</v>
      </c>
      <c r="B808" t="s">
        <v>3736</v>
      </c>
      <c r="C808">
        <v>2021</v>
      </c>
      <c r="D808">
        <v>8001</v>
      </c>
      <c r="E808">
        <v>1</v>
      </c>
      <c r="F808" t="s">
        <v>3737</v>
      </c>
      <c r="G808">
        <v>31060008</v>
      </c>
      <c r="J808">
        <v>317.89</v>
      </c>
      <c r="L808">
        <v>49494628</v>
      </c>
      <c r="M808" s="1">
        <v>44586</v>
      </c>
      <c r="N808" t="str">
        <f>"RC220309"</f>
        <v>RC220309</v>
      </c>
      <c r="O808" t="s">
        <v>28</v>
      </c>
      <c r="Q808" t="s">
        <v>29</v>
      </c>
      <c r="R808" t="s">
        <v>28</v>
      </c>
      <c r="S808" t="s">
        <v>3738</v>
      </c>
      <c r="T808" t="s">
        <v>3739</v>
      </c>
      <c r="W808" t="s">
        <v>3740</v>
      </c>
      <c r="X808" t="s">
        <v>34</v>
      </c>
      <c r="Y808" t="str">
        <f>"778307984"</f>
        <v>778307984</v>
      </c>
    </row>
    <row r="809" spans="1:25" x14ac:dyDescent="0.25">
      <c r="A809" t="s">
        <v>3741</v>
      </c>
      <c r="B809" t="s">
        <v>3742</v>
      </c>
      <c r="C809">
        <v>2020</v>
      </c>
      <c r="D809">
        <v>8001</v>
      </c>
      <c r="E809">
        <v>27</v>
      </c>
      <c r="F809" t="s">
        <v>3743</v>
      </c>
      <c r="G809">
        <v>30030846</v>
      </c>
      <c r="J809">
        <v>50</v>
      </c>
      <c r="L809">
        <v>47804705</v>
      </c>
      <c r="M809" s="1">
        <v>44483</v>
      </c>
      <c r="N809" t="str">
        <f>"CC311014"</f>
        <v>CC311014</v>
      </c>
      <c r="O809" t="s">
        <v>28</v>
      </c>
      <c r="Q809" t="s">
        <v>29</v>
      </c>
      <c r="R809" t="s">
        <v>28</v>
      </c>
      <c r="S809" t="s">
        <v>3744</v>
      </c>
      <c r="T809" t="s">
        <v>3745</v>
      </c>
      <c r="W809" t="s">
        <v>392</v>
      </c>
      <c r="X809" t="s">
        <v>34</v>
      </c>
      <c r="Y809" t="str">
        <f>"77489"</f>
        <v>77489</v>
      </c>
    </row>
    <row r="810" spans="1:25" x14ac:dyDescent="0.25">
      <c r="A810" t="s">
        <v>3746</v>
      </c>
      <c r="B810" t="s">
        <v>3747</v>
      </c>
      <c r="C810">
        <v>2020</v>
      </c>
      <c r="D810">
        <v>8001</v>
      </c>
      <c r="E810">
        <v>1</v>
      </c>
      <c r="F810" t="s">
        <v>3748</v>
      </c>
      <c r="G810">
        <v>24107419</v>
      </c>
      <c r="J810">
        <v>70</v>
      </c>
      <c r="L810">
        <v>46785814</v>
      </c>
      <c r="M810" s="1">
        <v>44231</v>
      </c>
      <c r="N810" t="str">
        <f>"RC210301"</f>
        <v>RC210301</v>
      </c>
      <c r="O810" t="s">
        <v>28</v>
      </c>
      <c r="Q810" t="s">
        <v>29</v>
      </c>
      <c r="R810" t="s">
        <v>28</v>
      </c>
      <c r="S810" t="s">
        <v>3749</v>
      </c>
      <c r="T810" t="s">
        <v>3750</v>
      </c>
      <c r="W810" t="s">
        <v>392</v>
      </c>
      <c r="X810" t="s">
        <v>34</v>
      </c>
      <c r="Y810" t="str">
        <f>"774891136"</f>
        <v>774891136</v>
      </c>
    </row>
    <row r="811" spans="1:25" x14ac:dyDescent="0.25">
      <c r="A811" t="s">
        <v>3751</v>
      </c>
      <c r="B811" t="s">
        <v>3752</v>
      </c>
      <c r="C811">
        <v>2020</v>
      </c>
      <c r="D811">
        <v>8001</v>
      </c>
      <c r="E811">
        <v>26</v>
      </c>
      <c r="F811" t="s">
        <v>3753</v>
      </c>
      <c r="G811">
        <v>0</v>
      </c>
      <c r="J811">
        <v>358.17</v>
      </c>
      <c r="L811">
        <v>47852040</v>
      </c>
      <c r="M811" s="1">
        <v>44494</v>
      </c>
      <c r="N811" t="str">
        <f>"EL211025"</f>
        <v>EL211025</v>
      </c>
      <c r="O811" t="s">
        <v>28</v>
      </c>
      <c r="Q811" t="s">
        <v>29</v>
      </c>
      <c r="R811" t="s">
        <v>28</v>
      </c>
      <c r="S811" t="s">
        <v>3753</v>
      </c>
      <c r="T811" t="s">
        <v>3754</v>
      </c>
      <c r="U811" t="s">
        <v>3755</v>
      </c>
      <c r="V811" t="s">
        <v>60</v>
      </c>
      <c r="W811" t="s">
        <v>1333</v>
      </c>
      <c r="X811" t="s">
        <v>34</v>
      </c>
      <c r="Y811" t="str">
        <f>"774892612   "</f>
        <v xml:space="preserve">774892612   </v>
      </c>
    </row>
    <row r="812" spans="1:25" x14ac:dyDescent="0.25">
      <c r="A812" t="s">
        <v>3756</v>
      </c>
      <c r="B812" t="s">
        <v>3757</v>
      </c>
      <c r="C812">
        <v>2021</v>
      </c>
      <c r="D812">
        <v>8001</v>
      </c>
      <c r="E812">
        <v>1</v>
      </c>
      <c r="F812" t="s">
        <v>3758</v>
      </c>
      <c r="G812">
        <v>29879404</v>
      </c>
      <c r="J812">
        <v>11.35</v>
      </c>
      <c r="L812">
        <v>50245216</v>
      </c>
      <c r="M812" s="1">
        <v>44620</v>
      </c>
      <c r="N812" t="str">
        <f>"RC220328"</f>
        <v>RC220328</v>
      </c>
      <c r="O812" t="s">
        <v>28</v>
      </c>
      <c r="Q812" t="s">
        <v>29</v>
      </c>
      <c r="R812" t="s">
        <v>28</v>
      </c>
      <c r="S812" t="s">
        <v>3759</v>
      </c>
      <c r="T812" t="s">
        <v>3760</v>
      </c>
      <c r="U812" t="s">
        <v>3761</v>
      </c>
      <c r="W812" t="s">
        <v>371</v>
      </c>
      <c r="X812" t="s">
        <v>34</v>
      </c>
      <c r="Y812" t="str">
        <f>"774773501"</f>
        <v>774773501</v>
      </c>
    </row>
    <row r="813" spans="1:25" x14ac:dyDescent="0.25">
      <c r="A813" t="s">
        <v>3762</v>
      </c>
      <c r="B813" t="s">
        <v>3763</v>
      </c>
      <c r="C813">
        <v>2021</v>
      </c>
      <c r="D813">
        <v>8001</v>
      </c>
      <c r="E813">
        <v>1</v>
      </c>
      <c r="F813" t="s">
        <v>3758</v>
      </c>
      <c r="G813">
        <v>29879404</v>
      </c>
      <c r="J813">
        <v>30.38</v>
      </c>
      <c r="L813">
        <v>50245217</v>
      </c>
      <c r="M813" s="1">
        <v>44620</v>
      </c>
      <c r="N813" t="str">
        <f>"RC220328"</f>
        <v>RC220328</v>
      </c>
      <c r="O813" t="s">
        <v>28</v>
      </c>
      <c r="Q813" t="s">
        <v>29</v>
      </c>
      <c r="R813" t="s">
        <v>28</v>
      </c>
      <c r="S813" t="s">
        <v>3759</v>
      </c>
      <c r="T813" t="s">
        <v>3760</v>
      </c>
      <c r="U813" t="s">
        <v>3761</v>
      </c>
      <c r="W813" t="s">
        <v>371</v>
      </c>
      <c r="X813" t="s">
        <v>34</v>
      </c>
      <c r="Y813" t="str">
        <f>"774773501"</f>
        <v>774773501</v>
      </c>
    </row>
    <row r="814" spans="1:25" x14ac:dyDescent="0.25">
      <c r="A814" t="s">
        <v>3764</v>
      </c>
      <c r="B814" t="s">
        <v>3765</v>
      </c>
      <c r="C814">
        <v>2021</v>
      </c>
      <c r="D814">
        <v>8001</v>
      </c>
      <c r="E814">
        <v>1</v>
      </c>
      <c r="F814" t="s">
        <v>3766</v>
      </c>
      <c r="G814">
        <v>0</v>
      </c>
      <c r="J814">
        <v>153.01</v>
      </c>
      <c r="L814">
        <v>49763370</v>
      </c>
      <c r="M814" s="1">
        <v>44592</v>
      </c>
      <c r="N814" t="str">
        <f>"O220131K1"</f>
        <v>O220131K1</v>
      </c>
      <c r="O814" t="s">
        <v>28</v>
      </c>
      <c r="Q814" t="s">
        <v>29</v>
      </c>
      <c r="R814" t="s">
        <v>28</v>
      </c>
      <c r="S814" t="s">
        <v>3766</v>
      </c>
      <c r="T814" t="s">
        <v>3767</v>
      </c>
      <c r="U814" t="s">
        <v>60</v>
      </c>
      <c r="V814" t="s">
        <v>60</v>
      </c>
      <c r="W814" t="s">
        <v>98</v>
      </c>
      <c r="X814" t="s">
        <v>34</v>
      </c>
      <c r="Y814" t="str">
        <f>"774618598   "</f>
        <v xml:space="preserve">774618598   </v>
      </c>
    </row>
    <row r="815" spans="1:25" x14ac:dyDescent="0.25">
      <c r="A815" t="s">
        <v>3768</v>
      </c>
      <c r="B815" t="s">
        <v>3769</v>
      </c>
      <c r="C815">
        <v>2019</v>
      </c>
      <c r="D815">
        <v>8001</v>
      </c>
      <c r="E815">
        <v>1</v>
      </c>
      <c r="F815" t="s">
        <v>3770</v>
      </c>
      <c r="G815">
        <v>28298271</v>
      </c>
      <c r="J815">
        <v>66.05</v>
      </c>
      <c r="L815">
        <v>43864387</v>
      </c>
      <c r="M815" s="1">
        <v>43893</v>
      </c>
      <c r="N815" t="str">
        <f>"EK400303"</f>
        <v>EK400303</v>
      </c>
      <c r="O815" t="s">
        <v>28</v>
      </c>
      <c r="Q815" t="s">
        <v>29</v>
      </c>
      <c r="R815" t="s">
        <v>28</v>
      </c>
      <c r="S815" t="s">
        <v>3771</v>
      </c>
      <c r="T815" t="s">
        <v>3772</v>
      </c>
      <c r="W815" t="s">
        <v>316</v>
      </c>
      <c r="X815" t="s">
        <v>317</v>
      </c>
      <c r="Y815" t="str">
        <f>"94602"</f>
        <v>94602</v>
      </c>
    </row>
    <row r="816" spans="1:25" x14ac:dyDescent="0.25">
      <c r="A816" t="s">
        <v>3773</v>
      </c>
      <c r="B816" t="s">
        <v>3774</v>
      </c>
      <c r="C816">
        <v>2021</v>
      </c>
      <c r="D816">
        <v>8001</v>
      </c>
      <c r="E816">
        <v>1</v>
      </c>
      <c r="F816" t="s">
        <v>3775</v>
      </c>
      <c r="G816">
        <v>21580148</v>
      </c>
      <c r="J816">
        <v>70.010000000000005</v>
      </c>
      <c r="L816">
        <v>48793660</v>
      </c>
      <c r="M816" s="1">
        <v>44560</v>
      </c>
      <c r="N816" t="str">
        <f>"RC220124"</f>
        <v>RC220124</v>
      </c>
      <c r="O816" t="s">
        <v>28</v>
      </c>
      <c r="Q816" t="s">
        <v>29</v>
      </c>
      <c r="R816" t="s">
        <v>28</v>
      </c>
      <c r="S816" t="s">
        <v>3776</v>
      </c>
      <c r="T816" t="s">
        <v>3777</v>
      </c>
      <c r="W816" t="s">
        <v>81</v>
      </c>
      <c r="X816" t="s">
        <v>34</v>
      </c>
      <c r="Y816" t="str">
        <f>"774066455"</f>
        <v>774066455</v>
      </c>
    </row>
    <row r="817" spans="1:25" x14ac:dyDescent="0.25">
      <c r="A817" t="s">
        <v>3778</v>
      </c>
      <c r="B817" t="s">
        <v>3779</v>
      </c>
      <c r="C817">
        <v>2019</v>
      </c>
      <c r="D817">
        <v>8001</v>
      </c>
      <c r="E817">
        <v>1</v>
      </c>
      <c r="F817" t="s">
        <v>3780</v>
      </c>
      <c r="G817">
        <v>0</v>
      </c>
      <c r="J817">
        <v>65.36</v>
      </c>
      <c r="L817">
        <v>43917778</v>
      </c>
      <c r="M817" s="1">
        <v>43900</v>
      </c>
      <c r="N817" t="str">
        <f>"J200310AW12"</f>
        <v>J200310AW12</v>
      </c>
      <c r="O817" t="s">
        <v>28</v>
      </c>
      <c r="Q817" t="s">
        <v>29</v>
      </c>
      <c r="R817" t="s">
        <v>28</v>
      </c>
      <c r="S817" t="s">
        <v>3780</v>
      </c>
      <c r="T817" t="s">
        <v>3781</v>
      </c>
      <c r="U817" t="s">
        <v>3782</v>
      </c>
      <c r="V817" t="s">
        <v>60</v>
      </c>
      <c r="W817" t="s">
        <v>135</v>
      </c>
      <c r="X817" t="s">
        <v>34</v>
      </c>
      <c r="Y817" t="str">
        <f>"77041       "</f>
        <v xml:space="preserve">77041       </v>
      </c>
    </row>
    <row r="818" spans="1:25" x14ac:dyDescent="0.25">
      <c r="A818" t="s">
        <v>3783</v>
      </c>
      <c r="B818" t="s">
        <v>3784</v>
      </c>
      <c r="C818">
        <v>2020</v>
      </c>
      <c r="D818">
        <v>8001</v>
      </c>
      <c r="E818">
        <v>1</v>
      </c>
      <c r="F818" t="s">
        <v>3785</v>
      </c>
      <c r="G818">
        <v>0</v>
      </c>
      <c r="J818">
        <v>177.31</v>
      </c>
      <c r="L818">
        <v>46885368</v>
      </c>
      <c r="M818" s="1">
        <v>44236</v>
      </c>
      <c r="N818" t="str">
        <f>"J210209BW9"</f>
        <v>J210209BW9</v>
      </c>
      <c r="O818" t="s">
        <v>28</v>
      </c>
      <c r="Q818" t="s">
        <v>29</v>
      </c>
      <c r="R818" t="s">
        <v>28</v>
      </c>
      <c r="S818" t="s">
        <v>3785</v>
      </c>
      <c r="T818" t="s">
        <v>3786</v>
      </c>
      <c r="U818" t="s">
        <v>60</v>
      </c>
      <c r="V818" t="s">
        <v>60</v>
      </c>
      <c r="W818" t="s">
        <v>3787</v>
      </c>
      <c r="X818" t="s">
        <v>317</v>
      </c>
      <c r="Y818" t="str">
        <f>"920245119   "</f>
        <v xml:space="preserve">920245119   </v>
      </c>
    </row>
    <row r="819" spans="1:25" x14ac:dyDescent="0.25">
      <c r="A819" t="s">
        <v>3788</v>
      </c>
      <c r="B819" t="s">
        <v>3789</v>
      </c>
      <c r="C819">
        <v>2019</v>
      </c>
      <c r="D819">
        <v>8001</v>
      </c>
      <c r="E819">
        <v>1</v>
      </c>
      <c r="F819" t="s">
        <v>3790</v>
      </c>
      <c r="G819">
        <v>28305704</v>
      </c>
      <c r="J819">
        <v>121.46</v>
      </c>
      <c r="L819">
        <v>43875759</v>
      </c>
      <c r="M819" s="1">
        <v>43894</v>
      </c>
      <c r="N819" t="str">
        <f>"EK200304"</f>
        <v>EK200304</v>
      </c>
      <c r="O819" t="s">
        <v>28</v>
      </c>
      <c r="Q819" t="s">
        <v>29</v>
      </c>
      <c r="R819" t="s">
        <v>28</v>
      </c>
      <c r="S819" t="s">
        <v>3791</v>
      </c>
      <c r="T819" t="s">
        <v>3792</v>
      </c>
      <c r="W819" t="s">
        <v>75</v>
      </c>
      <c r="X819" t="s">
        <v>34</v>
      </c>
      <c r="Y819" t="str">
        <f>"770417041"</f>
        <v>770417041</v>
      </c>
    </row>
    <row r="820" spans="1:25" x14ac:dyDescent="0.25">
      <c r="A820" t="s">
        <v>3793</v>
      </c>
      <c r="B820" t="s">
        <v>3794</v>
      </c>
      <c r="C820">
        <v>2019</v>
      </c>
      <c r="D820">
        <v>8001</v>
      </c>
      <c r="E820">
        <v>1</v>
      </c>
      <c r="F820" t="s">
        <v>3795</v>
      </c>
      <c r="G820">
        <v>27707009</v>
      </c>
      <c r="J820" s="2">
        <v>4360.76</v>
      </c>
      <c r="L820">
        <v>42131133</v>
      </c>
      <c r="M820" s="1">
        <v>43804</v>
      </c>
      <c r="N820" t="str">
        <f>"J191205AW15"</f>
        <v>J191205AW15</v>
      </c>
      <c r="O820" t="s">
        <v>28</v>
      </c>
      <c r="Q820" t="s">
        <v>29</v>
      </c>
      <c r="R820" t="s">
        <v>28</v>
      </c>
      <c r="S820" t="s">
        <v>3796</v>
      </c>
      <c r="T820" t="s">
        <v>3797</v>
      </c>
      <c r="U820" t="s">
        <v>3798</v>
      </c>
      <c r="W820" t="s">
        <v>910</v>
      </c>
      <c r="X820" t="s">
        <v>34</v>
      </c>
      <c r="Y820" t="str">
        <f>"78232"</f>
        <v>78232</v>
      </c>
    </row>
    <row r="821" spans="1:25" x14ac:dyDescent="0.25">
      <c r="A821" t="s">
        <v>3799</v>
      </c>
      <c r="B821" t="s">
        <v>3800</v>
      </c>
      <c r="C821">
        <v>2018</v>
      </c>
      <c r="D821">
        <v>8001</v>
      </c>
      <c r="E821">
        <v>2</v>
      </c>
      <c r="F821" t="s">
        <v>3801</v>
      </c>
      <c r="G821">
        <v>26397235</v>
      </c>
      <c r="J821">
        <v>50.57</v>
      </c>
      <c r="L821">
        <v>41287016</v>
      </c>
      <c r="M821" s="1">
        <v>43620</v>
      </c>
      <c r="N821" t="str">
        <f>"J190604AW2"</f>
        <v>J190604AW2</v>
      </c>
      <c r="O821" t="s">
        <v>28</v>
      </c>
      <c r="Q821" t="s">
        <v>29</v>
      </c>
      <c r="R821" t="s">
        <v>28</v>
      </c>
      <c r="S821" t="s">
        <v>1068</v>
      </c>
      <c r="T821" t="s">
        <v>1069</v>
      </c>
      <c r="U821" t="s">
        <v>562</v>
      </c>
      <c r="W821" t="s">
        <v>563</v>
      </c>
      <c r="X821" t="s">
        <v>34</v>
      </c>
      <c r="Y821" t="str">
        <f>"750630156"</f>
        <v>750630156</v>
      </c>
    </row>
    <row r="822" spans="1:25" x14ac:dyDescent="0.25">
      <c r="A822" t="s">
        <v>3802</v>
      </c>
      <c r="B822" t="s">
        <v>3803</v>
      </c>
      <c r="C822">
        <v>2019</v>
      </c>
      <c r="D822">
        <v>8001</v>
      </c>
      <c r="E822">
        <v>1</v>
      </c>
      <c r="F822" t="s">
        <v>3804</v>
      </c>
      <c r="G822">
        <v>25106988</v>
      </c>
      <c r="J822">
        <v>43.52</v>
      </c>
      <c r="L822">
        <v>43907991</v>
      </c>
      <c r="M822" s="1">
        <v>43899</v>
      </c>
      <c r="N822" t="str">
        <f>"J200309AW2"</f>
        <v>J200309AW2</v>
      </c>
      <c r="O822" t="s">
        <v>28</v>
      </c>
      <c r="Q822" t="s">
        <v>29</v>
      </c>
      <c r="R822" t="s">
        <v>28</v>
      </c>
      <c r="S822" t="s">
        <v>1326</v>
      </c>
      <c r="T822" t="s">
        <v>3805</v>
      </c>
      <c r="W822" t="s">
        <v>1328</v>
      </c>
      <c r="X822" t="s">
        <v>162</v>
      </c>
      <c r="Y822" t="str">
        <f>"06054"</f>
        <v>06054</v>
      </c>
    </row>
    <row r="823" spans="1:25" x14ac:dyDescent="0.25">
      <c r="A823" t="s">
        <v>3806</v>
      </c>
      <c r="B823" t="s">
        <v>3807</v>
      </c>
      <c r="C823">
        <v>2020</v>
      </c>
      <c r="D823">
        <v>8001</v>
      </c>
      <c r="E823">
        <v>2</v>
      </c>
      <c r="F823" t="s">
        <v>3808</v>
      </c>
      <c r="G823">
        <v>30077275</v>
      </c>
      <c r="J823">
        <v>162.88999999999999</v>
      </c>
      <c r="L823">
        <v>47930437</v>
      </c>
      <c r="M823" s="1">
        <v>44501</v>
      </c>
      <c r="N823" t="str">
        <f>"O211101BV9"</f>
        <v>O211101BV9</v>
      </c>
      <c r="O823" t="s">
        <v>28</v>
      </c>
      <c r="Q823" t="s">
        <v>29</v>
      </c>
      <c r="R823" t="s">
        <v>28</v>
      </c>
      <c r="S823" t="s">
        <v>3809</v>
      </c>
      <c r="T823" t="s">
        <v>3810</v>
      </c>
      <c r="W823" t="s">
        <v>81</v>
      </c>
      <c r="X823" t="s">
        <v>34</v>
      </c>
      <c r="Y823" t="str">
        <f>"774071016"</f>
        <v>774071016</v>
      </c>
    </row>
    <row r="824" spans="1:25" x14ac:dyDescent="0.25">
      <c r="A824" t="s">
        <v>3811</v>
      </c>
      <c r="B824" t="s">
        <v>3812</v>
      </c>
      <c r="C824">
        <v>2021</v>
      </c>
      <c r="D824">
        <v>8001</v>
      </c>
      <c r="E824">
        <v>4</v>
      </c>
      <c r="F824" t="s">
        <v>3813</v>
      </c>
      <c r="G824">
        <v>0</v>
      </c>
      <c r="J824">
        <v>10</v>
      </c>
      <c r="L824">
        <v>49119285</v>
      </c>
      <c r="M824" s="1">
        <v>44572</v>
      </c>
      <c r="N824" t="str">
        <f>"L220111"</f>
        <v>L220111</v>
      </c>
      <c r="O824" t="s">
        <v>28</v>
      </c>
      <c r="Q824" t="s">
        <v>29</v>
      </c>
      <c r="R824" t="s">
        <v>28</v>
      </c>
      <c r="S824" t="s">
        <v>3813</v>
      </c>
      <c r="T824" t="s">
        <v>3814</v>
      </c>
      <c r="U824" t="s">
        <v>60</v>
      </c>
      <c r="V824" t="s">
        <v>60</v>
      </c>
      <c r="W824" t="s">
        <v>214</v>
      </c>
      <c r="X824" t="s">
        <v>34</v>
      </c>
      <c r="Y824" t="str">
        <f>"774072528   "</f>
        <v xml:space="preserve">774072528   </v>
      </c>
    </row>
    <row r="825" spans="1:25" x14ac:dyDescent="0.25">
      <c r="A825" t="s">
        <v>3815</v>
      </c>
      <c r="B825" t="s">
        <v>3816</v>
      </c>
      <c r="C825">
        <v>2020</v>
      </c>
      <c r="D825">
        <v>8001</v>
      </c>
      <c r="E825">
        <v>1</v>
      </c>
      <c r="F825" t="s">
        <v>3817</v>
      </c>
      <c r="G825">
        <v>24540489</v>
      </c>
      <c r="J825" s="2">
        <v>1267.8599999999999</v>
      </c>
      <c r="L825">
        <v>44618094</v>
      </c>
      <c r="M825" s="1">
        <v>44147</v>
      </c>
      <c r="N825" t="str">
        <f>"TE201112"</f>
        <v>TE201112</v>
      </c>
      <c r="O825" t="s">
        <v>28</v>
      </c>
      <c r="Q825" t="s">
        <v>29</v>
      </c>
      <c r="R825" t="s">
        <v>28</v>
      </c>
      <c r="S825" t="s">
        <v>3677</v>
      </c>
      <c r="T825" t="s">
        <v>3625</v>
      </c>
      <c r="U825" t="s">
        <v>3678</v>
      </c>
      <c r="W825" t="s">
        <v>33</v>
      </c>
      <c r="X825" t="s">
        <v>34</v>
      </c>
      <c r="Y825" t="str">
        <f>"75075"</f>
        <v>75075</v>
      </c>
    </row>
    <row r="826" spans="1:25" x14ac:dyDescent="0.25">
      <c r="A826" t="s">
        <v>3818</v>
      </c>
      <c r="B826" t="s">
        <v>3819</v>
      </c>
      <c r="C826">
        <v>2020</v>
      </c>
      <c r="D826">
        <v>8001</v>
      </c>
      <c r="E826">
        <v>1</v>
      </c>
      <c r="F826" t="s">
        <v>3820</v>
      </c>
      <c r="G826">
        <v>0</v>
      </c>
      <c r="J826">
        <v>40.29</v>
      </c>
      <c r="L826">
        <v>46891943</v>
      </c>
      <c r="M826" s="1">
        <v>44237</v>
      </c>
      <c r="N826" t="str">
        <f>"J210210K1"</f>
        <v>J210210K1</v>
      </c>
      <c r="O826" t="s">
        <v>28</v>
      </c>
      <c r="Q826" t="s">
        <v>29</v>
      </c>
      <c r="R826" t="s">
        <v>28</v>
      </c>
      <c r="S826" t="s">
        <v>3820</v>
      </c>
      <c r="T826" t="s">
        <v>3821</v>
      </c>
      <c r="U826" t="s">
        <v>60</v>
      </c>
      <c r="V826" t="s">
        <v>60</v>
      </c>
      <c r="W826" t="s">
        <v>214</v>
      </c>
      <c r="X826" t="s">
        <v>34</v>
      </c>
      <c r="Y826" t="str">
        <f>"774694811   "</f>
        <v xml:space="preserve">774694811   </v>
      </c>
    </row>
    <row r="827" spans="1:25" x14ac:dyDescent="0.25">
      <c r="A827" t="s">
        <v>3822</v>
      </c>
      <c r="B827" t="s">
        <v>3823</v>
      </c>
      <c r="C827">
        <v>2020</v>
      </c>
      <c r="D827">
        <v>8001</v>
      </c>
      <c r="E827">
        <v>1</v>
      </c>
      <c r="F827" t="s">
        <v>3824</v>
      </c>
      <c r="G827">
        <v>0</v>
      </c>
      <c r="J827">
        <v>40.29</v>
      </c>
      <c r="L827">
        <v>46891295</v>
      </c>
      <c r="M827" s="1">
        <v>44236</v>
      </c>
      <c r="N827" t="str">
        <f>"J210209BW16"</f>
        <v>J210209BW16</v>
      </c>
      <c r="O827" t="s">
        <v>28</v>
      </c>
      <c r="Q827" t="s">
        <v>29</v>
      </c>
      <c r="R827" t="s">
        <v>28</v>
      </c>
      <c r="S827" t="s">
        <v>3824</v>
      </c>
      <c r="T827" t="s">
        <v>3821</v>
      </c>
      <c r="U827" t="s">
        <v>60</v>
      </c>
      <c r="V827" t="s">
        <v>60</v>
      </c>
      <c r="W827" t="s">
        <v>214</v>
      </c>
      <c r="X827" t="s">
        <v>34</v>
      </c>
      <c r="Y827" t="str">
        <f>"774694811   "</f>
        <v xml:space="preserve">774694811   </v>
      </c>
    </row>
    <row r="828" spans="1:25" x14ac:dyDescent="0.25">
      <c r="A828" t="s">
        <v>3825</v>
      </c>
      <c r="B828" t="s">
        <v>3826</v>
      </c>
      <c r="C828">
        <v>2021</v>
      </c>
      <c r="D828">
        <v>8001</v>
      </c>
      <c r="E828">
        <v>1</v>
      </c>
      <c r="F828" t="s">
        <v>2722</v>
      </c>
      <c r="G828">
        <v>0</v>
      </c>
      <c r="J828">
        <v>137.16</v>
      </c>
      <c r="L828">
        <v>48043849</v>
      </c>
      <c r="M828" s="1">
        <v>44538</v>
      </c>
      <c r="N828" t="str">
        <f>"T211208BI1"</f>
        <v>T211208BI1</v>
      </c>
      <c r="O828" t="s">
        <v>28</v>
      </c>
      <c r="Q828" t="s">
        <v>29</v>
      </c>
      <c r="R828" t="s">
        <v>28</v>
      </c>
      <c r="S828" t="s">
        <v>2722</v>
      </c>
      <c r="T828" t="s">
        <v>3827</v>
      </c>
      <c r="U828" t="s">
        <v>60</v>
      </c>
      <c r="V828" t="s">
        <v>60</v>
      </c>
      <c r="W828" t="s">
        <v>214</v>
      </c>
      <c r="X828" t="s">
        <v>34</v>
      </c>
      <c r="Y828" t="str">
        <f>"774695501   "</f>
        <v xml:space="preserve">774695501   </v>
      </c>
    </row>
    <row r="829" spans="1:25" x14ac:dyDescent="0.25">
      <c r="A829" t="s">
        <v>3828</v>
      </c>
      <c r="B829" t="s">
        <v>3829</v>
      </c>
      <c r="C829">
        <v>2021</v>
      </c>
      <c r="D829">
        <v>8001</v>
      </c>
      <c r="E829">
        <v>1</v>
      </c>
      <c r="F829" t="s">
        <v>3830</v>
      </c>
      <c r="G829">
        <v>0</v>
      </c>
      <c r="J829" s="2">
        <v>39375.4</v>
      </c>
      <c r="L829">
        <v>49154664</v>
      </c>
      <c r="M829" s="1">
        <v>44573</v>
      </c>
      <c r="N829" t="str">
        <f>"J220112BW10"</f>
        <v>J220112BW10</v>
      </c>
      <c r="O829" t="s">
        <v>28</v>
      </c>
      <c r="Q829" t="s">
        <v>29</v>
      </c>
      <c r="R829" t="s">
        <v>28</v>
      </c>
      <c r="S829" t="s">
        <v>3830</v>
      </c>
      <c r="T829" t="s">
        <v>3831</v>
      </c>
      <c r="U829" t="s">
        <v>60</v>
      </c>
      <c r="V829" t="s">
        <v>60</v>
      </c>
      <c r="W829" t="s">
        <v>3832</v>
      </c>
      <c r="X829" t="s">
        <v>2175</v>
      </c>
      <c r="Y829" t="str">
        <f>"281178520   "</f>
        <v xml:space="preserve">281178520   </v>
      </c>
    </row>
    <row r="830" spans="1:25" x14ac:dyDescent="0.25">
      <c r="A830" t="s">
        <v>3833</v>
      </c>
      <c r="B830" t="s">
        <v>3834</v>
      </c>
      <c r="C830">
        <v>2021</v>
      </c>
      <c r="D830">
        <v>8001</v>
      </c>
      <c r="E830">
        <v>1</v>
      </c>
      <c r="F830" t="s">
        <v>3835</v>
      </c>
      <c r="G830">
        <v>30513051</v>
      </c>
      <c r="J830">
        <v>549.65</v>
      </c>
      <c r="L830">
        <v>48461236</v>
      </c>
      <c r="M830" s="1">
        <v>44544</v>
      </c>
      <c r="N830" t="str">
        <f>"RC220114"</f>
        <v>RC220114</v>
      </c>
      <c r="O830" t="s">
        <v>28</v>
      </c>
      <c r="Q830" t="s">
        <v>29</v>
      </c>
      <c r="R830" t="s">
        <v>28</v>
      </c>
      <c r="S830" t="s">
        <v>3836</v>
      </c>
      <c r="T830" t="s">
        <v>3837</v>
      </c>
      <c r="W830" t="s">
        <v>107</v>
      </c>
      <c r="X830" t="s">
        <v>34</v>
      </c>
      <c r="Y830" t="str">
        <f>"77494"</f>
        <v>77494</v>
      </c>
    </row>
    <row r="831" spans="1:25" x14ac:dyDescent="0.25">
      <c r="A831" t="s">
        <v>3838</v>
      </c>
      <c r="B831" t="s">
        <v>3839</v>
      </c>
      <c r="C831">
        <v>2020</v>
      </c>
      <c r="D831">
        <v>8001</v>
      </c>
      <c r="E831">
        <v>1</v>
      </c>
      <c r="F831" t="s">
        <v>3840</v>
      </c>
      <c r="G831">
        <v>0</v>
      </c>
      <c r="J831" s="2">
        <v>5190.3</v>
      </c>
      <c r="L831">
        <v>46395747</v>
      </c>
      <c r="M831" s="1">
        <v>44223</v>
      </c>
      <c r="N831" t="str">
        <f>"L210127"</f>
        <v>L210127</v>
      </c>
      <c r="O831" t="s">
        <v>28</v>
      </c>
      <c r="Q831" t="s">
        <v>29</v>
      </c>
      <c r="R831" t="s">
        <v>28</v>
      </c>
      <c r="S831" t="s">
        <v>3840</v>
      </c>
      <c r="T831" t="s">
        <v>3841</v>
      </c>
      <c r="U831" t="s">
        <v>60</v>
      </c>
      <c r="V831" t="s">
        <v>60</v>
      </c>
      <c r="W831" t="s">
        <v>1137</v>
      </c>
      <c r="X831" t="s">
        <v>34</v>
      </c>
      <c r="Y831" t="str">
        <f>"774943649   "</f>
        <v xml:space="preserve">774943649   </v>
      </c>
    </row>
    <row r="832" spans="1:25" x14ac:dyDescent="0.25">
      <c r="A832" t="s">
        <v>3842</v>
      </c>
      <c r="B832" t="s">
        <v>3843</v>
      </c>
      <c r="C832">
        <v>2021</v>
      </c>
      <c r="D832">
        <v>8001</v>
      </c>
      <c r="E832">
        <v>11</v>
      </c>
      <c r="F832" t="s">
        <v>3844</v>
      </c>
      <c r="G832">
        <v>0</v>
      </c>
      <c r="J832">
        <v>8.1999999999999993</v>
      </c>
      <c r="L832">
        <v>47748163</v>
      </c>
      <c r="M832" s="1">
        <v>44516</v>
      </c>
      <c r="N832" t="str">
        <f>"TE211116"</f>
        <v>TE211116</v>
      </c>
      <c r="O832" t="s">
        <v>28</v>
      </c>
      <c r="Q832" t="s">
        <v>29</v>
      </c>
      <c r="R832" t="s">
        <v>28</v>
      </c>
      <c r="S832" t="s">
        <v>3845</v>
      </c>
      <c r="T832" t="s">
        <v>3846</v>
      </c>
      <c r="U832" t="s">
        <v>60</v>
      </c>
      <c r="V832" t="s">
        <v>60</v>
      </c>
      <c r="W832" t="s">
        <v>296</v>
      </c>
      <c r="X832" t="s">
        <v>34</v>
      </c>
      <c r="Y832" t="str">
        <f>"774179566   "</f>
        <v xml:space="preserve">774179566   </v>
      </c>
    </row>
    <row r="833" spans="1:25" x14ac:dyDescent="0.25">
      <c r="A833" t="s">
        <v>3847</v>
      </c>
      <c r="B833" t="s">
        <v>3848</v>
      </c>
      <c r="C833">
        <v>2020</v>
      </c>
      <c r="D833">
        <v>8001</v>
      </c>
      <c r="E833">
        <v>1</v>
      </c>
      <c r="F833" t="s">
        <v>3849</v>
      </c>
      <c r="G833">
        <v>28783941</v>
      </c>
      <c r="J833">
        <v>153.97</v>
      </c>
      <c r="L833">
        <v>44899331</v>
      </c>
      <c r="M833" s="1">
        <v>44152</v>
      </c>
      <c r="N833" t="str">
        <f>"O201117AS6"</f>
        <v>O201117AS6</v>
      </c>
      <c r="O833" t="s">
        <v>28</v>
      </c>
      <c r="Q833" t="s">
        <v>29</v>
      </c>
      <c r="R833" t="s">
        <v>28</v>
      </c>
      <c r="S833" t="s">
        <v>3850</v>
      </c>
      <c r="T833" t="s">
        <v>3851</v>
      </c>
      <c r="U833" t="s">
        <v>3852</v>
      </c>
      <c r="W833" t="s">
        <v>1877</v>
      </c>
      <c r="X833" t="s">
        <v>317</v>
      </c>
      <c r="Y833" t="str">
        <f>"941041207"</f>
        <v>941041207</v>
      </c>
    </row>
    <row r="834" spans="1:25" x14ac:dyDescent="0.25">
      <c r="A834" t="s">
        <v>3853</v>
      </c>
      <c r="B834" t="s">
        <v>3854</v>
      </c>
      <c r="C834">
        <v>2020</v>
      </c>
      <c r="D834">
        <v>8001</v>
      </c>
      <c r="E834">
        <v>1</v>
      </c>
      <c r="F834" t="s">
        <v>3855</v>
      </c>
      <c r="G834">
        <v>29576647</v>
      </c>
      <c r="J834">
        <v>106.84</v>
      </c>
      <c r="L834">
        <v>46670609</v>
      </c>
      <c r="M834" s="1">
        <v>44229</v>
      </c>
      <c r="N834" t="str">
        <f>"RC210301"</f>
        <v>RC210301</v>
      </c>
      <c r="O834" t="s">
        <v>28</v>
      </c>
      <c r="Q834" t="s">
        <v>29</v>
      </c>
      <c r="R834" t="s">
        <v>28</v>
      </c>
      <c r="S834" t="s">
        <v>3856</v>
      </c>
      <c r="T834" t="s">
        <v>3857</v>
      </c>
      <c r="U834" t="s">
        <v>3858</v>
      </c>
      <c r="W834" t="s">
        <v>75</v>
      </c>
      <c r="X834" t="s">
        <v>34</v>
      </c>
      <c r="Y834" t="str">
        <f>"77231"</f>
        <v>77231</v>
      </c>
    </row>
    <row r="835" spans="1:25" x14ac:dyDescent="0.25">
      <c r="A835" t="s">
        <v>3859</v>
      </c>
      <c r="B835" t="s">
        <v>3860</v>
      </c>
      <c r="C835">
        <v>2021</v>
      </c>
      <c r="D835">
        <v>8001</v>
      </c>
      <c r="E835">
        <v>1</v>
      </c>
      <c r="F835" t="s">
        <v>3861</v>
      </c>
      <c r="G835">
        <v>28862145</v>
      </c>
      <c r="J835" s="2">
        <v>2051.83</v>
      </c>
      <c r="L835">
        <v>48148855</v>
      </c>
      <c r="M835" s="1">
        <v>44519</v>
      </c>
      <c r="N835" t="str">
        <f>"RC211227"</f>
        <v>RC211227</v>
      </c>
      <c r="O835" t="s">
        <v>260</v>
      </c>
      <c r="Q835" t="s">
        <v>29</v>
      </c>
      <c r="R835" t="s">
        <v>28</v>
      </c>
      <c r="S835" t="s">
        <v>1369</v>
      </c>
      <c r="T835" t="s">
        <v>203</v>
      </c>
      <c r="U835" t="s">
        <v>1370</v>
      </c>
      <c r="W835" t="s">
        <v>1371</v>
      </c>
      <c r="X835" t="s">
        <v>34</v>
      </c>
      <c r="Y835" t="str">
        <f>"750341953"</f>
        <v>750341953</v>
      </c>
    </row>
    <row r="836" spans="1:25" x14ac:dyDescent="0.25">
      <c r="A836" t="s">
        <v>3862</v>
      </c>
      <c r="B836" t="s">
        <v>3863</v>
      </c>
      <c r="C836">
        <v>2020</v>
      </c>
      <c r="D836">
        <v>8001</v>
      </c>
      <c r="E836">
        <v>1</v>
      </c>
      <c r="F836" t="s">
        <v>3864</v>
      </c>
      <c r="G836">
        <v>26677969</v>
      </c>
      <c r="J836">
        <v>269.33</v>
      </c>
      <c r="L836">
        <v>45124637</v>
      </c>
      <c r="M836" s="1">
        <v>44172</v>
      </c>
      <c r="N836" t="str">
        <f>"RC201217"</f>
        <v>RC201217</v>
      </c>
      <c r="O836" t="s">
        <v>28</v>
      </c>
      <c r="Q836" t="s">
        <v>29</v>
      </c>
      <c r="R836" t="s">
        <v>28</v>
      </c>
      <c r="S836" t="s">
        <v>3865</v>
      </c>
      <c r="T836" t="s">
        <v>3866</v>
      </c>
      <c r="W836" t="s">
        <v>563</v>
      </c>
      <c r="X836" t="s">
        <v>34</v>
      </c>
      <c r="Y836" t="str">
        <f>"75063"</f>
        <v>75063</v>
      </c>
    </row>
    <row r="837" spans="1:25" x14ac:dyDescent="0.25">
      <c r="A837" t="s">
        <v>3867</v>
      </c>
      <c r="B837" t="s">
        <v>3868</v>
      </c>
      <c r="C837">
        <v>2020</v>
      </c>
      <c r="D837">
        <v>8001</v>
      </c>
      <c r="E837">
        <v>1</v>
      </c>
      <c r="F837" t="s">
        <v>3869</v>
      </c>
      <c r="G837">
        <v>29489465</v>
      </c>
      <c r="J837">
        <v>28.93</v>
      </c>
      <c r="L837">
        <v>46782164</v>
      </c>
      <c r="M837" s="1">
        <v>44231</v>
      </c>
      <c r="N837" t="str">
        <f>"CC210204"</f>
        <v>CC210204</v>
      </c>
      <c r="O837" t="s">
        <v>28</v>
      </c>
      <c r="Q837" t="s">
        <v>29</v>
      </c>
      <c r="R837" t="s">
        <v>260</v>
      </c>
      <c r="S837" t="s">
        <v>3870</v>
      </c>
      <c r="T837" t="s">
        <v>3871</v>
      </c>
      <c r="W837" t="s">
        <v>81</v>
      </c>
      <c r="X837" t="s">
        <v>34</v>
      </c>
      <c r="Y837" t="str">
        <f>"77406"</f>
        <v>77406</v>
      </c>
    </row>
    <row r="838" spans="1:25" x14ac:dyDescent="0.25">
      <c r="A838" t="s">
        <v>3872</v>
      </c>
      <c r="B838" t="s">
        <v>3873</v>
      </c>
      <c r="C838">
        <v>2020</v>
      </c>
      <c r="D838">
        <v>8001</v>
      </c>
      <c r="E838">
        <v>2</v>
      </c>
      <c r="F838" t="s">
        <v>3874</v>
      </c>
      <c r="G838">
        <v>28692840</v>
      </c>
      <c r="J838">
        <v>13.27</v>
      </c>
      <c r="L838">
        <v>47258301</v>
      </c>
      <c r="M838" s="1">
        <v>44293</v>
      </c>
      <c r="N838" t="str">
        <f>"RC210414"</f>
        <v>RC210414</v>
      </c>
      <c r="O838" t="s">
        <v>28</v>
      </c>
      <c r="Q838" t="s">
        <v>29</v>
      </c>
      <c r="R838" t="s">
        <v>28</v>
      </c>
      <c r="S838" t="s">
        <v>1019</v>
      </c>
      <c r="T838" t="s">
        <v>562</v>
      </c>
      <c r="W838" t="s">
        <v>563</v>
      </c>
      <c r="X838" t="s">
        <v>34</v>
      </c>
      <c r="Y838" t="str">
        <f>"750630156"</f>
        <v>750630156</v>
      </c>
    </row>
    <row r="839" spans="1:25" x14ac:dyDescent="0.25">
      <c r="A839" t="s">
        <v>3875</v>
      </c>
      <c r="B839" t="s">
        <v>3876</v>
      </c>
      <c r="C839">
        <v>2019</v>
      </c>
      <c r="D839">
        <v>8001</v>
      </c>
      <c r="E839">
        <v>1</v>
      </c>
      <c r="F839" t="s">
        <v>3877</v>
      </c>
      <c r="G839">
        <v>0</v>
      </c>
      <c r="J839">
        <v>874.71</v>
      </c>
      <c r="L839">
        <v>42899378</v>
      </c>
      <c r="M839" s="1">
        <v>43845</v>
      </c>
      <c r="N839" t="str">
        <f>"J200115K2"</f>
        <v>J200115K2</v>
      </c>
      <c r="O839" t="s">
        <v>28</v>
      </c>
      <c r="Q839" t="s">
        <v>29</v>
      </c>
      <c r="R839" t="s">
        <v>28</v>
      </c>
      <c r="S839" t="s">
        <v>3877</v>
      </c>
      <c r="T839" t="s">
        <v>3878</v>
      </c>
      <c r="U839" t="s">
        <v>60</v>
      </c>
      <c r="V839" t="s">
        <v>60</v>
      </c>
      <c r="W839" t="s">
        <v>721</v>
      </c>
      <c r="X839" t="s">
        <v>34</v>
      </c>
      <c r="Y839" t="str">
        <f>"775832648   "</f>
        <v xml:space="preserve">775832648   </v>
      </c>
    </row>
    <row r="840" spans="1:25" x14ac:dyDescent="0.25">
      <c r="A840" t="s">
        <v>3879</v>
      </c>
      <c r="B840" t="s">
        <v>3880</v>
      </c>
      <c r="C840">
        <v>2018</v>
      </c>
      <c r="D840">
        <v>8001</v>
      </c>
      <c r="E840">
        <v>1</v>
      </c>
      <c r="F840" t="s">
        <v>3881</v>
      </c>
      <c r="G840">
        <v>0</v>
      </c>
      <c r="J840">
        <v>23.24</v>
      </c>
      <c r="L840">
        <v>40897060</v>
      </c>
      <c r="M840" s="1">
        <v>43529</v>
      </c>
      <c r="N840" t="str">
        <f>"J190305K7"</f>
        <v>J190305K7</v>
      </c>
      <c r="O840" t="s">
        <v>28</v>
      </c>
      <c r="Q840" t="s">
        <v>29</v>
      </c>
      <c r="R840" t="s">
        <v>28</v>
      </c>
      <c r="S840" t="s">
        <v>3881</v>
      </c>
      <c r="T840" t="s">
        <v>3882</v>
      </c>
      <c r="U840">
        <v>29</v>
      </c>
      <c r="V840" t="s">
        <v>60</v>
      </c>
      <c r="W840" t="s">
        <v>2502</v>
      </c>
      <c r="X840" t="s">
        <v>34</v>
      </c>
      <c r="Y840" t="str">
        <f>"775459427   "</f>
        <v xml:space="preserve">775459427   </v>
      </c>
    </row>
    <row r="841" spans="1:25" x14ac:dyDescent="0.25">
      <c r="A841" t="s">
        <v>3883</v>
      </c>
      <c r="B841" t="s">
        <v>3884</v>
      </c>
      <c r="C841">
        <v>2018</v>
      </c>
      <c r="D841">
        <v>8001</v>
      </c>
      <c r="E841">
        <v>1</v>
      </c>
      <c r="F841" t="s">
        <v>3885</v>
      </c>
      <c r="G841">
        <v>26691051</v>
      </c>
      <c r="J841">
        <v>42.28</v>
      </c>
      <c r="L841">
        <v>41072156</v>
      </c>
      <c r="M841" s="1">
        <v>43559</v>
      </c>
      <c r="N841" t="str">
        <f>"J190404K3"</f>
        <v>J190404K3</v>
      </c>
      <c r="O841" t="s">
        <v>28</v>
      </c>
      <c r="Q841" t="s">
        <v>29</v>
      </c>
      <c r="R841" t="s">
        <v>28</v>
      </c>
      <c r="S841" t="s">
        <v>3886</v>
      </c>
      <c r="T841" t="s">
        <v>1074</v>
      </c>
      <c r="W841" t="s">
        <v>1075</v>
      </c>
      <c r="X841" t="s">
        <v>34</v>
      </c>
      <c r="Y841" t="str">
        <f>"761771529"</f>
        <v>761771529</v>
      </c>
    </row>
    <row r="842" spans="1:25" x14ac:dyDescent="0.25">
      <c r="A842" t="s">
        <v>3887</v>
      </c>
      <c r="B842" t="s">
        <v>3888</v>
      </c>
      <c r="C842">
        <v>2020</v>
      </c>
      <c r="D842">
        <v>8001</v>
      </c>
      <c r="E842">
        <v>1</v>
      </c>
      <c r="F842" t="s">
        <v>3889</v>
      </c>
      <c r="G842">
        <v>29489494</v>
      </c>
      <c r="J842" s="2">
        <v>1467.84</v>
      </c>
      <c r="L842">
        <v>46782193</v>
      </c>
      <c r="M842" s="1">
        <v>44231</v>
      </c>
      <c r="N842" t="str">
        <f>"CC210204"</f>
        <v>CC210204</v>
      </c>
      <c r="O842" t="s">
        <v>28</v>
      </c>
      <c r="Q842" t="s">
        <v>29</v>
      </c>
      <c r="R842" t="s">
        <v>28</v>
      </c>
      <c r="S842" t="s">
        <v>3890</v>
      </c>
      <c r="T842" t="s">
        <v>3891</v>
      </c>
      <c r="W842" t="s">
        <v>75</v>
      </c>
      <c r="X842" t="s">
        <v>34</v>
      </c>
      <c r="Y842" t="str">
        <f>"77077"</f>
        <v>77077</v>
      </c>
    </row>
    <row r="843" spans="1:25" x14ac:dyDescent="0.25">
      <c r="A843" t="s">
        <v>3892</v>
      </c>
      <c r="B843" t="s">
        <v>3893</v>
      </c>
      <c r="C843">
        <v>2020</v>
      </c>
      <c r="D843">
        <v>8001</v>
      </c>
      <c r="E843">
        <v>3</v>
      </c>
      <c r="F843" t="s">
        <v>3894</v>
      </c>
      <c r="G843">
        <v>28861174</v>
      </c>
      <c r="J843">
        <v>30.92</v>
      </c>
      <c r="L843">
        <v>45134812</v>
      </c>
      <c r="M843" s="1">
        <v>44172</v>
      </c>
      <c r="N843" t="str">
        <f>"CC201207"</f>
        <v>CC201207</v>
      </c>
      <c r="O843" t="s">
        <v>28</v>
      </c>
      <c r="Q843" t="s">
        <v>29</v>
      </c>
      <c r="R843" t="s">
        <v>28</v>
      </c>
      <c r="S843" t="s">
        <v>3895</v>
      </c>
      <c r="T843" t="s">
        <v>3896</v>
      </c>
      <c r="W843" t="s">
        <v>3897</v>
      </c>
      <c r="X843" t="s">
        <v>3898</v>
      </c>
      <c r="Y843" t="str">
        <f>"55303"</f>
        <v>55303</v>
      </c>
    </row>
    <row r="844" spans="1:25" x14ac:dyDescent="0.25">
      <c r="A844" t="s">
        <v>3899</v>
      </c>
      <c r="B844" t="s">
        <v>3900</v>
      </c>
      <c r="C844">
        <v>2020</v>
      </c>
      <c r="D844">
        <v>8001</v>
      </c>
      <c r="E844">
        <v>1</v>
      </c>
      <c r="F844" t="s">
        <v>3901</v>
      </c>
      <c r="G844">
        <v>975796</v>
      </c>
      <c r="J844">
        <v>12.22</v>
      </c>
      <c r="L844">
        <v>47482435</v>
      </c>
      <c r="M844" s="1">
        <v>44349</v>
      </c>
      <c r="N844" t="str">
        <f>"O210602I9"</f>
        <v>O210602I9</v>
      </c>
      <c r="O844" t="s">
        <v>28</v>
      </c>
      <c r="Q844" t="s">
        <v>29</v>
      </c>
      <c r="R844" t="s">
        <v>28</v>
      </c>
      <c r="S844" t="s">
        <v>3902</v>
      </c>
      <c r="T844" t="s">
        <v>3903</v>
      </c>
      <c r="W844" t="s">
        <v>107</v>
      </c>
      <c r="X844" t="s">
        <v>34</v>
      </c>
      <c r="Y844" t="str">
        <f>"774920458"</f>
        <v>774920458</v>
      </c>
    </row>
    <row r="845" spans="1:25" x14ac:dyDescent="0.25">
      <c r="A845" t="s">
        <v>3904</v>
      </c>
      <c r="B845" t="s">
        <v>3905</v>
      </c>
      <c r="C845">
        <v>2020</v>
      </c>
      <c r="D845">
        <v>8001</v>
      </c>
      <c r="E845">
        <v>1</v>
      </c>
      <c r="F845" t="s">
        <v>3906</v>
      </c>
      <c r="G845">
        <v>29604577</v>
      </c>
      <c r="J845">
        <v>39.42</v>
      </c>
      <c r="L845">
        <v>47034759</v>
      </c>
      <c r="M845" s="1">
        <v>44259</v>
      </c>
      <c r="N845" t="str">
        <f>"CC210304"</f>
        <v>CC210304</v>
      </c>
      <c r="O845" t="s">
        <v>28</v>
      </c>
      <c r="Q845" t="s">
        <v>29</v>
      </c>
      <c r="R845" t="s">
        <v>28</v>
      </c>
      <c r="S845" t="s">
        <v>3907</v>
      </c>
      <c r="T845" t="s">
        <v>3908</v>
      </c>
      <c r="W845" t="s">
        <v>107</v>
      </c>
      <c r="X845" t="s">
        <v>34</v>
      </c>
      <c r="Y845" t="str">
        <f>"77494"</f>
        <v>77494</v>
      </c>
    </row>
    <row r="846" spans="1:25" x14ac:dyDescent="0.25">
      <c r="A846" t="s">
        <v>3909</v>
      </c>
      <c r="B846" t="s">
        <v>3910</v>
      </c>
      <c r="C846">
        <v>2021</v>
      </c>
      <c r="D846">
        <v>8001</v>
      </c>
      <c r="E846">
        <v>1</v>
      </c>
      <c r="F846" t="s">
        <v>1022</v>
      </c>
      <c r="G846">
        <v>30916894</v>
      </c>
      <c r="J846">
        <v>6.87</v>
      </c>
      <c r="L846">
        <v>48850175</v>
      </c>
      <c r="M846" s="1">
        <v>44564</v>
      </c>
      <c r="N846" t="str">
        <f>"RC220208"</f>
        <v>RC220208</v>
      </c>
      <c r="O846" t="s">
        <v>28</v>
      </c>
      <c r="Q846" t="s">
        <v>29</v>
      </c>
      <c r="R846" t="s">
        <v>28</v>
      </c>
      <c r="S846" t="s">
        <v>1023</v>
      </c>
      <c r="T846" t="s">
        <v>1024</v>
      </c>
      <c r="W846" t="s">
        <v>1025</v>
      </c>
      <c r="X846" t="s">
        <v>317</v>
      </c>
      <c r="Y846" t="str">
        <f>"954048875"</f>
        <v>954048875</v>
      </c>
    </row>
    <row r="847" spans="1:25" x14ac:dyDescent="0.25">
      <c r="A847" t="s">
        <v>3911</v>
      </c>
      <c r="B847" t="s">
        <v>3912</v>
      </c>
      <c r="C847">
        <v>2020</v>
      </c>
      <c r="D847">
        <v>8001</v>
      </c>
      <c r="E847">
        <v>1</v>
      </c>
      <c r="F847" t="s">
        <v>3913</v>
      </c>
      <c r="G847">
        <v>0</v>
      </c>
      <c r="J847">
        <v>91.17</v>
      </c>
      <c r="L847">
        <v>46901341</v>
      </c>
      <c r="M847" s="1">
        <v>44237</v>
      </c>
      <c r="N847" t="str">
        <f>"J210210K7"</f>
        <v>J210210K7</v>
      </c>
      <c r="O847" t="s">
        <v>28</v>
      </c>
      <c r="Q847" t="s">
        <v>29</v>
      </c>
      <c r="R847" t="s">
        <v>28</v>
      </c>
      <c r="S847" t="s">
        <v>3913</v>
      </c>
      <c r="T847" t="s">
        <v>3914</v>
      </c>
      <c r="U847" t="s">
        <v>60</v>
      </c>
      <c r="V847" t="s">
        <v>60</v>
      </c>
      <c r="W847" t="s">
        <v>219</v>
      </c>
      <c r="X847" t="s">
        <v>34</v>
      </c>
      <c r="Y847" t="str">
        <f>"774796312   "</f>
        <v xml:space="preserve">774796312   </v>
      </c>
    </row>
    <row r="848" spans="1:25" x14ac:dyDescent="0.25">
      <c r="A848" t="s">
        <v>3915</v>
      </c>
      <c r="B848" t="s">
        <v>3916</v>
      </c>
      <c r="C848">
        <v>2020</v>
      </c>
      <c r="D848">
        <v>8001</v>
      </c>
      <c r="E848">
        <v>1</v>
      </c>
      <c r="F848" t="s">
        <v>3913</v>
      </c>
      <c r="G848">
        <v>0</v>
      </c>
      <c r="J848">
        <v>44.1</v>
      </c>
      <c r="L848">
        <v>46885380</v>
      </c>
      <c r="M848" s="1">
        <v>44236</v>
      </c>
      <c r="N848" t="str">
        <f>"J210209BW9"</f>
        <v>J210209BW9</v>
      </c>
      <c r="O848" t="s">
        <v>28</v>
      </c>
      <c r="Q848" t="s">
        <v>29</v>
      </c>
      <c r="R848" t="s">
        <v>28</v>
      </c>
      <c r="S848" t="s">
        <v>3913</v>
      </c>
      <c r="T848" t="s">
        <v>3914</v>
      </c>
      <c r="U848" t="s">
        <v>60</v>
      </c>
      <c r="V848" t="s">
        <v>60</v>
      </c>
      <c r="W848" t="s">
        <v>219</v>
      </c>
      <c r="X848" t="s">
        <v>34</v>
      </c>
      <c r="Y848" t="str">
        <f>"774796312   "</f>
        <v xml:space="preserve">774796312   </v>
      </c>
    </row>
    <row r="849" spans="1:25" x14ac:dyDescent="0.25">
      <c r="A849" t="s">
        <v>3917</v>
      </c>
      <c r="B849" t="s">
        <v>3918</v>
      </c>
      <c r="C849">
        <v>2020</v>
      </c>
      <c r="D849">
        <v>8001</v>
      </c>
      <c r="E849">
        <v>1</v>
      </c>
      <c r="F849" t="s">
        <v>3913</v>
      </c>
      <c r="G849">
        <v>0</v>
      </c>
      <c r="J849">
        <v>43.73</v>
      </c>
      <c r="L849">
        <v>46880559</v>
      </c>
      <c r="M849" s="1">
        <v>44236</v>
      </c>
      <c r="N849" t="str">
        <f>"J210209K5"</f>
        <v>J210209K5</v>
      </c>
      <c r="O849" t="s">
        <v>28</v>
      </c>
      <c r="Q849" t="s">
        <v>29</v>
      </c>
      <c r="R849" t="s">
        <v>28</v>
      </c>
      <c r="S849" t="s">
        <v>3913</v>
      </c>
      <c r="T849" t="s">
        <v>3914</v>
      </c>
      <c r="U849" t="s">
        <v>60</v>
      </c>
      <c r="V849" t="s">
        <v>60</v>
      </c>
      <c r="W849" t="s">
        <v>219</v>
      </c>
      <c r="X849" t="s">
        <v>34</v>
      </c>
      <c r="Y849" t="str">
        <f>"774796312   "</f>
        <v xml:space="preserve">774796312   </v>
      </c>
    </row>
    <row r="850" spans="1:25" x14ac:dyDescent="0.25">
      <c r="A850" t="s">
        <v>3919</v>
      </c>
      <c r="B850" t="s">
        <v>3920</v>
      </c>
      <c r="C850">
        <v>2020</v>
      </c>
      <c r="D850">
        <v>8001</v>
      </c>
      <c r="E850">
        <v>1</v>
      </c>
      <c r="F850" t="s">
        <v>3921</v>
      </c>
      <c r="G850">
        <v>29134932</v>
      </c>
      <c r="J850" s="2">
        <v>1915.19</v>
      </c>
      <c r="L850">
        <v>45678661</v>
      </c>
      <c r="M850" s="1">
        <v>44201</v>
      </c>
      <c r="N850" t="str">
        <f>"RC210120"</f>
        <v>RC210120</v>
      </c>
      <c r="O850" t="s">
        <v>28</v>
      </c>
      <c r="Q850" t="s">
        <v>29</v>
      </c>
      <c r="R850" t="s">
        <v>28</v>
      </c>
      <c r="S850" t="s">
        <v>3921</v>
      </c>
      <c r="T850" t="s">
        <v>3922</v>
      </c>
      <c r="W850" t="s">
        <v>40</v>
      </c>
      <c r="X850" t="s">
        <v>34</v>
      </c>
      <c r="Y850" t="str">
        <f>"77479"</f>
        <v>77479</v>
      </c>
    </row>
    <row r="851" spans="1:25" x14ac:dyDescent="0.25">
      <c r="A851" t="s">
        <v>3923</v>
      </c>
      <c r="B851" t="s">
        <v>3924</v>
      </c>
      <c r="C851">
        <v>2020</v>
      </c>
      <c r="D851">
        <v>8001</v>
      </c>
      <c r="E851">
        <v>3</v>
      </c>
      <c r="F851" t="s">
        <v>3925</v>
      </c>
      <c r="G851">
        <v>0</v>
      </c>
      <c r="J851">
        <v>5.19</v>
      </c>
      <c r="L851">
        <v>47140085</v>
      </c>
      <c r="M851" s="1">
        <v>44277</v>
      </c>
      <c r="N851" t="str">
        <f>"O210322BD1"</f>
        <v>O210322BD1</v>
      </c>
      <c r="O851" t="s">
        <v>28</v>
      </c>
      <c r="Q851" t="s">
        <v>29</v>
      </c>
      <c r="R851" t="s">
        <v>28</v>
      </c>
      <c r="S851" t="s">
        <v>3925</v>
      </c>
      <c r="T851" t="s">
        <v>3926</v>
      </c>
      <c r="U851" t="s">
        <v>60</v>
      </c>
      <c r="V851" t="s">
        <v>60</v>
      </c>
      <c r="W851" t="s">
        <v>214</v>
      </c>
      <c r="X851" t="s">
        <v>34</v>
      </c>
      <c r="Y851" t="str">
        <f>"774692612   "</f>
        <v xml:space="preserve">774692612   </v>
      </c>
    </row>
    <row r="852" spans="1:25" x14ac:dyDescent="0.25">
      <c r="A852" t="s">
        <v>3927</v>
      </c>
      <c r="B852" t="s">
        <v>3928</v>
      </c>
      <c r="C852">
        <v>2019</v>
      </c>
      <c r="D852">
        <v>8001</v>
      </c>
      <c r="E852">
        <v>1</v>
      </c>
      <c r="F852" t="s">
        <v>3929</v>
      </c>
      <c r="G852">
        <v>27898323</v>
      </c>
      <c r="J852">
        <v>6.56</v>
      </c>
      <c r="L852">
        <v>44367729</v>
      </c>
      <c r="M852" s="1">
        <v>44018</v>
      </c>
      <c r="N852" t="str">
        <f>"O200706U1"</f>
        <v>O200706U1</v>
      </c>
      <c r="O852" t="s">
        <v>28</v>
      </c>
      <c r="Q852" t="s">
        <v>29</v>
      </c>
      <c r="R852" t="s">
        <v>28</v>
      </c>
      <c r="S852" t="s">
        <v>3930</v>
      </c>
      <c r="T852" t="s">
        <v>3931</v>
      </c>
      <c r="U852" t="s">
        <v>3932</v>
      </c>
      <c r="W852" t="s">
        <v>81</v>
      </c>
      <c r="X852" t="s">
        <v>34</v>
      </c>
      <c r="Y852" t="str">
        <f>"774699639"</f>
        <v>774699639</v>
      </c>
    </row>
    <row r="853" spans="1:25" x14ac:dyDescent="0.25">
      <c r="A853" t="s">
        <v>3933</v>
      </c>
      <c r="B853" t="s">
        <v>3934</v>
      </c>
      <c r="C853">
        <v>2020</v>
      </c>
      <c r="D853">
        <v>8001</v>
      </c>
      <c r="E853">
        <v>28</v>
      </c>
      <c r="F853" t="s">
        <v>3935</v>
      </c>
      <c r="G853">
        <v>0</v>
      </c>
      <c r="J853">
        <v>21.3</v>
      </c>
      <c r="L853">
        <v>44554276</v>
      </c>
      <c r="M853" s="1">
        <v>44147</v>
      </c>
      <c r="N853" t="str">
        <f>"TE201112"</f>
        <v>TE201112</v>
      </c>
      <c r="O853" t="s">
        <v>28</v>
      </c>
      <c r="Q853" t="s">
        <v>29</v>
      </c>
      <c r="R853" t="s">
        <v>28</v>
      </c>
      <c r="S853" t="s">
        <v>3935</v>
      </c>
      <c r="T853" t="s">
        <v>3936</v>
      </c>
      <c r="U853" t="s">
        <v>60</v>
      </c>
      <c r="V853" t="s">
        <v>60</v>
      </c>
      <c r="W853" t="s">
        <v>214</v>
      </c>
      <c r="X853" t="s">
        <v>34</v>
      </c>
      <c r="Y853" t="str">
        <f>"774692601   "</f>
        <v xml:space="preserve">774692601   </v>
      </c>
    </row>
    <row r="854" spans="1:25" x14ac:dyDescent="0.25">
      <c r="A854" t="s">
        <v>3937</v>
      </c>
      <c r="B854" t="s">
        <v>3938</v>
      </c>
      <c r="C854">
        <v>2021</v>
      </c>
      <c r="D854">
        <v>8001</v>
      </c>
      <c r="E854">
        <v>2</v>
      </c>
      <c r="F854" t="s">
        <v>3939</v>
      </c>
      <c r="G854">
        <v>30881564</v>
      </c>
      <c r="J854">
        <v>166.95</v>
      </c>
      <c r="L854">
        <v>49890211</v>
      </c>
      <c r="M854" s="1">
        <v>44594</v>
      </c>
      <c r="N854" t="str">
        <f>"EK220202"</f>
        <v>EK220202</v>
      </c>
      <c r="O854" t="s">
        <v>28</v>
      </c>
      <c r="Q854" t="s">
        <v>29</v>
      </c>
      <c r="R854" t="s">
        <v>28</v>
      </c>
      <c r="S854" t="s">
        <v>3940</v>
      </c>
      <c r="T854" t="s">
        <v>3941</v>
      </c>
      <c r="W854" t="s">
        <v>75</v>
      </c>
      <c r="X854" t="s">
        <v>34</v>
      </c>
      <c r="Y854" t="str">
        <f>"77053"</f>
        <v>77053</v>
      </c>
    </row>
    <row r="855" spans="1:25" x14ac:dyDescent="0.25">
      <c r="A855" t="s">
        <v>3942</v>
      </c>
      <c r="B855" t="s">
        <v>3943</v>
      </c>
      <c r="C855">
        <v>2019</v>
      </c>
      <c r="D855">
        <v>8001</v>
      </c>
      <c r="E855">
        <v>2</v>
      </c>
      <c r="F855" t="s">
        <v>3944</v>
      </c>
      <c r="G855">
        <v>28400569</v>
      </c>
      <c r="J855">
        <v>243.51</v>
      </c>
      <c r="L855">
        <v>44071249</v>
      </c>
      <c r="M855" s="1">
        <v>43937</v>
      </c>
      <c r="N855" t="str">
        <f>"O200416Y1"</f>
        <v>O200416Y1</v>
      </c>
      <c r="O855" t="s">
        <v>28</v>
      </c>
      <c r="Q855" t="s">
        <v>29</v>
      </c>
      <c r="R855" t="s">
        <v>28</v>
      </c>
      <c r="S855" t="s">
        <v>3945</v>
      </c>
      <c r="T855" t="s">
        <v>3946</v>
      </c>
      <c r="W855" t="s">
        <v>81</v>
      </c>
      <c r="X855" t="s">
        <v>34</v>
      </c>
      <c r="Y855" t="str">
        <f>"77406"</f>
        <v>77406</v>
      </c>
    </row>
    <row r="856" spans="1:25" x14ac:dyDescent="0.25">
      <c r="A856" t="s">
        <v>3947</v>
      </c>
      <c r="B856" t="s">
        <v>3948</v>
      </c>
      <c r="C856">
        <v>2020</v>
      </c>
      <c r="D856">
        <v>8001</v>
      </c>
      <c r="E856">
        <v>1</v>
      </c>
      <c r="F856" t="s">
        <v>3949</v>
      </c>
      <c r="G856">
        <v>0</v>
      </c>
      <c r="J856">
        <v>7.27</v>
      </c>
      <c r="L856">
        <v>45482915</v>
      </c>
      <c r="M856" s="1">
        <v>44193</v>
      </c>
      <c r="N856" t="str">
        <f>"EL201228"</f>
        <v>EL201228</v>
      </c>
      <c r="O856" t="s">
        <v>28</v>
      </c>
      <c r="Q856" t="s">
        <v>29</v>
      </c>
      <c r="R856" t="s">
        <v>28</v>
      </c>
      <c r="S856" t="s">
        <v>3949</v>
      </c>
      <c r="T856" t="s">
        <v>3950</v>
      </c>
      <c r="U856" t="s">
        <v>60</v>
      </c>
      <c r="V856" t="s">
        <v>60</v>
      </c>
      <c r="W856" t="s">
        <v>219</v>
      </c>
      <c r="X856" t="s">
        <v>34</v>
      </c>
      <c r="Y856" t="str">
        <f>"774787024   "</f>
        <v xml:space="preserve">774787024   </v>
      </c>
    </row>
    <row r="857" spans="1:25" x14ac:dyDescent="0.25">
      <c r="A857" t="s">
        <v>3951</v>
      </c>
      <c r="B857" t="s">
        <v>3952</v>
      </c>
      <c r="C857">
        <v>2019</v>
      </c>
      <c r="D857">
        <v>8001</v>
      </c>
      <c r="E857">
        <v>7</v>
      </c>
      <c r="F857" t="s">
        <v>3953</v>
      </c>
      <c r="G857">
        <v>27554093</v>
      </c>
      <c r="J857">
        <v>121.25</v>
      </c>
      <c r="L857">
        <v>44327685</v>
      </c>
      <c r="M857" s="1">
        <v>44005</v>
      </c>
      <c r="N857" t="str">
        <f>"J200623K4"</f>
        <v>J200623K4</v>
      </c>
      <c r="O857" t="s">
        <v>28</v>
      </c>
      <c r="Q857" t="s">
        <v>29</v>
      </c>
      <c r="R857" t="s">
        <v>28</v>
      </c>
      <c r="S857" t="s">
        <v>3954</v>
      </c>
      <c r="T857" t="s">
        <v>3955</v>
      </c>
      <c r="U857" t="s">
        <v>1266</v>
      </c>
      <c r="W857" t="s">
        <v>332</v>
      </c>
      <c r="X857" t="s">
        <v>34</v>
      </c>
      <c r="Y857" t="str">
        <f>"752359788"</f>
        <v>752359788</v>
      </c>
    </row>
    <row r="858" spans="1:25" x14ac:dyDescent="0.25">
      <c r="A858" t="s">
        <v>3956</v>
      </c>
      <c r="B858" t="s">
        <v>3957</v>
      </c>
      <c r="C858">
        <v>2019</v>
      </c>
      <c r="D858">
        <v>8001</v>
      </c>
      <c r="E858">
        <v>1</v>
      </c>
      <c r="F858" t="s">
        <v>3958</v>
      </c>
      <c r="G858">
        <v>0</v>
      </c>
      <c r="J858">
        <v>89.76</v>
      </c>
      <c r="L858">
        <v>43915015</v>
      </c>
      <c r="M858" s="1">
        <v>43900</v>
      </c>
      <c r="N858" t="str">
        <f>"J200310AW2"</f>
        <v>J200310AW2</v>
      </c>
      <c r="O858" t="s">
        <v>28</v>
      </c>
      <c r="Q858" t="s">
        <v>29</v>
      </c>
      <c r="R858" t="s">
        <v>28</v>
      </c>
      <c r="S858" t="s">
        <v>3958</v>
      </c>
      <c r="T858" t="s">
        <v>3959</v>
      </c>
      <c r="U858" t="s">
        <v>60</v>
      </c>
      <c r="V858" t="s">
        <v>60</v>
      </c>
      <c r="W858" t="s">
        <v>219</v>
      </c>
      <c r="X858" t="s">
        <v>34</v>
      </c>
      <c r="Y858" t="str">
        <f>"774987017   "</f>
        <v xml:space="preserve">774987017   </v>
      </c>
    </row>
    <row r="859" spans="1:25" x14ac:dyDescent="0.25">
      <c r="A859" t="s">
        <v>3960</v>
      </c>
      <c r="B859" t="s">
        <v>3961</v>
      </c>
      <c r="C859">
        <v>2020</v>
      </c>
      <c r="D859">
        <v>8001</v>
      </c>
      <c r="E859">
        <v>1</v>
      </c>
      <c r="F859" t="s">
        <v>3962</v>
      </c>
      <c r="G859">
        <v>29461878</v>
      </c>
      <c r="J859">
        <v>321.73</v>
      </c>
      <c r="L859">
        <v>46728878</v>
      </c>
      <c r="M859" s="1">
        <v>44230</v>
      </c>
      <c r="N859" t="str">
        <f>"EK210203"</f>
        <v>EK210203</v>
      </c>
      <c r="O859" t="s">
        <v>28</v>
      </c>
      <c r="Q859" t="s">
        <v>29</v>
      </c>
      <c r="R859" t="s">
        <v>28</v>
      </c>
      <c r="S859" t="s">
        <v>3963</v>
      </c>
      <c r="T859" t="s">
        <v>3964</v>
      </c>
      <c r="W859" t="s">
        <v>40</v>
      </c>
      <c r="X859" t="s">
        <v>34</v>
      </c>
      <c r="Y859" t="str">
        <f>"77498"</f>
        <v>77498</v>
      </c>
    </row>
    <row r="860" spans="1:25" x14ac:dyDescent="0.25">
      <c r="A860" t="s">
        <v>3965</v>
      </c>
      <c r="B860" t="s">
        <v>3966</v>
      </c>
      <c r="C860">
        <v>2021</v>
      </c>
      <c r="D860">
        <v>8001</v>
      </c>
      <c r="E860">
        <v>1</v>
      </c>
      <c r="F860" t="s">
        <v>3967</v>
      </c>
      <c r="G860">
        <v>0</v>
      </c>
      <c r="J860">
        <v>641.20000000000005</v>
      </c>
      <c r="L860">
        <v>48367866</v>
      </c>
      <c r="M860" s="1">
        <v>44538</v>
      </c>
      <c r="N860" t="str">
        <f>"L211208"</f>
        <v>L211208</v>
      </c>
      <c r="O860" t="s">
        <v>28</v>
      </c>
      <c r="Q860" t="s">
        <v>29</v>
      </c>
      <c r="R860" t="s">
        <v>28</v>
      </c>
      <c r="S860" t="s">
        <v>3967</v>
      </c>
      <c r="T860" t="s">
        <v>3968</v>
      </c>
      <c r="U860" t="s">
        <v>60</v>
      </c>
      <c r="V860" t="s">
        <v>60</v>
      </c>
      <c r="W860" t="s">
        <v>219</v>
      </c>
      <c r="X860" t="s">
        <v>34</v>
      </c>
      <c r="Y860" t="str">
        <f>"774793252   "</f>
        <v xml:space="preserve">774793252   </v>
      </c>
    </row>
    <row r="861" spans="1:25" x14ac:dyDescent="0.25">
      <c r="A861" t="s">
        <v>3969</v>
      </c>
      <c r="B861" t="s">
        <v>3970</v>
      </c>
      <c r="C861">
        <v>2021</v>
      </c>
      <c r="D861">
        <v>8001</v>
      </c>
      <c r="E861">
        <v>1</v>
      </c>
      <c r="F861" t="s">
        <v>3971</v>
      </c>
      <c r="G861">
        <v>31141690</v>
      </c>
      <c r="J861">
        <v>500</v>
      </c>
      <c r="L861">
        <v>50228006</v>
      </c>
      <c r="M861" s="1">
        <v>44616</v>
      </c>
      <c r="N861" t="str">
        <f>"RC220317"</f>
        <v>RC220317</v>
      </c>
      <c r="O861" t="s">
        <v>28</v>
      </c>
      <c r="Q861" t="s">
        <v>29</v>
      </c>
      <c r="R861" t="s">
        <v>28</v>
      </c>
      <c r="S861" t="s">
        <v>3972</v>
      </c>
      <c r="T861" t="s">
        <v>3973</v>
      </c>
      <c r="W861" t="s">
        <v>75</v>
      </c>
      <c r="X861" t="s">
        <v>34</v>
      </c>
      <c r="Y861" t="str">
        <f>"770793327"</f>
        <v>770793327</v>
      </c>
    </row>
    <row r="862" spans="1:25" x14ac:dyDescent="0.25">
      <c r="A862" t="s">
        <v>3974</v>
      </c>
      <c r="B862" t="s">
        <v>3975</v>
      </c>
      <c r="C862">
        <v>2019</v>
      </c>
      <c r="D862">
        <v>8001</v>
      </c>
      <c r="E862">
        <v>1</v>
      </c>
      <c r="F862" t="s">
        <v>3976</v>
      </c>
      <c r="G862">
        <v>0</v>
      </c>
      <c r="J862">
        <v>134.78</v>
      </c>
      <c r="L862">
        <v>43880887</v>
      </c>
      <c r="M862" s="1">
        <v>43894</v>
      </c>
      <c r="N862" t="str">
        <f>"O200304AX1"</f>
        <v>O200304AX1</v>
      </c>
      <c r="O862" t="s">
        <v>28</v>
      </c>
      <c r="Q862" t="s">
        <v>29</v>
      </c>
      <c r="R862" t="s">
        <v>28</v>
      </c>
      <c r="S862" t="s">
        <v>3976</v>
      </c>
      <c r="T862" t="s">
        <v>3977</v>
      </c>
      <c r="U862" t="s">
        <v>60</v>
      </c>
      <c r="V862" t="s">
        <v>60</v>
      </c>
      <c r="W862" t="s">
        <v>219</v>
      </c>
      <c r="X862" t="s">
        <v>34</v>
      </c>
      <c r="Y862" t="str">
        <f>"774793259   "</f>
        <v xml:space="preserve">774793259   </v>
      </c>
    </row>
    <row r="863" spans="1:25" x14ac:dyDescent="0.25">
      <c r="A863" t="s">
        <v>3974</v>
      </c>
      <c r="B863" t="s">
        <v>3975</v>
      </c>
      <c r="C863">
        <v>2020</v>
      </c>
      <c r="D863">
        <v>8001</v>
      </c>
      <c r="E863">
        <v>1</v>
      </c>
      <c r="F863" t="s">
        <v>3976</v>
      </c>
      <c r="G863">
        <v>29896683</v>
      </c>
      <c r="J863" s="2">
        <v>1067.3</v>
      </c>
      <c r="L863">
        <v>47568805</v>
      </c>
      <c r="M863" s="1">
        <v>44377</v>
      </c>
      <c r="N863" t="str">
        <f>"O210630V1"</f>
        <v>O210630V1</v>
      </c>
      <c r="O863" t="s">
        <v>28</v>
      </c>
      <c r="Q863" t="s">
        <v>29</v>
      </c>
      <c r="R863" t="s">
        <v>28</v>
      </c>
      <c r="S863" t="s">
        <v>1612</v>
      </c>
      <c r="T863" t="s">
        <v>1613</v>
      </c>
      <c r="U863" t="s">
        <v>1614</v>
      </c>
      <c r="W863" t="s">
        <v>1615</v>
      </c>
      <c r="X863" t="s">
        <v>143</v>
      </c>
      <c r="Y863" t="str">
        <f>"191156320"</f>
        <v>191156320</v>
      </c>
    </row>
    <row r="864" spans="1:25" x14ac:dyDescent="0.25">
      <c r="A864" t="s">
        <v>3978</v>
      </c>
      <c r="B864" t="s">
        <v>3979</v>
      </c>
      <c r="C864">
        <v>2021</v>
      </c>
      <c r="D864">
        <v>8001</v>
      </c>
      <c r="E864">
        <v>1</v>
      </c>
      <c r="F864" t="s">
        <v>3980</v>
      </c>
      <c r="G864">
        <v>31036002</v>
      </c>
      <c r="J864">
        <v>8.89</v>
      </c>
      <c r="L864">
        <v>49207137</v>
      </c>
      <c r="M864" s="1">
        <v>44575</v>
      </c>
      <c r="N864" t="str">
        <f>"RC220221"</f>
        <v>RC220221</v>
      </c>
      <c r="O864" t="s">
        <v>28</v>
      </c>
      <c r="Q864" t="s">
        <v>29</v>
      </c>
      <c r="R864" t="s">
        <v>28</v>
      </c>
      <c r="S864" t="s">
        <v>3981</v>
      </c>
      <c r="T864" t="s">
        <v>3982</v>
      </c>
      <c r="W864" t="s">
        <v>154</v>
      </c>
      <c r="X864" t="s">
        <v>34</v>
      </c>
      <c r="Y864" t="str">
        <f>"774712663"</f>
        <v>774712663</v>
      </c>
    </row>
    <row r="865" spans="1:25" x14ac:dyDescent="0.25">
      <c r="A865" t="s">
        <v>3983</v>
      </c>
      <c r="B865" t="s">
        <v>3984</v>
      </c>
      <c r="C865">
        <v>2020</v>
      </c>
      <c r="D865">
        <v>8001</v>
      </c>
      <c r="E865">
        <v>1</v>
      </c>
      <c r="F865" t="s">
        <v>3985</v>
      </c>
      <c r="G865">
        <v>0</v>
      </c>
      <c r="J865">
        <v>78.849999999999994</v>
      </c>
      <c r="L865">
        <v>44759935</v>
      </c>
      <c r="M865" s="1">
        <v>44147</v>
      </c>
      <c r="N865" t="str">
        <f>"TE201112"</f>
        <v>TE201112</v>
      </c>
      <c r="O865" t="s">
        <v>28</v>
      </c>
      <c r="Q865" t="s">
        <v>29</v>
      </c>
      <c r="R865" t="s">
        <v>28</v>
      </c>
      <c r="S865" t="s">
        <v>3985</v>
      </c>
      <c r="T865" t="s">
        <v>2464</v>
      </c>
      <c r="U865" t="s">
        <v>60</v>
      </c>
      <c r="V865" t="s">
        <v>60</v>
      </c>
      <c r="W865" t="s">
        <v>2465</v>
      </c>
      <c r="X865" t="s">
        <v>34</v>
      </c>
      <c r="Y865" t="str">
        <f>"786103675   "</f>
        <v xml:space="preserve">786103675   </v>
      </c>
    </row>
    <row r="866" spans="1:25" x14ac:dyDescent="0.25">
      <c r="A866" t="s">
        <v>3986</v>
      </c>
      <c r="B866" t="s">
        <v>3987</v>
      </c>
      <c r="C866">
        <v>2020</v>
      </c>
      <c r="D866">
        <v>8001</v>
      </c>
      <c r="E866">
        <v>1</v>
      </c>
      <c r="F866" t="s">
        <v>3988</v>
      </c>
      <c r="G866">
        <v>29381487</v>
      </c>
      <c r="J866">
        <v>504.62</v>
      </c>
      <c r="L866">
        <v>46588600</v>
      </c>
      <c r="M866" s="1">
        <v>44228</v>
      </c>
      <c r="N866" t="str">
        <f>"O210201BD1"</f>
        <v>O210201BD1</v>
      </c>
      <c r="O866" t="s">
        <v>28</v>
      </c>
      <c r="Q866" t="s">
        <v>29</v>
      </c>
      <c r="R866" t="s">
        <v>28</v>
      </c>
      <c r="S866" t="s">
        <v>2890</v>
      </c>
      <c r="T866" t="s">
        <v>3989</v>
      </c>
      <c r="W866" t="s">
        <v>81</v>
      </c>
      <c r="X866" t="s">
        <v>34</v>
      </c>
      <c r="Y866" t="str">
        <f>"774073260"</f>
        <v>774073260</v>
      </c>
    </row>
    <row r="867" spans="1:25" x14ac:dyDescent="0.25">
      <c r="A867" t="s">
        <v>3990</v>
      </c>
      <c r="B867" t="s">
        <v>3991</v>
      </c>
      <c r="C867">
        <v>2020</v>
      </c>
      <c r="D867">
        <v>8001</v>
      </c>
      <c r="E867">
        <v>2</v>
      </c>
      <c r="F867" t="s">
        <v>3992</v>
      </c>
      <c r="G867">
        <v>27448614</v>
      </c>
      <c r="J867">
        <v>7.85</v>
      </c>
      <c r="L867">
        <v>47603794</v>
      </c>
      <c r="M867" s="1">
        <v>44391</v>
      </c>
      <c r="N867" t="str">
        <f>"O210714F1"</f>
        <v>O210714F1</v>
      </c>
      <c r="O867" t="s">
        <v>28</v>
      </c>
      <c r="Q867" t="s">
        <v>29</v>
      </c>
      <c r="R867" t="s">
        <v>28</v>
      </c>
      <c r="S867" t="s">
        <v>3992</v>
      </c>
      <c r="T867" t="s">
        <v>3993</v>
      </c>
      <c r="U867" t="s">
        <v>3994</v>
      </c>
      <c r="W867" t="s">
        <v>332</v>
      </c>
      <c r="X867" t="s">
        <v>34</v>
      </c>
      <c r="Y867" t="str">
        <f>"753701088"</f>
        <v>753701088</v>
      </c>
    </row>
    <row r="868" spans="1:25" x14ac:dyDescent="0.25">
      <c r="A868" t="s">
        <v>3995</v>
      </c>
      <c r="B868" t="s">
        <v>3996</v>
      </c>
      <c r="C868">
        <v>2020</v>
      </c>
      <c r="D868">
        <v>8001</v>
      </c>
      <c r="E868">
        <v>2</v>
      </c>
      <c r="F868" t="s">
        <v>3997</v>
      </c>
      <c r="G868">
        <v>0</v>
      </c>
      <c r="J868">
        <v>10</v>
      </c>
      <c r="L868">
        <v>46517324</v>
      </c>
      <c r="M868" s="1">
        <v>44225</v>
      </c>
      <c r="N868" t="str">
        <f>"L210129"</f>
        <v>L210129</v>
      </c>
      <c r="O868" t="s">
        <v>28</v>
      </c>
      <c r="Q868" t="s">
        <v>29</v>
      </c>
      <c r="R868" t="s">
        <v>28</v>
      </c>
      <c r="S868" t="s">
        <v>3997</v>
      </c>
      <c r="T868" t="s">
        <v>3998</v>
      </c>
      <c r="U868" t="s">
        <v>60</v>
      </c>
      <c r="V868" t="s">
        <v>60</v>
      </c>
      <c r="W868" t="s">
        <v>214</v>
      </c>
      <c r="X868" t="s">
        <v>34</v>
      </c>
      <c r="Y868" t="str">
        <f>"774073279   "</f>
        <v xml:space="preserve">774073279   </v>
      </c>
    </row>
    <row r="869" spans="1:25" x14ac:dyDescent="0.25">
      <c r="A869" t="s">
        <v>3999</v>
      </c>
      <c r="B869" t="s">
        <v>4000</v>
      </c>
      <c r="C869">
        <v>2020</v>
      </c>
      <c r="D869">
        <v>8001</v>
      </c>
      <c r="E869">
        <v>2</v>
      </c>
      <c r="F869" t="s">
        <v>3992</v>
      </c>
      <c r="G869">
        <v>27448614</v>
      </c>
      <c r="J869">
        <v>7.7</v>
      </c>
      <c r="L869">
        <v>47603790</v>
      </c>
      <c r="M869" s="1">
        <v>44391</v>
      </c>
      <c r="N869" t="str">
        <f>"O210714F1"</f>
        <v>O210714F1</v>
      </c>
      <c r="O869" t="s">
        <v>28</v>
      </c>
      <c r="Q869" t="s">
        <v>29</v>
      </c>
      <c r="R869" t="s">
        <v>28</v>
      </c>
      <c r="S869" t="s">
        <v>3992</v>
      </c>
      <c r="T869" t="s">
        <v>3993</v>
      </c>
      <c r="U869" t="s">
        <v>3994</v>
      </c>
      <c r="W869" t="s">
        <v>332</v>
      </c>
      <c r="X869" t="s">
        <v>34</v>
      </c>
      <c r="Y869" t="str">
        <f>"753701088"</f>
        <v>753701088</v>
      </c>
    </row>
    <row r="870" spans="1:25" x14ac:dyDescent="0.25">
      <c r="A870" t="s">
        <v>4001</v>
      </c>
      <c r="B870" t="s">
        <v>4002</v>
      </c>
      <c r="C870">
        <v>2020</v>
      </c>
      <c r="D870">
        <v>8001</v>
      </c>
      <c r="E870">
        <v>1</v>
      </c>
      <c r="F870" t="s">
        <v>4003</v>
      </c>
      <c r="G870">
        <v>21639043</v>
      </c>
      <c r="J870">
        <v>555.04999999999995</v>
      </c>
      <c r="L870">
        <v>45660815</v>
      </c>
      <c r="M870" s="1">
        <v>44200</v>
      </c>
      <c r="N870" t="str">
        <f>"RC210120"</f>
        <v>RC210120</v>
      </c>
      <c r="O870" t="s">
        <v>28</v>
      </c>
      <c r="Q870" t="s">
        <v>29</v>
      </c>
      <c r="R870" t="s">
        <v>28</v>
      </c>
      <c r="S870" t="s">
        <v>4004</v>
      </c>
      <c r="T870" t="s">
        <v>4005</v>
      </c>
      <c r="W870" t="s">
        <v>40</v>
      </c>
      <c r="X870" t="s">
        <v>34</v>
      </c>
      <c r="Y870" t="str">
        <f>"77498"</f>
        <v>77498</v>
      </c>
    </row>
    <row r="871" spans="1:25" x14ac:dyDescent="0.25">
      <c r="A871" t="s">
        <v>4006</v>
      </c>
      <c r="B871" t="s">
        <v>4007</v>
      </c>
      <c r="C871">
        <v>2019</v>
      </c>
      <c r="D871">
        <v>8001</v>
      </c>
      <c r="E871">
        <v>1</v>
      </c>
      <c r="F871" t="s">
        <v>4008</v>
      </c>
      <c r="G871">
        <v>0</v>
      </c>
      <c r="J871">
        <v>5.21</v>
      </c>
      <c r="L871">
        <v>43909523</v>
      </c>
      <c r="M871" s="1">
        <v>43899</v>
      </c>
      <c r="N871" t="str">
        <f>"J200309AW6"</f>
        <v>J200309AW6</v>
      </c>
      <c r="O871" t="s">
        <v>28</v>
      </c>
      <c r="Q871" t="s">
        <v>29</v>
      </c>
      <c r="R871" t="s">
        <v>28</v>
      </c>
      <c r="S871" t="s">
        <v>4008</v>
      </c>
      <c r="T871" t="s">
        <v>4009</v>
      </c>
      <c r="U871" t="s">
        <v>4010</v>
      </c>
      <c r="V871" t="s">
        <v>60</v>
      </c>
      <c r="W871" t="s">
        <v>219</v>
      </c>
      <c r="X871" t="s">
        <v>34</v>
      </c>
      <c r="Y871" t="str">
        <f>"774782809   "</f>
        <v xml:space="preserve">774782809   </v>
      </c>
    </row>
    <row r="872" spans="1:25" x14ac:dyDescent="0.25">
      <c r="A872" t="s">
        <v>4011</v>
      </c>
      <c r="B872" t="s">
        <v>4012</v>
      </c>
      <c r="C872">
        <v>2021</v>
      </c>
      <c r="D872">
        <v>8001</v>
      </c>
      <c r="E872">
        <v>3</v>
      </c>
      <c r="F872" t="s">
        <v>4013</v>
      </c>
      <c r="G872">
        <v>23405924</v>
      </c>
      <c r="J872" s="2">
        <v>2000</v>
      </c>
      <c r="L872">
        <v>48538124</v>
      </c>
      <c r="M872" s="1">
        <v>44547</v>
      </c>
      <c r="N872" t="str">
        <f>"RC220114"</f>
        <v>RC220114</v>
      </c>
      <c r="O872" t="s">
        <v>28</v>
      </c>
      <c r="Q872" t="s">
        <v>29</v>
      </c>
      <c r="R872" t="s">
        <v>28</v>
      </c>
      <c r="S872" t="s">
        <v>4014</v>
      </c>
      <c r="T872" t="s">
        <v>4015</v>
      </c>
      <c r="U872" t="s">
        <v>4016</v>
      </c>
      <c r="W872" t="s">
        <v>40</v>
      </c>
      <c r="X872" t="s">
        <v>34</v>
      </c>
      <c r="Y872" t="str">
        <f>"774987449"</f>
        <v>774987449</v>
      </c>
    </row>
    <row r="873" spans="1:25" x14ac:dyDescent="0.25">
      <c r="A873" t="s">
        <v>4017</v>
      </c>
      <c r="B873" t="s">
        <v>4018</v>
      </c>
      <c r="C873">
        <v>2019</v>
      </c>
      <c r="D873">
        <v>8001</v>
      </c>
      <c r="E873">
        <v>5</v>
      </c>
      <c r="F873" t="s">
        <v>4019</v>
      </c>
      <c r="G873">
        <v>22424044</v>
      </c>
      <c r="J873">
        <v>91.16</v>
      </c>
      <c r="L873">
        <v>43907846</v>
      </c>
      <c r="M873" s="1">
        <v>43899</v>
      </c>
      <c r="N873" t="str">
        <f>"J200309AW1"</f>
        <v>J200309AW1</v>
      </c>
      <c r="O873" t="s">
        <v>28</v>
      </c>
      <c r="Q873" t="s">
        <v>29</v>
      </c>
      <c r="R873" t="s">
        <v>28</v>
      </c>
      <c r="S873" t="s">
        <v>4020</v>
      </c>
      <c r="T873" t="s">
        <v>4021</v>
      </c>
      <c r="W873" t="s">
        <v>154</v>
      </c>
      <c r="X873" t="s">
        <v>34</v>
      </c>
      <c r="Y873" t="str">
        <f>"774712537"</f>
        <v>774712537</v>
      </c>
    </row>
    <row r="874" spans="1:25" x14ac:dyDescent="0.25">
      <c r="A874" t="s">
        <v>4022</v>
      </c>
      <c r="B874" t="s">
        <v>4023</v>
      </c>
      <c r="C874">
        <v>2020</v>
      </c>
      <c r="D874">
        <v>8001</v>
      </c>
      <c r="E874">
        <v>1</v>
      </c>
      <c r="F874" t="s">
        <v>4024</v>
      </c>
      <c r="G874">
        <v>29461733</v>
      </c>
      <c r="J874">
        <v>323.87</v>
      </c>
      <c r="L874">
        <v>46728733</v>
      </c>
      <c r="M874" s="1">
        <v>44230</v>
      </c>
      <c r="N874" t="str">
        <f>"EK210203"</f>
        <v>EK210203</v>
      </c>
      <c r="O874" t="s">
        <v>28</v>
      </c>
      <c r="Q874" t="s">
        <v>29</v>
      </c>
      <c r="R874" t="s">
        <v>28</v>
      </c>
      <c r="S874" t="s">
        <v>4025</v>
      </c>
      <c r="T874" t="s">
        <v>4026</v>
      </c>
      <c r="W874" t="s">
        <v>40</v>
      </c>
      <c r="X874" t="s">
        <v>34</v>
      </c>
      <c r="Y874" t="str">
        <f>"77498"</f>
        <v>77498</v>
      </c>
    </row>
    <row r="875" spans="1:25" x14ac:dyDescent="0.25">
      <c r="A875" t="s">
        <v>4027</v>
      </c>
      <c r="B875" t="s">
        <v>4028</v>
      </c>
      <c r="C875">
        <v>2019</v>
      </c>
      <c r="D875">
        <v>8001</v>
      </c>
      <c r="E875">
        <v>2</v>
      </c>
      <c r="F875" t="s">
        <v>4029</v>
      </c>
      <c r="G875">
        <v>27817311</v>
      </c>
      <c r="J875">
        <v>5.9</v>
      </c>
      <c r="L875">
        <v>43890177</v>
      </c>
      <c r="M875" s="1">
        <v>43895</v>
      </c>
      <c r="N875" t="str">
        <f>"J200305K3"</f>
        <v>J200305K3</v>
      </c>
      <c r="O875" t="s">
        <v>28</v>
      </c>
      <c r="Q875" t="s">
        <v>29</v>
      </c>
      <c r="R875" t="s">
        <v>28</v>
      </c>
      <c r="S875" t="s">
        <v>380</v>
      </c>
      <c r="T875" t="s">
        <v>4030</v>
      </c>
      <c r="U875" t="s">
        <v>4031</v>
      </c>
      <c r="W875" t="s">
        <v>75</v>
      </c>
      <c r="X875" t="s">
        <v>34</v>
      </c>
      <c r="Y875" t="str">
        <f>"77070"</f>
        <v>77070</v>
      </c>
    </row>
    <row r="876" spans="1:25" x14ac:dyDescent="0.25">
      <c r="A876" t="s">
        <v>4032</v>
      </c>
      <c r="B876" t="s">
        <v>4033</v>
      </c>
      <c r="C876">
        <v>2021</v>
      </c>
      <c r="D876">
        <v>8001</v>
      </c>
      <c r="E876">
        <v>14</v>
      </c>
      <c r="F876" t="s">
        <v>4034</v>
      </c>
      <c r="G876">
        <v>0</v>
      </c>
      <c r="J876">
        <v>18.739999999999998</v>
      </c>
      <c r="L876">
        <v>49789369</v>
      </c>
      <c r="M876" s="1">
        <v>44592</v>
      </c>
      <c r="N876" t="str">
        <f>"O220131AK7"</f>
        <v>O220131AK7</v>
      </c>
      <c r="O876" t="s">
        <v>28</v>
      </c>
      <c r="Q876" t="s">
        <v>29</v>
      </c>
      <c r="R876" t="s">
        <v>28</v>
      </c>
      <c r="S876" t="s">
        <v>4034</v>
      </c>
      <c r="T876" t="s">
        <v>4035</v>
      </c>
      <c r="U876" t="s">
        <v>60</v>
      </c>
      <c r="V876" t="s">
        <v>60</v>
      </c>
      <c r="W876" t="s">
        <v>135</v>
      </c>
      <c r="X876" t="s">
        <v>34</v>
      </c>
      <c r="Y876" t="str">
        <f>"772310685   "</f>
        <v xml:space="preserve">772310685   </v>
      </c>
    </row>
    <row r="877" spans="1:25" x14ac:dyDescent="0.25">
      <c r="A877" t="s">
        <v>4036</v>
      </c>
      <c r="B877" t="s">
        <v>4037</v>
      </c>
      <c r="C877">
        <v>2020</v>
      </c>
      <c r="D877">
        <v>8001</v>
      </c>
      <c r="E877">
        <v>2</v>
      </c>
      <c r="F877" t="s">
        <v>4038</v>
      </c>
      <c r="G877">
        <v>29855880</v>
      </c>
      <c r="J877">
        <v>86.38</v>
      </c>
      <c r="L877">
        <v>47493677</v>
      </c>
      <c r="M877" s="1">
        <v>44350</v>
      </c>
      <c r="N877" t="str">
        <f>"EK210603"</f>
        <v>EK210603</v>
      </c>
      <c r="O877" t="s">
        <v>28</v>
      </c>
      <c r="Q877" t="s">
        <v>29</v>
      </c>
      <c r="R877" t="s">
        <v>28</v>
      </c>
      <c r="S877" t="s">
        <v>4039</v>
      </c>
      <c r="T877" t="s">
        <v>4040</v>
      </c>
      <c r="W877" t="s">
        <v>371</v>
      </c>
      <c r="X877" t="s">
        <v>34</v>
      </c>
      <c r="Y877" t="str">
        <f>"77477"</f>
        <v>77477</v>
      </c>
    </row>
    <row r="878" spans="1:25" x14ac:dyDescent="0.25">
      <c r="A878" t="s">
        <v>4041</v>
      </c>
      <c r="B878" t="s">
        <v>4042</v>
      </c>
      <c r="C878">
        <v>2021</v>
      </c>
      <c r="D878">
        <v>8001</v>
      </c>
      <c r="E878">
        <v>1</v>
      </c>
      <c r="F878" t="s">
        <v>4043</v>
      </c>
      <c r="G878">
        <v>3921721</v>
      </c>
      <c r="J878">
        <v>20.94</v>
      </c>
      <c r="L878">
        <v>49350258</v>
      </c>
      <c r="M878" s="1">
        <v>44581</v>
      </c>
      <c r="N878" t="str">
        <f>"RC220221"</f>
        <v>RC220221</v>
      </c>
      <c r="O878" t="s">
        <v>28</v>
      </c>
      <c r="Q878" t="s">
        <v>29</v>
      </c>
      <c r="R878" t="s">
        <v>28</v>
      </c>
      <c r="S878" t="s">
        <v>4044</v>
      </c>
      <c r="T878" t="s">
        <v>4045</v>
      </c>
      <c r="W878" t="s">
        <v>4046</v>
      </c>
      <c r="X878" t="s">
        <v>34</v>
      </c>
      <c r="Y878" t="str">
        <f>"950300000"</f>
        <v>950300000</v>
      </c>
    </row>
    <row r="879" spans="1:25" x14ac:dyDescent="0.25">
      <c r="A879" t="s">
        <v>4047</v>
      </c>
      <c r="B879" t="s">
        <v>4048</v>
      </c>
      <c r="C879">
        <v>2021</v>
      </c>
      <c r="D879">
        <v>8001</v>
      </c>
      <c r="E879">
        <v>2</v>
      </c>
      <c r="F879" t="s">
        <v>4049</v>
      </c>
      <c r="G879">
        <v>28406245</v>
      </c>
      <c r="J879">
        <v>505.82</v>
      </c>
      <c r="L879">
        <v>49635223</v>
      </c>
      <c r="M879" s="1">
        <v>44588</v>
      </c>
      <c r="N879" t="str">
        <f>"RC220309"</f>
        <v>RC220309</v>
      </c>
      <c r="O879" t="s">
        <v>28</v>
      </c>
      <c r="Q879" t="s">
        <v>29</v>
      </c>
      <c r="R879" t="s">
        <v>28</v>
      </c>
      <c r="S879" t="s">
        <v>1474</v>
      </c>
      <c r="T879" t="s">
        <v>1475</v>
      </c>
      <c r="W879" t="s">
        <v>33</v>
      </c>
      <c r="X879" t="s">
        <v>34</v>
      </c>
      <c r="Y879" t="str">
        <f>"75093"</f>
        <v>75093</v>
      </c>
    </row>
    <row r="880" spans="1:25" x14ac:dyDescent="0.25">
      <c r="A880" t="s">
        <v>4050</v>
      </c>
      <c r="B880" t="s">
        <v>4051</v>
      </c>
      <c r="C880">
        <v>2019</v>
      </c>
      <c r="D880">
        <v>8001</v>
      </c>
      <c r="E880">
        <v>1</v>
      </c>
      <c r="F880" t="s">
        <v>4052</v>
      </c>
      <c r="G880">
        <v>23563726</v>
      </c>
      <c r="J880">
        <v>72.06</v>
      </c>
      <c r="L880">
        <v>44231773</v>
      </c>
      <c r="M880" s="1">
        <v>43980</v>
      </c>
      <c r="N880" t="str">
        <f>"J200529AW3"</f>
        <v>J200529AW3</v>
      </c>
      <c r="O880" t="s">
        <v>28</v>
      </c>
      <c r="Q880" t="s">
        <v>29</v>
      </c>
      <c r="R880" t="s">
        <v>28</v>
      </c>
      <c r="S880" t="s">
        <v>4053</v>
      </c>
      <c r="T880" t="s">
        <v>4054</v>
      </c>
      <c r="U880" t="s">
        <v>4055</v>
      </c>
      <c r="W880" t="s">
        <v>332</v>
      </c>
      <c r="X880" t="s">
        <v>34</v>
      </c>
      <c r="Y880" t="str">
        <f>"75201"</f>
        <v>75201</v>
      </c>
    </row>
    <row r="881" spans="1:25" x14ac:dyDescent="0.25">
      <c r="A881" t="s">
        <v>4056</v>
      </c>
      <c r="B881" t="s">
        <v>4057</v>
      </c>
      <c r="C881">
        <v>2019</v>
      </c>
      <c r="D881">
        <v>8001</v>
      </c>
      <c r="E881">
        <v>2</v>
      </c>
      <c r="F881" t="s">
        <v>4058</v>
      </c>
      <c r="G881">
        <v>28176454</v>
      </c>
      <c r="J881">
        <v>450.7</v>
      </c>
      <c r="L881">
        <v>43577643</v>
      </c>
      <c r="M881" s="1">
        <v>43865</v>
      </c>
      <c r="N881" t="str">
        <f>"O200204AV6"</f>
        <v>O200204AV6</v>
      </c>
      <c r="O881" t="s">
        <v>28</v>
      </c>
      <c r="Q881" t="s">
        <v>29</v>
      </c>
      <c r="R881" t="s">
        <v>28</v>
      </c>
      <c r="S881" t="s">
        <v>2029</v>
      </c>
      <c r="T881" t="s">
        <v>2030</v>
      </c>
      <c r="W881" t="s">
        <v>40</v>
      </c>
      <c r="X881" t="s">
        <v>34</v>
      </c>
      <c r="Y881" t="str">
        <f>"774784217"</f>
        <v>774784217</v>
      </c>
    </row>
    <row r="882" spans="1:25" x14ac:dyDescent="0.25">
      <c r="A882" t="s">
        <v>4059</v>
      </c>
      <c r="B882" t="s">
        <v>4060</v>
      </c>
      <c r="C882">
        <v>2020</v>
      </c>
      <c r="D882">
        <v>8001</v>
      </c>
      <c r="E882">
        <v>2</v>
      </c>
      <c r="F882" t="s">
        <v>4061</v>
      </c>
      <c r="G882">
        <v>29339036</v>
      </c>
      <c r="J882">
        <v>30</v>
      </c>
      <c r="L882">
        <v>46495682</v>
      </c>
      <c r="M882" s="1">
        <v>44225</v>
      </c>
      <c r="N882" t="str">
        <f>"O210129AS6"</f>
        <v>O210129AS6</v>
      </c>
      <c r="O882" t="s">
        <v>28</v>
      </c>
      <c r="Q882" t="s">
        <v>29</v>
      </c>
      <c r="R882" t="s">
        <v>28</v>
      </c>
      <c r="S882" t="s">
        <v>4062</v>
      </c>
      <c r="T882" t="s">
        <v>4063</v>
      </c>
      <c r="W882" t="s">
        <v>392</v>
      </c>
      <c r="X882" t="s">
        <v>34</v>
      </c>
      <c r="Y882" t="str">
        <f>"774592569"</f>
        <v>774592569</v>
      </c>
    </row>
    <row r="883" spans="1:25" x14ac:dyDescent="0.25">
      <c r="A883" t="s">
        <v>4064</v>
      </c>
      <c r="B883" t="s">
        <v>4065</v>
      </c>
      <c r="C883">
        <v>2021</v>
      </c>
      <c r="D883">
        <v>8001</v>
      </c>
      <c r="E883">
        <v>1</v>
      </c>
      <c r="F883" t="s">
        <v>4066</v>
      </c>
      <c r="G883">
        <v>30503748</v>
      </c>
      <c r="J883">
        <v>170.7</v>
      </c>
      <c r="L883">
        <v>48396580</v>
      </c>
      <c r="M883" s="1">
        <v>44539</v>
      </c>
      <c r="N883" t="str">
        <f>"RC220113"</f>
        <v>RC220113</v>
      </c>
      <c r="O883" t="s">
        <v>28</v>
      </c>
      <c r="Q883" t="s">
        <v>29</v>
      </c>
      <c r="R883" t="s">
        <v>28</v>
      </c>
      <c r="S883" t="s">
        <v>4067</v>
      </c>
      <c r="T883" t="s">
        <v>203</v>
      </c>
      <c r="U883" t="s">
        <v>4068</v>
      </c>
      <c r="W883" t="s">
        <v>107</v>
      </c>
      <c r="X883" t="s">
        <v>34</v>
      </c>
      <c r="Y883" t="str">
        <f>"77494"</f>
        <v>77494</v>
      </c>
    </row>
    <row r="884" spans="1:25" x14ac:dyDescent="0.25">
      <c r="A884" t="s">
        <v>4069</v>
      </c>
      <c r="B884" t="s">
        <v>4070</v>
      </c>
      <c r="C884">
        <v>2021</v>
      </c>
      <c r="D884">
        <v>8001</v>
      </c>
      <c r="E884">
        <v>1</v>
      </c>
      <c r="F884" t="s">
        <v>4071</v>
      </c>
      <c r="G884">
        <v>26419208</v>
      </c>
      <c r="J884">
        <v>258.95999999999998</v>
      </c>
      <c r="L884">
        <v>48209730</v>
      </c>
      <c r="M884" s="1">
        <v>44529</v>
      </c>
      <c r="N884" t="str">
        <f>"RC211222"</f>
        <v>RC211222</v>
      </c>
      <c r="O884" t="s">
        <v>28</v>
      </c>
      <c r="Q884" t="s">
        <v>29</v>
      </c>
      <c r="R884" t="s">
        <v>28</v>
      </c>
      <c r="S884" t="s">
        <v>1073</v>
      </c>
      <c r="T884" t="s">
        <v>1074</v>
      </c>
      <c r="W884" t="s">
        <v>1075</v>
      </c>
      <c r="X884" t="s">
        <v>34</v>
      </c>
      <c r="Y884" t="str">
        <f>"76177"</f>
        <v>76177</v>
      </c>
    </row>
    <row r="885" spans="1:25" x14ac:dyDescent="0.25">
      <c r="A885" t="s">
        <v>4072</v>
      </c>
      <c r="B885" t="s">
        <v>4073</v>
      </c>
      <c r="C885">
        <v>2019</v>
      </c>
      <c r="D885">
        <v>8001</v>
      </c>
      <c r="E885">
        <v>1</v>
      </c>
      <c r="F885" t="s">
        <v>4074</v>
      </c>
      <c r="G885">
        <v>0</v>
      </c>
      <c r="J885">
        <v>88.05</v>
      </c>
      <c r="L885">
        <v>43914996</v>
      </c>
      <c r="M885" s="1">
        <v>43900</v>
      </c>
      <c r="N885" t="str">
        <f>"J200310AW2"</f>
        <v>J200310AW2</v>
      </c>
      <c r="O885" t="s">
        <v>28</v>
      </c>
      <c r="Q885" t="s">
        <v>29</v>
      </c>
      <c r="R885" t="s">
        <v>28</v>
      </c>
      <c r="S885" t="s">
        <v>4074</v>
      </c>
      <c r="T885" t="s">
        <v>4075</v>
      </c>
      <c r="U885" t="s">
        <v>60</v>
      </c>
      <c r="V885" t="s">
        <v>60</v>
      </c>
      <c r="W885" t="s">
        <v>1137</v>
      </c>
      <c r="X885" t="s">
        <v>34</v>
      </c>
      <c r="Y885" t="str">
        <f>"774945588   "</f>
        <v xml:space="preserve">774945588   </v>
      </c>
    </row>
    <row r="886" spans="1:25" x14ac:dyDescent="0.25">
      <c r="A886" t="s">
        <v>4076</v>
      </c>
      <c r="B886" t="s">
        <v>4077</v>
      </c>
      <c r="C886">
        <v>2021</v>
      </c>
      <c r="D886">
        <v>8001</v>
      </c>
      <c r="E886">
        <v>1</v>
      </c>
      <c r="F886" t="s">
        <v>4078</v>
      </c>
      <c r="G886">
        <v>30101591</v>
      </c>
      <c r="J886">
        <v>9.8699999999999992</v>
      </c>
      <c r="L886">
        <v>48167745</v>
      </c>
      <c r="M886" s="1">
        <v>44522</v>
      </c>
      <c r="N886" t="str">
        <f>"RC211222"</f>
        <v>RC211222</v>
      </c>
      <c r="O886" t="s">
        <v>28</v>
      </c>
      <c r="Q886" t="s">
        <v>29</v>
      </c>
      <c r="R886" t="s">
        <v>28</v>
      </c>
      <c r="S886" t="s">
        <v>380</v>
      </c>
      <c r="T886" t="s">
        <v>1903</v>
      </c>
      <c r="U886" t="s">
        <v>1904</v>
      </c>
      <c r="V886" t="s">
        <v>1905</v>
      </c>
      <c r="W886" t="s">
        <v>75</v>
      </c>
      <c r="X886" t="s">
        <v>34</v>
      </c>
      <c r="Y886" t="str">
        <f>"770426040"</f>
        <v>770426040</v>
      </c>
    </row>
    <row r="887" spans="1:25" x14ac:dyDescent="0.25">
      <c r="A887" t="s">
        <v>4079</v>
      </c>
      <c r="B887" t="s">
        <v>4080</v>
      </c>
      <c r="C887">
        <v>2019</v>
      </c>
      <c r="D887">
        <v>8001</v>
      </c>
      <c r="E887">
        <v>1</v>
      </c>
      <c r="F887" t="s">
        <v>4081</v>
      </c>
      <c r="G887">
        <v>28035774</v>
      </c>
      <c r="J887">
        <v>7.98</v>
      </c>
      <c r="L887">
        <v>43302145</v>
      </c>
      <c r="M887" s="1">
        <v>43859</v>
      </c>
      <c r="N887" t="str">
        <f>"J200129F10"</f>
        <v>J200129F10</v>
      </c>
      <c r="O887" t="s">
        <v>28</v>
      </c>
      <c r="Q887" t="s">
        <v>29</v>
      </c>
      <c r="R887" t="s">
        <v>28</v>
      </c>
      <c r="S887" t="s">
        <v>4082</v>
      </c>
      <c r="T887" t="s">
        <v>4083</v>
      </c>
      <c r="W887" t="s">
        <v>4084</v>
      </c>
      <c r="X887" t="s">
        <v>34</v>
      </c>
      <c r="Y887" t="str">
        <f>"773451690"</f>
        <v>773451690</v>
      </c>
    </row>
    <row r="888" spans="1:25" x14ac:dyDescent="0.25">
      <c r="A888" t="s">
        <v>4085</v>
      </c>
      <c r="B888" t="s">
        <v>4086</v>
      </c>
      <c r="C888">
        <v>2018</v>
      </c>
      <c r="D888">
        <v>8001</v>
      </c>
      <c r="E888">
        <v>1</v>
      </c>
      <c r="F888" t="s">
        <v>4087</v>
      </c>
      <c r="G888">
        <v>25106988</v>
      </c>
      <c r="J888">
        <v>20.73</v>
      </c>
      <c r="L888">
        <v>41480057</v>
      </c>
      <c r="M888" s="1">
        <v>43684</v>
      </c>
      <c r="N888" t="str">
        <f>"J190807K1"</f>
        <v>J190807K1</v>
      </c>
      <c r="O888" t="s">
        <v>28</v>
      </c>
      <c r="Q888" t="s">
        <v>29</v>
      </c>
      <c r="R888" t="s">
        <v>28</v>
      </c>
      <c r="S888" t="s">
        <v>1326</v>
      </c>
      <c r="T888" t="s">
        <v>3805</v>
      </c>
      <c r="W888" t="s">
        <v>1328</v>
      </c>
      <c r="X888" t="s">
        <v>162</v>
      </c>
      <c r="Y888" t="str">
        <f>"06054"</f>
        <v>06054</v>
      </c>
    </row>
    <row r="889" spans="1:25" x14ac:dyDescent="0.25">
      <c r="A889" t="s">
        <v>4088</v>
      </c>
      <c r="B889" t="s">
        <v>4089</v>
      </c>
      <c r="C889">
        <v>2020</v>
      </c>
      <c r="D889">
        <v>8001</v>
      </c>
      <c r="E889">
        <v>1</v>
      </c>
      <c r="F889" t="s">
        <v>4090</v>
      </c>
      <c r="G889">
        <v>23418338</v>
      </c>
      <c r="J889">
        <v>65.67</v>
      </c>
      <c r="L889">
        <v>47692940</v>
      </c>
      <c r="M889" s="1">
        <v>44419</v>
      </c>
      <c r="N889" t="str">
        <f>"RC210820"</f>
        <v>RC210820</v>
      </c>
      <c r="O889" t="s">
        <v>28</v>
      </c>
      <c r="Q889" t="s">
        <v>29</v>
      </c>
      <c r="R889" t="s">
        <v>28</v>
      </c>
      <c r="S889" t="s">
        <v>380</v>
      </c>
      <c r="T889" t="s">
        <v>4091</v>
      </c>
      <c r="U889" t="s">
        <v>4092</v>
      </c>
      <c r="V889" t="s">
        <v>4093</v>
      </c>
      <c r="W889" t="s">
        <v>4094</v>
      </c>
      <c r="X889" t="s">
        <v>34</v>
      </c>
      <c r="Y889" t="str">
        <f>"77380"</f>
        <v>77380</v>
      </c>
    </row>
    <row r="890" spans="1:25" x14ac:dyDescent="0.25">
      <c r="A890" t="s">
        <v>4095</v>
      </c>
      <c r="B890" t="s">
        <v>4096</v>
      </c>
      <c r="C890">
        <v>2021</v>
      </c>
      <c r="D890">
        <v>8001</v>
      </c>
      <c r="E890">
        <v>4</v>
      </c>
      <c r="F890" t="s">
        <v>4097</v>
      </c>
      <c r="G890">
        <v>0</v>
      </c>
      <c r="J890">
        <v>10</v>
      </c>
      <c r="L890">
        <v>49702651</v>
      </c>
      <c r="M890" s="1">
        <v>44589</v>
      </c>
      <c r="N890" t="str">
        <f>"J220128BW5"</f>
        <v>J220128BW5</v>
      </c>
      <c r="O890" t="s">
        <v>28</v>
      </c>
      <c r="Q890" t="s">
        <v>29</v>
      </c>
      <c r="R890" t="s">
        <v>28</v>
      </c>
      <c r="S890" t="s">
        <v>4097</v>
      </c>
      <c r="T890" t="s">
        <v>4098</v>
      </c>
      <c r="U890" t="s">
        <v>4099</v>
      </c>
      <c r="V890" t="s">
        <v>60</v>
      </c>
      <c r="W890" t="s">
        <v>214</v>
      </c>
      <c r="X890" t="s">
        <v>34</v>
      </c>
      <c r="Y890" t="str">
        <f>"774062017   "</f>
        <v xml:space="preserve">774062017   </v>
      </c>
    </row>
    <row r="891" spans="1:25" x14ac:dyDescent="0.25">
      <c r="A891" t="s">
        <v>4100</v>
      </c>
      <c r="B891" t="s">
        <v>4101</v>
      </c>
      <c r="C891">
        <v>2020</v>
      </c>
      <c r="D891">
        <v>8001</v>
      </c>
      <c r="E891">
        <v>1</v>
      </c>
      <c r="F891" t="s">
        <v>4102</v>
      </c>
      <c r="G891">
        <v>29875304</v>
      </c>
      <c r="J891">
        <v>72.099999999999994</v>
      </c>
      <c r="L891">
        <v>47519623</v>
      </c>
      <c r="M891" s="1">
        <v>44357</v>
      </c>
      <c r="N891" t="str">
        <f>"RC210616"</f>
        <v>RC210616</v>
      </c>
      <c r="O891" t="s">
        <v>28</v>
      </c>
      <c r="Q891" t="s">
        <v>29</v>
      </c>
      <c r="R891" t="s">
        <v>28</v>
      </c>
      <c r="S891" t="s">
        <v>4103</v>
      </c>
      <c r="T891" t="s">
        <v>4104</v>
      </c>
      <c r="W891" t="s">
        <v>81</v>
      </c>
      <c r="X891" t="s">
        <v>34</v>
      </c>
      <c r="Y891" t="str">
        <f>"77406"</f>
        <v>77406</v>
      </c>
    </row>
    <row r="892" spans="1:25" x14ac:dyDescent="0.25">
      <c r="A892" t="s">
        <v>4105</v>
      </c>
      <c r="B892" t="s">
        <v>4106</v>
      </c>
      <c r="C892">
        <v>2019</v>
      </c>
      <c r="D892">
        <v>8001</v>
      </c>
      <c r="E892">
        <v>5</v>
      </c>
      <c r="F892" t="s">
        <v>4107</v>
      </c>
      <c r="G892">
        <v>0</v>
      </c>
      <c r="J892">
        <v>12.99</v>
      </c>
      <c r="L892">
        <v>44248602</v>
      </c>
      <c r="M892" s="1">
        <v>43983</v>
      </c>
      <c r="N892" t="str">
        <f>"J200601U2"</f>
        <v>J200601U2</v>
      </c>
      <c r="O892" t="s">
        <v>28</v>
      </c>
      <c r="Q892" t="s">
        <v>29</v>
      </c>
      <c r="R892" t="s">
        <v>28</v>
      </c>
      <c r="S892" t="s">
        <v>4107</v>
      </c>
      <c r="T892" t="s">
        <v>4108</v>
      </c>
      <c r="U892" t="s">
        <v>60</v>
      </c>
      <c r="V892" t="s">
        <v>60</v>
      </c>
      <c r="W892" t="s">
        <v>214</v>
      </c>
      <c r="X892" t="s">
        <v>34</v>
      </c>
      <c r="Y892" t="str">
        <f>"774061362   "</f>
        <v xml:space="preserve">774061362   </v>
      </c>
    </row>
    <row r="893" spans="1:25" x14ac:dyDescent="0.25">
      <c r="A893" t="s">
        <v>4109</v>
      </c>
      <c r="B893" t="s">
        <v>4110</v>
      </c>
      <c r="C893">
        <v>2021</v>
      </c>
      <c r="D893">
        <v>8001</v>
      </c>
      <c r="E893">
        <v>2</v>
      </c>
      <c r="F893" t="s">
        <v>4111</v>
      </c>
      <c r="G893">
        <v>30503759</v>
      </c>
      <c r="J893">
        <v>12.32</v>
      </c>
      <c r="L893">
        <v>48322481</v>
      </c>
      <c r="M893" s="1">
        <v>44536</v>
      </c>
      <c r="N893" t="str">
        <f>"RC220113"</f>
        <v>RC220113</v>
      </c>
      <c r="O893" t="s">
        <v>28</v>
      </c>
      <c r="Q893" t="s">
        <v>29</v>
      </c>
      <c r="R893" t="s">
        <v>28</v>
      </c>
      <c r="S893" t="s">
        <v>4112</v>
      </c>
      <c r="T893" t="s">
        <v>4113</v>
      </c>
      <c r="W893" t="s">
        <v>81</v>
      </c>
      <c r="X893" t="s">
        <v>34</v>
      </c>
      <c r="Y893" t="str">
        <f>"77469"</f>
        <v>77469</v>
      </c>
    </row>
    <row r="894" spans="1:25" x14ac:dyDescent="0.25">
      <c r="A894" t="s">
        <v>4114</v>
      </c>
      <c r="B894" t="s">
        <v>4115</v>
      </c>
      <c r="C894">
        <v>2020</v>
      </c>
      <c r="D894">
        <v>8001</v>
      </c>
      <c r="E894">
        <v>1</v>
      </c>
      <c r="F894" t="s">
        <v>4116</v>
      </c>
      <c r="G894">
        <v>28682678</v>
      </c>
      <c r="J894">
        <v>98.65</v>
      </c>
      <c r="L894">
        <v>47049886</v>
      </c>
      <c r="M894" s="1">
        <v>44263</v>
      </c>
      <c r="N894" t="str">
        <f>"RC210317"</f>
        <v>RC210317</v>
      </c>
      <c r="O894" t="s">
        <v>28</v>
      </c>
      <c r="Q894" t="s">
        <v>29</v>
      </c>
      <c r="R894" t="s">
        <v>28</v>
      </c>
      <c r="S894" t="s">
        <v>4117</v>
      </c>
      <c r="T894" t="s">
        <v>4118</v>
      </c>
      <c r="W894" t="s">
        <v>81</v>
      </c>
      <c r="X894" t="s">
        <v>34</v>
      </c>
      <c r="Y894" t="str">
        <f>"77406"</f>
        <v>77406</v>
      </c>
    </row>
    <row r="895" spans="1:25" x14ac:dyDescent="0.25">
      <c r="A895" t="s">
        <v>4119</v>
      </c>
      <c r="B895" t="s">
        <v>4120</v>
      </c>
      <c r="C895">
        <v>2020</v>
      </c>
      <c r="D895">
        <v>8001</v>
      </c>
      <c r="E895">
        <v>1</v>
      </c>
      <c r="F895" t="s">
        <v>4121</v>
      </c>
      <c r="G895">
        <v>0</v>
      </c>
      <c r="J895">
        <v>44.84</v>
      </c>
      <c r="L895">
        <v>45701050</v>
      </c>
      <c r="M895" s="1">
        <v>44201</v>
      </c>
      <c r="N895" t="str">
        <f>"EL210105"</f>
        <v>EL210105</v>
      </c>
      <c r="O895" t="s">
        <v>28</v>
      </c>
      <c r="Q895" t="s">
        <v>29</v>
      </c>
      <c r="R895" t="s">
        <v>28</v>
      </c>
      <c r="S895" t="s">
        <v>4122</v>
      </c>
      <c r="T895" t="s">
        <v>4123</v>
      </c>
      <c r="U895" t="s">
        <v>60</v>
      </c>
      <c r="V895" t="s">
        <v>60</v>
      </c>
      <c r="W895" t="s">
        <v>214</v>
      </c>
      <c r="X895" t="s">
        <v>34</v>
      </c>
      <c r="Y895" t="str">
        <f>"774066902   "</f>
        <v xml:space="preserve">774066902   </v>
      </c>
    </row>
    <row r="896" spans="1:25" x14ac:dyDescent="0.25">
      <c r="A896" t="s">
        <v>4124</v>
      </c>
      <c r="B896" t="s">
        <v>4125</v>
      </c>
      <c r="C896">
        <v>2020</v>
      </c>
      <c r="D896">
        <v>8001</v>
      </c>
      <c r="E896">
        <v>1</v>
      </c>
      <c r="F896" t="s">
        <v>4126</v>
      </c>
      <c r="G896">
        <v>29855867</v>
      </c>
      <c r="J896">
        <v>9.3699999999999992</v>
      </c>
      <c r="L896">
        <v>47493664</v>
      </c>
      <c r="M896" s="1">
        <v>44350</v>
      </c>
      <c r="N896" t="str">
        <f>"EK210603"</f>
        <v>EK210603</v>
      </c>
      <c r="O896" t="s">
        <v>28</v>
      </c>
      <c r="Q896" t="s">
        <v>29</v>
      </c>
      <c r="R896" t="s">
        <v>28</v>
      </c>
      <c r="S896" t="s">
        <v>4127</v>
      </c>
      <c r="T896" t="s">
        <v>4128</v>
      </c>
      <c r="W896" t="s">
        <v>75</v>
      </c>
      <c r="X896" t="s">
        <v>34</v>
      </c>
      <c r="Y896" t="str">
        <f>"77049"</f>
        <v>77049</v>
      </c>
    </row>
    <row r="897" spans="1:25" x14ac:dyDescent="0.25">
      <c r="A897" t="s">
        <v>4129</v>
      </c>
      <c r="B897" t="s">
        <v>4130</v>
      </c>
      <c r="C897">
        <v>2020</v>
      </c>
      <c r="D897">
        <v>8001</v>
      </c>
      <c r="E897">
        <v>1</v>
      </c>
      <c r="F897" t="s">
        <v>4131</v>
      </c>
      <c r="G897">
        <v>29489471</v>
      </c>
      <c r="J897">
        <v>32.82</v>
      </c>
      <c r="L897">
        <v>46782170</v>
      </c>
      <c r="M897" s="1">
        <v>44231</v>
      </c>
      <c r="N897" t="str">
        <f>"CC210204"</f>
        <v>CC210204</v>
      </c>
      <c r="O897" t="s">
        <v>28</v>
      </c>
      <c r="Q897" t="s">
        <v>29</v>
      </c>
      <c r="R897" t="s">
        <v>28</v>
      </c>
      <c r="S897" t="s">
        <v>4132</v>
      </c>
      <c r="T897" t="s">
        <v>4133</v>
      </c>
      <c r="W897" t="s">
        <v>392</v>
      </c>
      <c r="X897" t="s">
        <v>34</v>
      </c>
      <c r="Y897" t="str">
        <f>"77459"</f>
        <v>77459</v>
      </c>
    </row>
    <row r="898" spans="1:25" x14ac:dyDescent="0.25">
      <c r="A898" t="s">
        <v>4134</v>
      </c>
      <c r="B898" t="s">
        <v>4135</v>
      </c>
      <c r="C898">
        <v>2018</v>
      </c>
      <c r="D898">
        <v>8001</v>
      </c>
      <c r="E898">
        <v>1</v>
      </c>
      <c r="F898" t="s">
        <v>4136</v>
      </c>
      <c r="G898">
        <v>26513455</v>
      </c>
      <c r="J898">
        <v>30.7</v>
      </c>
      <c r="L898">
        <v>41250336</v>
      </c>
      <c r="M898" s="1">
        <v>43614</v>
      </c>
      <c r="N898" t="str">
        <f>"J190529K3"</f>
        <v>J190529K3</v>
      </c>
      <c r="O898" t="s">
        <v>28</v>
      </c>
      <c r="Q898" t="s">
        <v>29</v>
      </c>
      <c r="R898" t="s">
        <v>28</v>
      </c>
      <c r="S898" t="s">
        <v>4137</v>
      </c>
      <c r="T898" t="s">
        <v>4138</v>
      </c>
      <c r="W898" t="s">
        <v>4139</v>
      </c>
      <c r="X898" t="s">
        <v>1248</v>
      </c>
      <c r="Y898" t="str">
        <f>"331461873"</f>
        <v>331461873</v>
      </c>
    </row>
    <row r="899" spans="1:25" x14ac:dyDescent="0.25">
      <c r="A899" t="s">
        <v>4140</v>
      </c>
      <c r="B899" t="s">
        <v>4141</v>
      </c>
      <c r="C899">
        <v>2019</v>
      </c>
      <c r="D899">
        <v>8001</v>
      </c>
      <c r="E899">
        <v>2</v>
      </c>
      <c r="F899" t="s">
        <v>4142</v>
      </c>
      <c r="G899">
        <v>0</v>
      </c>
      <c r="J899">
        <v>30</v>
      </c>
      <c r="L899">
        <v>43393495</v>
      </c>
      <c r="M899" s="1">
        <v>43861</v>
      </c>
      <c r="N899" t="str">
        <f>"T200131BO1"</f>
        <v>T200131BO1</v>
      </c>
      <c r="O899" t="s">
        <v>28</v>
      </c>
      <c r="Q899" t="s">
        <v>29</v>
      </c>
      <c r="R899" t="s">
        <v>28</v>
      </c>
      <c r="S899" t="s">
        <v>4142</v>
      </c>
      <c r="T899" t="s">
        <v>4143</v>
      </c>
      <c r="U899" t="s">
        <v>60</v>
      </c>
      <c r="V899" t="s">
        <v>60</v>
      </c>
      <c r="W899" t="s">
        <v>1137</v>
      </c>
      <c r="X899" t="s">
        <v>34</v>
      </c>
      <c r="Y899" t="str">
        <f>"774940571   "</f>
        <v xml:space="preserve">774940571   </v>
      </c>
    </row>
    <row r="900" spans="1:25" x14ac:dyDescent="0.25">
      <c r="A900" t="s">
        <v>4144</v>
      </c>
      <c r="B900" t="s">
        <v>4145</v>
      </c>
      <c r="C900">
        <v>2021</v>
      </c>
      <c r="D900">
        <v>8001</v>
      </c>
      <c r="E900">
        <v>1</v>
      </c>
      <c r="F900" t="s">
        <v>4146</v>
      </c>
      <c r="G900">
        <v>30514003</v>
      </c>
      <c r="J900">
        <v>553.84</v>
      </c>
      <c r="L900">
        <v>48463547</v>
      </c>
      <c r="M900" s="1">
        <v>44544</v>
      </c>
      <c r="N900" t="str">
        <f>"RC220114"</f>
        <v>RC220114</v>
      </c>
      <c r="O900" t="s">
        <v>28</v>
      </c>
      <c r="Q900" t="s">
        <v>29</v>
      </c>
      <c r="R900" t="s">
        <v>28</v>
      </c>
      <c r="S900" t="s">
        <v>4147</v>
      </c>
      <c r="T900" t="s">
        <v>4148</v>
      </c>
      <c r="W900" t="s">
        <v>4149</v>
      </c>
      <c r="X900" t="s">
        <v>34</v>
      </c>
      <c r="Y900" t="str">
        <f>"78644"</f>
        <v>78644</v>
      </c>
    </row>
    <row r="901" spans="1:25" x14ac:dyDescent="0.25">
      <c r="A901" t="s">
        <v>4150</v>
      </c>
      <c r="B901" t="s">
        <v>4151</v>
      </c>
      <c r="C901">
        <v>2020</v>
      </c>
      <c r="D901">
        <v>8001</v>
      </c>
      <c r="E901">
        <v>8</v>
      </c>
      <c r="F901" t="s">
        <v>4152</v>
      </c>
      <c r="G901">
        <v>0</v>
      </c>
      <c r="J901">
        <v>26.57</v>
      </c>
      <c r="L901">
        <v>44608601</v>
      </c>
      <c r="M901" s="1">
        <v>44147</v>
      </c>
      <c r="N901" t="str">
        <f>"TE201112"</f>
        <v>TE201112</v>
      </c>
      <c r="O901" t="s">
        <v>28</v>
      </c>
      <c r="Q901" t="s">
        <v>29</v>
      </c>
      <c r="R901" t="s">
        <v>28</v>
      </c>
      <c r="S901" t="s">
        <v>4152</v>
      </c>
      <c r="T901" t="s">
        <v>4153</v>
      </c>
      <c r="U901" t="s">
        <v>60</v>
      </c>
      <c r="V901" t="s">
        <v>60</v>
      </c>
      <c r="W901" t="s">
        <v>1137</v>
      </c>
      <c r="X901" t="s">
        <v>34</v>
      </c>
      <c r="Y901" t="str">
        <f>"774941616   "</f>
        <v xml:space="preserve">774941616   </v>
      </c>
    </row>
    <row r="902" spans="1:25" x14ac:dyDescent="0.25">
      <c r="A902" t="s">
        <v>4154</v>
      </c>
      <c r="B902" t="s">
        <v>4155</v>
      </c>
      <c r="C902">
        <v>2021</v>
      </c>
      <c r="D902">
        <v>8001</v>
      </c>
      <c r="E902">
        <v>1</v>
      </c>
      <c r="F902" t="s">
        <v>4156</v>
      </c>
      <c r="G902">
        <v>0</v>
      </c>
      <c r="J902">
        <v>471.24</v>
      </c>
      <c r="L902">
        <v>49953257</v>
      </c>
      <c r="M902" s="1">
        <v>44595</v>
      </c>
      <c r="N902" t="str">
        <f>"J220203BW4"</f>
        <v>J220203BW4</v>
      </c>
      <c r="O902" t="s">
        <v>28</v>
      </c>
      <c r="Q902" t="s">
        <v>29</v>
      </c>
      <c r="R902" t="s">
        <v>28</v>
      </c>
      <c r="S902" t="s">
        <v>4157</v>
      </c>
      <c r="T902" t="s">
        <v>4158</v>
      </c>
      <c r="U902" t="s">
        <v>60</v>
      </c>
      <c r="V902" t="s">
        <v>60</v>
      </c>
      <c r="W902" t="s">
        <v>1333</v>
      </c>
      <c r="X902" t="s">
        <v>34</v>
      </c>
      <c r="Y902" t="str">
        <f>"774891304   "</f>
        <v xml:space="preserve">774891304   </v>
      </c>
    </row>
    <row r="903" spans="1:25" x14ac:dyDescent="0.25">
      <c r="A903" t="s">
        <v>4159</v>
      </c>
      <c r="B903" t="s">
        <v>4160</v>
      </c>
      <c r="C903">
        <v>2021</v>
      </c>
      <c r="D903">
        <v>8001</v>
      </c>
      <c r="E903">
        <v>2</v>
      </c>
      <c r="F903" t="s">
        <v>4161</v>
      </c>
      <c r="G903">
        <v>0</v>
      </c>
      <c r="J903">
        <v>14.19</v>
      </c>
      <c r="L903">
        <v>50169247</v>
      </c>
      <c r="M903" s="1">
        <v>44607</v>
      </c>
      <c r="N903" t="str">
        <f>"J220215BW5"</f>
        <v>J220215BW5</v>
      </c>
      <c r="O903" t="s">
        <v>28</v>
      </c>
      <c r="Q903" t="s">
        <v>29</v>
      </c>
      <c r="R903" t="s">
        <v>28</v>
      </c>
      <c r="S903" t="s">
        <v>4161</v>
      </c>
      <c r="T903" t="s">
        <v>4162</v>
      </c>
      <c r="U903" t="s">
        <v>60</v>
      </c>
      <c r="V903" t="s">
        <v>60</v>
      </c>
      <c r="W903" t="s">
        <v>721</v>
      </c>
      <c r="X903" t="s">
        <v>34</v>
      </c>
      <c r="Y903" t="str">
        <f>"775832737   "</f>
        <v xml:space="preserve">775832737   </v>
      </c>
    </row>
    <row r="904" spans="1:25" x14ac:dyDescent="0.25">
      <c r="A904" t="s">
        <v>4163</v>
      </c>
      <c r="B904" t="s">
        <v>4164</v>
      </c>
      <c r="C904">
        <v>2020</v>
      </c>
      <c r="D904">
        <v>8001</v>
      </c>
      <c r="E904">
        <v>3</v>
      </c>
      <c r="F904" t="s">
        <v>4165</v>
      </c>
      <c r="G904">
        <v>28749033</v>
      </c>
      <c r="J904">
        <v>10.88</v>
      </c>
      <c r="L904">
        <v>44771635</v>
      </c>
      <c r="M904" s="1">
        <v>44140</v>
      </c>
      <c r="N904" t="str">
        <f>"O201105AB1"</f>
        <v>O201105AB1</v>
      </c>
      <c r="O904" t="s">
        <v>28</v>
      </c>
      <c r="Q904" t="s">
        <v>29</v>
      </c>
      <c r="R904" t="s">
        <v>28</v>
      </c>
      <c r="S904" t="s">
        <v>4166</v>
      </c>
      <c r="T904" t="s">
        <v>4167</v>
      </c>
      <c r="W904" t="s">
        <v>899</v>
      </c>
      <c r="X904" t="s">
        <v>900</v>
      </c>
      <c r="Y904" t="str">
        <f>"606023797"</f>
        <v>606023797</v>
      </c>
    </row>
    <row r="905" spans="1:25" x14ac:dyDescent="0.25">
      <c r="A905" t="s">
        <v>4168</v>
      </c>
      <c r="B905" t="s">
        <v>4169</v>
      </c>
      <c r="C905">
        <v>2018</v>
      </c>
      <c r="D905">
        <v>8001</v>
      </c>
      <c r="E905">
        <v>1</v>
      </c>
      <c r="F905" t="s">
        <v>4170</v>
      </c>
      <c r="G905">
        <v>0</v>
      </c>
      <c r="J905">
        <v>66.36</v>
      </c>
      <c r="L905">
        <v>40925528</v>
      </c>
      <c r="M905" s="1">
        <v>43535</v>
      </c>
      <c r="N905" t="str">
        <f>"J190311AW1"</f>
        <v>J190311AW1</v>
      </c>
      <c r="O905" t="s">
        <v>28</v>
      </c>
      <c r="Q905" t="s">
        <v>29</v>
      </c>
      <c r="R905" t="s">
        <v>28</v>
      </c>
      <c r="S905" t="s">
        <v>4170</v>
      </c>
      <c r="T905" t="s">
        <v>4171</v>
      </c>
      <c r="U905" t="s">
        <v>60</v>
      </c>
      <c r="V905" t="s">
        <v>60</v>
      </c>
      <c r="W905" t="s">
        <v>376</v>
      </c>
      <c r="X905" t="s">
        <v>34</v>
      </c>
      <c r="Y905" t="str">
        <f>"774775815   "</f>
        <v xml:space="preserve">774775815   </v>
      </c>
    </row>
    <row r="906" spans="1:25" x14ac:dyDescent="0.25">
      <c r="A906" t="s">
        <v>4168</v>
      </c>
      <c r="B906" t="s">
        <v>4169</v>
      </c>
      <c r="C906">
        <v>2020</v>
      </c>
      <c r="D906">
        <v>8001</v>
      </c>
      <c r="E906">
        <v>1</v>
      </c>
      <c r="F906" t="s">
        <v>4170</v>
      </c>
      <c r="G906">
        <v>0</v>
      </c>
      <c r="J906">
        <v>132.81</v>
      </c>
      <c r="L906">
        <v>46743494</v>
      </c>
      <c r="M906" s="1">
        <v>44230</v>
      </c>
      <c r="N906" t="str">
        <f>"EL210203"</f>
        <v>EL210203</v>
      </c>
      <c r="O906" t="s">
        <v>28</v>
      </c>
      <c r="Q906" t="s">
        <v>29</v>
      </c>
      <c r="R906" t="s">
        <v>28</v>
      </c>
      <c r="S906" t="s">
        <v>4170</v>
      </c>
      <c r="T906" t="s">
        <v>4171</v>
      </c>
      <c r="U906" t="s">
        <v>60</v>
      </c>
      <c r="V906" t="s">
        <v>60</v>
      </c>
      <c r="W906" t="s">
        <v>376</v>
      </c>
      <c r="X906" t="s">
        <v>34</v>
      </c>
      <c r="Y906" t="str">
        <f>"774775815   "</f>
        <v xml:space="preserve">774775815   </v>
      </c>
    </row>
    <row r="907" spans="1:25" x14ac:dyDescent="0.25">
      <c r="A907" t="s">
        <v>4172</v>
      </c>
      <c r="B907" t="s">
        <v>4173</v>
      </c>
      <c r="C907">
        <v>2019</v>
      </c>
      <c r="D907">
        <v>8001</v>
      </c>
      <c r="E907">
        <v>1</v>
      </c>
      <c r="F907" t="s">
        <v>4174</v>
      </c>
      <c r="G907">
        <v>22263977</v>
      </c>
      <c r="J907">
        <v>84.77</v>
      </c>
      <c r="L907">
        <v>44050092</v>
      </c>
      <c r="M907" s="1">
        <v>43930</v>
      </c>
      <c r="N907" t="str">
        <f>"RC200414"</f>
        <v>RC200414</v>
      </c>
      <c r="O907" t="s">
        <v>28</v>
      </c>
      <c r="Q907" t="s">
        <v>29</v>
      </c>
      <c r="R907" t="s">
        <v>28</v>
      </c>
      <c r="S907" t="s">
        <v>2995</v>
      </c>
      <c r="T907" t="s">
        <v>2997</v>
      </c>
      <c r="W907" t="s">
        <v>75</v>
      </c>
      <c r="X907" t="s">
        <v>34</v>
      </c>
      <c r="Y907" t="str">
        <f>"77056"</f>
        <v>77056</v>
      </c>
    </row>
    <row r="908" spans="1:25" x14ac:dyDescent="0.25">
      <c r="A908" t="s">
        <v>4175</v>
      </c>
      <c r="B908" t="s">
        <v>4176</v>
      </c>
      <c r="C908">
        <v>2019</v>
      </c>
      <c r="D908">
        <v>8001</v>
      </c>
      <c r="E908">
        <v>1</v>
      </c>
      <c r="F908" t="s">
        <v>4177</v>
      </c>
      <c r="G908">
        <v>28305678</v>
      </c>
      <c r="J908">
        <v>75.62</v>
      </c>
      <c r="L908">
        <v>43875733</v>
      </c>
      <c r="M908" s="1">
        <v>43894</v>
      </c>
      <c r="N908" t="str">
        <f>"EK200304"</f>
        <v>EK200304</v>
      </c>
      <c r="O908" t="s">
        <v>28</v>
      </c>
      <c r="Q908" t="s">
        <v>29</v>
      </c>
      <c r="R908" t="s">
        <v>28</v>
      </c>
      <c r="S908" t="s">
        <v>4178</v>
      </c>
      <c r="T908" t="s">
        <v>4179</v>
      </c>
      <c r="W908" t="s">
        <v>371</v>
      </c>
      <c r="X908" t="s">
        <v>34</v>
      </c>
      <c r="Y908" t="str">
        <f>"77477"</f>
        <v>77477</v>
      </c>
    </row>
    <row r="909" spans="1:25" x14ac:dyDescent="0.25">
      <c r="A909" t="s">
        <v>4180</v>
      </c>
      <c r="B909" t="s">
        <v>4181</v>
      </c>
      <c r="C909">
        <v>2020</v>
      </c>
      <c r="D909">
        <v>8001</v>
      </c>
      <c r="E909">
        <v>1</v>
      </c>
      <c r="F909" t="s">
        <v>4182</v>
      </c>
      <c r="G909">
        <v>0</v>
      </c>
      <c r="J909">
        <v>5.47</v>
      </c>
      <c r="L909">
        <v>45192223</v>
      </c>
      <c r="M909" s="1">
        <v>44174</v>
      </c>
      <c r="N909" t="str">
        <f>"L201209"</f>
        <v>L201209</v>
      </c>
      <c r="O909" t="s">
        <v>28</v>
      </c>
      <c r="Q909" t="s">
        <v>29</v>
      </c>
      <c r="R909" t="s">
        <v>28</v>
      </c>
      <c r="S909" t="s">
        <v>4182</v>
      </c>
      <c r="T909" t="s">
        <v>4183</v>
      </c>
      <c r="U909" t="s">
        <v>60</v>
      </c>
      <c r="V909" t="s">
        <v>60</v>
      </c>
      <c r="W909" t="s">
        <v>135</v>
      </c>
      <c r="X909" t="s">
        <v>34</v>
      </c>
      <c r="Y909" t="str">
        <f>"770835813   "</f>
        <v xml:space="preserve">770835813   </v>
      </c>
    </row>
    <row r="910" spans="1:25" x14ac:dyDescent="0.25">
      <c r="A910" t="s">
        <v>4184</v>
      </c>
      <c r="B910" t="s">
        <v>4185</v>
      </c>
      <c r="C910">
        <v>2020</v>
      </c>
      <c r="D910">
        <v>8001</v>
      </c>
      <c r="E910">
        <v>2</v>
      </c>
      <c r="F910" t="s">
        <v>4186</v>
      </c>
      <c r="G910">
        <v>0</v>
      </c>
      <c r="J910">
        <v>71.48</v>
      </c>
      <c r="L910">
        <v>47341050</v>
      </c>
      <c r="M910" s="1">
        <v>44314</v>
      </c>
      <c r="N910" t="str">
        <f>"J210428BW3"</f>
        <v>J210428BW3</v>
      </c>
      <c r="O910" t="s">
        <v>28</v>
      </c>
      <c r="Q910" t="s">
        <v>29</v>
      </c>
      <c r="R910" t="s">
        <v>28</v>
      </c>
      <c r="S910" t="s">
        <v>4186</v>
      </c>
      <c r="T910" t="s">
        <v>4187</v>
      </c>
      <c r="U910" t="s">
        <v>60</v>
      </c>
      <c r="V910" t="s">
        <v>60</v>
      </c>
      <c r="W910" t="s">
        <v>135</v>
      </c>
      <c r="X910" t="s">
        <v>34</v>
      </c>
      <c r="Y910" t="str">
        <f>"770835661   "</f>
        <v xml:space="preserve">770835661   </v>
      </c>
    </row>
    <row r="911" spans="1:25" x14ac:dyDescent="0.25">
      <c r="A911" t="s">
        <v>4188</v>
      </c>
      <c r="B911" t="s">
        <v>4189</v>
      </c>
      <c r="C911">
        <v>2018</v>
      </c>
      <c r="D911">
        <v>8001</v>
      </c>
      <c r="E911">
        <v>1</v>
      </c>
      <c r="F911" t="s">
        <v>4190</v>
      </c>
      <c r="G911">
        <v>0</v>
      </c>
      <c r="J911">
        <v>45.68</v>
      </c>
      <c r="L911">
        <v>41053972</v>
      </c>
      <c r="M911" s="1">
        <v>43557</v>
      </c>
      <c r="N911" t="str">
        <f>"J190402K2"</f>
        <v>J190402K2</v>
      </c>
      <c r="O911" t="s">
        <v>28</v>
      </c>
      <c r="Q911" t="s">
        <v>29</v>
      </c>
      <c r="R911" t="s">
        <v>28</v>
      </c>
      <c r="S911" t="s">
        <v>4190</v>
      </c>
      <c r="T911" t="s">
        <v>4191</v>
      </c>
      <c r="U911" t="s">
        <v>60</v>
      </c>
      <c r="V911" t="s">
        <v>60</v>
      </c>
      <c r="W911" t="s">
        <v>1333</v>
      </c>
      <c r="X911" t="s">
        <v>34</v>
      </c>
      <c r="Y911" t="str">
        <f>"774896207   "</f>
        <v xml:space="preserve">774896207   </v>
      </c>
    </row>
    <row r="912" spans="1:25" x14ac:dyDescent="0.25">
      <c r="A912" t="s">
        <v>4192</v>
      </c>
      <c r="B912" t="s">
        <v>4193</v>
      </c>
      <c r="C912">
        <v>2020</v>
      </c>
      <c r="D912">
        <v>8001</v>
      </c>
      <c r="E912">
        <v>1</v>
      </c>
      <c r="F912" t="s">
        <v>4194</v>
      </c>
      <c r="G912">
        <v>0</v>
      </c>
      <c r="J912">
        <v>168.74</v>
      </c>
      <c r="L912">
        <v>46861460</v>
      </c>
      <c r="M912" s="1">
        <v>44235</v>
      </c>
      <c r="N912" t="str">
        <f>"L210208"</f>
        <v>L210208</v>
      </c>
      <c r="O912" t="s">
        <v>28</v>
      </c>
      <c r="Q912" t="s">
        <v>29</v>
      </c>
      <c r="R912" t="s">
        <v>28</v>
      </c>
      <c r="S912" t="s">
        <v>4194</v>
      </c>
      <c r="T912" t="s">
        <v>4195</v>
      </c>
      <c r="U912" t="s">
        <v>60</v>
      </c>
      <c r="V912" t="s">
        <v>60</v>
      </c>
      <c r="W912" t="s">
        <v>1333</v>
      </c>
      <c r="X912" t="s">
        <v>34</v>
      </c>
      <c r="Y912" t="str">
        <f>"774895224   "</f>
        <v xml:space="preserve">774895224   </v>
      </c>
    </row>
    <row r="913" spans="1:25" x14ac:dyDescent="0.25">
      <c r="A913" t="s">
        <v>4196</v>
      </c>
      <c r="B913" t="s">
        <v>4197</v>
      </c>
      <c r="C913">
        <v>2020</v>
      </c>
      <c r="D913">
        <v>8001</v>
      </c>
      <c r="E913">
        <v>48</v>
      </c>
      <c r="F913" t="s">
        <v>4198</v>
      </c>
      <c r="G913">
        <v>0</v>
      </c>
      <c r="J913">
        <v>148.68</v>
      </c>
      <c r="L913">
        <v>44572142</v>
      </c>
      <c r="M913" s="1">
        <v>44147</v>
      </c>
      <c r="N913" t="str">
        <f>"TE201112"</f>
        <v>TE201112</v>
      </c>
      <c r="O913" t="s">
        <v>28</v>
      </c>
      <c r="Q913" t="s">
        <v>29</v>
      </c>
      <c r="R913" t="s">
        <v>28</v>
      </c>
      <c r="S913" t="s">
        <v>4198</v>
      </c>
      <c r="T913" t="s">
        <v>4199</v>
      </c>
      <c r="U913" t="s">
        <v>60</v>
      </c>
      <c r="V913" t="s">
        <v>60</v>
      </c>
      <c r="W913" t="s">
        <v>1333</v>
      </c>
      <c r="X913" t="s">
        <v>34</v>
      </c>
      <c r="Y913" t="str">
        <f>"774895240   "</f>
        <v xml:space="preserve">774895240   </v>
      </c>
    </row>
    <row r="914" spans="1:25" x14ac:dyDescent="0.25">
      <c r="A914" t="s">
        <v>4200</v>
      </c>
      <c r="B914" t="s">
        <v>4201</v>
      </c>
      <c r="C914">
        <v>2019</v>
      </c>
      <c r="D914">
        <v>8001</v>
      </c>
      <c r="E914">
        <v>2</v>
      </c>
      <c r="F914" t="s">
        <v>4202</v>
      </c>
      <c r="G914">
        <v>28220942</v>
      </c>
      <c r="J914">
        <v>30.29</v>
      </c>
      <c r="L914">
        <v>44282800</v>
      </c>
      <c r="M914" s="1">
        <v>43987</v>
      </c>
      <c r="N914" t="str">
        <f>"J200605K1"</f>
        <v>J200605K1</v>
      </c>
      <c r="O914" t="s">
        <v>28</v>
      </c>
      <c r="Q914" t="s">
        <v>29</v>
      </c>
      <c r="R914" t="s">
        <v>28</v>
      </c>
      <c r="S914" t="s">
        <v>2579</v>
      </c>
      <c r="T914" t="s">
        <v>2052</v>
      </c>
      <c r="W914" t="s">
        <v>1328</v>
      </c>
      <c r="X914" t="s">
        <v>162</v>
      </c>
      <c r="Y914" t="str">
        <f>"080545452"</f>
        <v>080545452</v>
      </c>
    </row>
    <row r="915" spans="1:25" x14ac:dyDescent="0.25">
      <c r="A915" t="s">
        <v>4203</v>
      </c>
      <c r="B915" t="s">
        <v>4204</v>
      </c>
      <c r="C915">
        <v>2020</v>
      </c>
      <c r="D915">
        <v>8001</v>
      </c>
      <c r="E915">
        <v>2</v>
      </c>
      <c r="F915" t="s">
        <v>4205</v>
      </c>
      <c r="G915">
        <v>0</v>
      </c>
      <c r="J915">
        <v>69.02</v>
      </c>
      <c r="L915">
        <v>46904618</v>
      </c>
      <c r="M915" s="1">
        <v>44238</v>
      </c>
      <c r="N915" t="str">
        <f>"J210211BW1"</f>
        <v>J210211BW1</v>
      </c>
      <c r="O915" t="s">
        <v>28</v>
      </c>
      <c r="Q915" t="s">
        <v>29</v>
      </c>
      <c r="R915" t="s">
        <v>28</v>
      </c>
      <c r="S915" t="s">
        <v>4205</v>
      </c>
      <c r="T915" t="s">
        <v>4206</v>
      </c>
      <c r="U915" t="s">
        <v>60</v>
      </c>
      <c r="V915" t="s">
        <v>60</v>
      </c>
      <c r="W915" t="s">
        <v>1333</v>
      </c>
      <c r="X915" t="s">
        <v>34</v>
      </c>
      <c r="Y915" t="str">
        <f>"774892008   "</f>
        <v xml:space="preserve">774892008   </v>
      </c>
    </row>
    <row r="916" spans="1:25" x14ac:dyDescent="0.25">
      <c r="A916" t="s">
        <v>4207</v>
      </c>
      <c r="B916" t="s">
        <v>4208</v>
      </c>
      <c r="C916">
        <v>2018</v>
      </c>
      <c r="D916">
        <v>8001</v>
      </c>
      <c r="E916">
        <v>1</v>
      </c>
      <c r="F916" t="s">
        <v>4209</v>
      </c>
      <c r="G916">
        <v>27328772</v>
      </c>
      <c r="J916">
        <v>36.659999999999997</v>
      </c>
      <c r="L916">
        <v>41063813</v>
      </c>
      <c r="M916" s="1">
        <v>43558</v>
      </c>
      <c r="N916" t="str">
        <f>"EK190403"</f>
        <v>EK190403</v>
      </c>
      <c r="O916" t="s">
        <v>28</v>
      </c>
      <c r="Q916" t="s">
        <v>29</v>
      </c>
      <c r="R916" t="s">
        <v>28</v>
      </c>
      <c r="S916" t="s">
        <v>4210</v>
      </c>
      <c r="T916" t="s">
        <v>4211</v>
      </c>
      <c r="W916" t="s">
        <v>4212</v>
      </c>
      <c r="X916" t="s">
        <v>4213</v>
      </c>
      <c r="Y916" t="str">
        <f>"70589"</f>
        <v>70589</v>
      </c>
    </row>
    <row r="917" spans="1:25" x14ac:dyDescent="0.25">
      <c r="A917" t="s">
        <v>4214</v>
      </c>
      <c r="B917" t="s">
        <v>4215</v>
      </c>
      <c r="C917">
        <v>2020</v>
      </c>
      <c r="D917">
        <v>8001</v>
      </c>
      <c r="E917">
        <v>2</v>
      </c>
      <c r="F917" t="s">
        <v>4216</v>
      </c>
      <c r="G917">
        <v>0</v>
      </c>
      <c r="J917">
        <v>473.88</v>
      </c>
      <c r="L917">
        <v>44484071</v>
      </c>
      <c r="M917" s="1">
        <v>44147</v>
      </c>
      <c r="N917" t="str">
        <f>"TE201112"</f>
        <v>TE201112</v>
      </c>
      <c r="O917" t="s">
        <v>28</v>
      </c>
      <c r="Q917" t="s">
        <v>29</v>
      </c>
      <c r="R917" t="s">
        <v>28</v>
      </c>
      <c r="S917" t="s">
        <v>4217</v>
      </c>
      <c r="T917" t="s">
        <v>4218</v>
      </c>
      <c r="U917" t="s">
        <v>60</v>
      </c>
      <c r="V917" t="s">
        <v>60</v>
      </c>
      <c r="W917" t="s">
        <v>1333</v>
      </c>
      <c r="X917" t="s">
        <v>34</v>
      </c>
      <c r="Y917" t="str">
        <f>"774895304   "</f>
        <v xml:space="preserve">774895304   </v>
      </c>
    </row>
    <row r="918" spans="1:25" x14ac:dyDescent="0.25">
      <c r="A918" t="s">
        <v>4219</v>
      </c>
      <c r="B918" t="s">
        <v>4220</v>
      </c>
      <c r="C918">
        <v>2019</v>
      </c>
      <c r="D918">
        <v>8001</v>
      </c>
      <c r="E918">
        <v>1</v>
      </c>
      <c r="F918" t="s">
        <v>4221</v>
      </c>
      <c r="G918">
        <v>23893814</v>
      </c>
      <c r="J918">
        <v>55.26</v>
      </c>
      <c r="L918">
        <v>43915440</v>
      </c>
      <c r="M918" s="1">
        <v>43900</v>
      </c>
      <c r="N918" t="str">
        <f>"J200310AW6"</f>
        <v>J200310AW6</v>
      </c>
      <c r="O918" t="s">
        <v>28</v>
      </c>
      <c r="Q918" t="s">
        <v>29</v>
      </c>
      <c r="R918" t="s">
        <v>28</v>
      </c>
      <c r="S918" t="s">
        <v>341</v>
      </c>
      <c r="T918" t="s">
        <v>4222</v>
      </c>
      <c r="W918" t="s">
        <v>4223</v>
      </c>
      <c r="X918" t="s">
        <v>34</v>
      </c>
      <c r="Y918" t="str">
        <f>"77377"</f>
        <v>77377</v>
      </c>
    </row>
    <row r="919" spans="1:25" x14ac:dyDescent="0.25">
      <c r="A919" t="s">
        <v>4224</v>
      </c>
      <c r="B919" t="s">
        <v>4225</v>
      </c>
      <c r="C919">
        <v>2020</v>
      </c>
      <c r="D919">
        <v>8001</v>
      </c>
      <c r="E919">
        <v>1</v>
      </c>
      <c r="F919" t="s">
        <v>4226</v>
      </c>
      <c r="G919">
        <v>0</v>
      </c>
      <c r="J919">
        <v>19.73</v>
      </c>
      <c r="L919">
        <v>47453751</v>
      </c>
      <c r="M919" s="1">
        <v>44343</v>
      </c>
      <c r="N919" t="str">
        <f>"EL210527"</f>
        <v>EL210527</v>
      </c>
      <c r="O919" t="s">
        <v>28</v>
      </c>
      <c r="Q919" t="s">
        <v>29</v>
      </c>
      <c r="R919" t="s">
        <v>28</v>
      </c>
      <c r="S919" t="s">
        <v>4226</v>
      </c>
      <c r="T919" t="s">
        <v>4227</v>
      </c>
      <c r="U919" t="s">
        <v>60</v>
      </c>
      <c r="V919" t="s">
        <v>60</v>
      </c>
      <c r="W919" t="s">
        <v>1333</v>
      </c>
      <c r="X919" t="s">
        <v>34</v>
      </c>
      <c r="Y919" t="str">
        <f>"774895305   "</f>
        <v xml:space="preserve">774895305   </v>
      </c>
    </row>
    <row r="920" spans="1:25" x14ac:dyDescent="0.25">
      <c r="A920" t="s">
        <v>4228</v>
      </c>
      <c r="B920" t="s">
        <v>4229</v>
      </c>
      <c r="C920">
        <v>2018</v>
      </c>
      <c r="D920">
        <v>8001</v>
      </c>
      <c r="E920">
        <v>1</v>
      </c>
      <c r="F920" t="s">
        <v>4230</v>
      </c>
      <c r="G920">
        <v>27531185</v>
      </c>
      <c r="J920">
        <v>282.37</v>
      </c>
      <c r="L920">
        <v>41515708</v>
      </c>
      <c r="M920" s="1">
        <v>43705</v>
      </c>
      <c r="N920" t="str">
        <f>"J190828AW1"</f>
        <v>J190828AW1</v>
      </c>
      <c r="O920" t="s">
        <v>28</v>
      </c>
      <c r="Q920" t="s">
        <v>29</v>
      </c>
      <c r="R920" t="s">
        <v>28</v>
      </c>
      <c r="S920" t="s">
        <v>686</v>
      </c>
      <c r="T920" t="s">
        <v>4231</v>
      </c>
      <c r="W920" t="s">
        <v>688</v>
      </c>
      <c r="X920" t="s">
        <v>34</v>
      </c>
      <c r="Y920" t="str">
        <f>"77505"</f>
        <v>77505</v>
      </c>
    </row>
    <row r="921" spans="1:25" x14ac:dyDescent="0.25">
      <c r="A921" t="s">
        <v>4232</v>
      </c>
      <c r="B921" t="s">
        <v>4233</v>
      </c>
      <c r="C921">
        <v>2020</v>
      </c>
      <c r="D921">
        <v>8001</v>
      </c>
      <c r="E921">
        <v>1</v>
      </c>
      <c r="F921" t="s">
        <v>4234</v>
      </c>
      <c r="G921">
        <v>29489567</v>
      </c>
      <c r="J921">
        <v>189.52</v>
      </c>
      <c r="L921">
        <v>46782267</v>
      </c>
      <c r="M921" s="1">
        <v>44231</v>
      </c>
      <c r="N921" t="str">
        <f>"CC210204"</f>
        <v>CC210204</v>
      </c>
      <c r="O921" t="s">
        <v>28</v>
      </c>
      <c r="Q921" t="s">
        <v>29</v>
      </c>
      <c r="R921" t="s">
        <v>28</v>
      </c>
      <c r="S921" t="s">
        <v>4235</v>
      </c>
      <c r="T921" t="s">
        <v>4236</v>
      </c>
      <c r="W921" t="s">
        <v>75</v>
      </c>
      <c r="X921" t="s">
        <v>34</v>
      </c>
      <c r="Y921" t="str">
        <f>"77025"</f>
        <v>77025</v>
      </c>
    </row>
    <row r="922" spans="1:25" x14ac:dyDescent="0.25">
      <c r="A922" t="s">
        <v>4237</v>
      </c>
      <c r="B922" t="s">
        <v>4238</v>
      </c>
      <c r="C922">
        <v>2019</v>
      </c>
      <c r="D922">
        <v>8001</v>
      </c>
      <c r="E922">
        <v>1</v>
      </c>
      <c r="F922" t="s">
        <v>4239</v>
      </c>
      <c r="G922">
        <v>0</v>
      </c>
      <c r="J922">
        <v>635.33000000000004</v>
      </c>
      <c r="L922">
        <v>44091543</v>
      </c>
      <c r="M922" s="1">
        <v>43944</v>
      </c>
      <c r="N922" t="str">
        <f>"J200423F2"</f>
        <v>J200423F2</v>
      </c>
      <c r="O922" t="s">
        <v>28</v>
      </c>
      <c r="Q922" t="s">
        <v>29</v>
      </c>
      <c r="R922" t="s">
        <v>28</v>
      </c>
      <c r="S922" t="s">
        <v>4239</v>
      </c>
      <c r="T922" t="s">
        <v>4240</v>
      </c>
      <c r="U922" t="s">
        <v>60</v>
      </c>
      <c r="V922" t="s">
        <v>60</v>
      </c>
      <c r="W922" t="s">
        <v>4241</v>
      </c>
      <c r="X922" t="s">
        <v>1107</v>
      </c>
      <c r="Y922" t="str">
        <f>"300394772   "</f>
        <v xml:space="preserve">300394772   </v>
      </c>
    </row>
    <row r="923" spans="1:25" x14ac:dyDescent="0.25">
      <c r="A923" t="s">
        <v>4242</v>
      </c>
      <c r="B923" t="s">
        <v>4243</v>
      </c>
      <c r="C923">
        <v>2019</v>
      </c>
      <c r="D923">
        <v>8001</v>
      </c>
      <c r="E923">
        <v>1</v>
      </c>
      <c r="F923" t="s">
        <v>4244</v>
      </c>
      <c r="G923">
        <v>27757396</v>
      </c>
      <c r="J923">
        <v>684</v>
      </c>
      <c r="L923">
        <v>42329681</v>
      </c>
      <c r="M923" s="1">
        <v>43818</v>
      </c>
      <c r="N923" t="str">
        <f>"J191219AW3"</f>
        <v>J191219AW3</v>
      </c>
      <c r="O923" t="s">
        <v>28</v>
      </c>
      <c r="Q923" t="s">
        <v>29</v>
      </c>
      <c r="R923" t="s">
        <v>28</v>
      </c>
      <c r="S923" t="s">
        <v>4245</v>
      </c>
      <c r="T923" t="s">
        <v>4246</v>
      </c>
      <c r="U923" t="s">
        <v>4247</v>
      </c>
      <c r="W923" t="s">
        <v>33</v>
      </c>
      <c r="X923" t="s">
        <v>34</v>
      </c>
      <c r="Y923" t="str">
        <f>"75024"</f>
        <v>75024</v>
      </c>
    </row>
    <row r="924" spans="1:25" x14ac:dyDescent="0.25">
      <c r="A924" t="s">
        <v>4248</v>
      </c>
      <c r="B924" t="s">
        <v>4249</v>
      </c>
      <c r="C924">
        <v>2019</v>
      </c>
      <c r="D924">
        <v>8001</v>
      </c>
      <c r="E924">
        <v>5</v>
      </c>
      <c r="F924" t="s">
        <v>4250</v>
      </c>
      <c r="G924">
        <v>0</v>
      </c>
      <c r="J924">
        <v>7.48</v>
      </c>
      <c r="L924">
        <v>44372085</v>
      </c>
      <c r="M924" s="1">
        <v>44018</v>
      </c>
      <c r="N924" t="str">
        <f>"J200706U1"</f>
        <v>J200706U1</v>
      </c>
      <c r="O924" t="s">
        <v>28</v>
      </c>
      <c r="Q924" t="s">
        <v>29</v>
      </c>
      <c r="R924" t="s">
        <v>28</v>
      </c>
      <c r="S924" t="s">
        <v>4250</v>
      </c>
      <c r="T924" t="s">
        <v>4251</v>
      </c>
      <c r="U924" t="s">
        <v>60</v>
      </c>
      <c r="V924" t="s">
        <v>60</v>
      </c>
      <c r="W924" t="s">
        <v>1333</v>
      </c>
      <c r="X924" t="s">
        <v>34</v>
      </c>
      <c r="Y924" t="str">
        <f>"774895322   "</f>
        <v xml:space="preserve">774895322   </v>
      </c>
    </row>
    <row r="925" spans="1:25" x14ac:dyDescent="0.25">
      <c r="A925" t="s">
        <v>4252</v>
      </c>
      <c r="B925" t="s">
        <v>4253</v>
      </c>
      <c r="C925">
        <v>2020</v>
      </c>
      <c r="D925">
        <v>8001</v>
      </c>
      <c r="E925">
        <v>1</v>
      </c>
      <c r="F925" t="s">
        <v>4254</v>
      </c>
      <c r="G925">
        <v>29461695</v>
      </c>
      <c r="J925">
        <v>197.01</v>
      </c>
      <c r="L925">
        <v>46728695</v>
      </c>
      <c r="M925" s="1">
        <v>44230</v>
      </c>
      <c r="N925" t="str">
        <f>"EK210203"</f>
        <v>EK210203</v>
      </c>
      <c r="O925" t="s">
        <v>28</v>
      </c>
      <c r="Q925" t="s">
        <v>29</v>
      </c>
      <c r="R925" t="s">
        <v>28</v>
      </c>
      <c r="S925" t="s">
        <v>4254</v>
      </c>
      <c r="T925" t="s">
        <v>4255</v>
      </c>
      <c r="W925" t="s">
        <v>75</v>
      </c>
      <c r="X925" t="s">
        <v>34</v>
      </c>
      <c r="Y925" t="str">
        <f>"77225"</f>
        <v>77225</v>
      </c>
    </row>
    <row r="926" spans="1:25" x14ac:dyDescent="0.25">
      <c r="A926" t="s">
        <v>4256</v>
      </c>
      <c r="B926" t="s">
        <v>4257</v>
      </c>
      <c r="C926">
        <v>2019</v>
      </c>
      <c r="D926">
        <v>8001</v>
      </c>
      <c r="E926">
        <v>5</v>
      </c>
      <c r="F926" t="s">
        <v>4258</v>
      </c>
      <c r="G926">
        <v>1627053</v>
      </c>
      <c r="J926">
        <v>47.13</v>
      </c>
      <c r="L926">
        <v>44372540</v>
      </c>
      <c r="M926" s="1">
        <v>44019</v>
      </c>
      <c r="N926" t="str">
        <f>"J200707K2"</f>
        <v>J200707K2</v>
      </c>
      <c r="O926" t="s">
        <v>28</v>
      </c>
      <c r="Q926" t="s">
        <v>29</v>
      </c>
      <c r="R926" t="s">
        <v>28</v>
      </c>
      <c r="S926" t="s">
        <v>4259</v>
      </c>
      <c r="T926" t="s">
        <v>4260</v>
      </c>
      <c r="W926" t="s">
        <v>392</v>
      </c>
      <c r="X926" t="s">
        <v>34</v>
      </c>
      <c r="Y926" t="str">
        <f>"77489-5422"</f>
        <v>77489-5422</v>
      </c>
    </row>
    <row r="927" spans="1:25" x14ac:dyDescent="0.25">
      <c r="A927" t="s">
        <v>4261</v>
      </c>
      <c r="B927" t="s">
        <v>4262</v>
      </c>
      <c r="C927">
        <v>2020</v>
      </c>
      <c r="D927">
        <v>8001</v>
      </c>
      <c r="E927">
        <v>3</v>
      </c>
      <c r="F927" t="s">
        <v>4263</v>
      </c>
      <c r="G927">
        <v>21835494</v>
      </c>
      <c r="J927">
        <v>6.8</v>
      </c>
      <c r="L927">
        <v>47875847</v>
      </c>
      <c r="M927" s="1">
        <v>44496</v>
      </c>
      <c r="N927" t="str">
        <f>"O211027I1"</f>
        <v>O211027I1</v>
      </c>
      <c r="O927" t="s">
        <v>28</v>
      </c>
      <c r="Q927" t="s">
        <v>29</v>
      </c>
      <c r="R927" t="s">
        <v>28</v>
      </c>
      <c r="S927" t="s">
        <v>4264</v>
      </c>
      <c r="T927" t="s">
        <v>4265</v>
      </c>
      <c r="W927" t="s">
        <v>392</v>
      </c>
      <c r="X927" t="s">
        <v>34</v>
      </c>
      <c r="Y927" t="str">
        <f>"774895379"</f>
        <v>774895379</v>
      </c>
    </row>
    <row r="928" spans="1:25" x14ac:dyDescent="0.25">
      <c r="A928" t="s">
        <v>4266</v>
      </c>
      <c r="B928" t="s">
        <v>4267</v>
      </c>
      <c r="C928">
        <v>2019</v>
      </c>
      <c r="D928">
        <v>8001</v>
      </c>
      <c r="E928">
        <v>1</v>
      </c>
      <c r="F928" t="s">
        <v>4268</v>
      </c>
      <c r="G928">
        <v>27035606</v>
      </c>
      <c r="J928">
        <v>21.89</v>
      </c>
      <c r="L928">
        <v>44469092</v>
      </c>
      <c r="M928" s="1">
        <v>44048</v>
      </c>
      <c r="N928" t="str">
        <f>"J200805K6"</f>
        <v>J200805K6</v>
      </c>
      <c r="O928" t="s">
        <v>28</v>
      </c>
      <c r="Q928" t="s">
        <v>29</v>
      </c>
      <c r="R928" t="s">
        <v>28</v>
      </c>
      <c r="S928" t="s">
        <v>2317</v>
      </c>
      <c r="T928" t="s">
        <v>4269</v>
      </c>
      <c r="W928" t="s">
        <v>2938</v>
      </c>
      <c r="X928" t="s">
        <v>317</v>
      </c>
      <c r="Y928" t="str">
        <f>"928065951"</f>
        <v>928065951</v>
      </c>
    </row>
    <row r="929" spans="1:25" x14ac:dyDescent="0.25">
      <c r="A929" t="s">
        <v>4270</v>
      </c>
      <c r="B929" t="s">
        <v>4271</v>
      </c>
      <c r="C929">
        <v>2021</v>
      </c>
      <c r="D929">
        <v>8001</v>
      </c>
      <c r="E929">
        <v>1</v>
      </c>
      <c r="F929" t="s">
        <v>4272</v>
      </c>
      <c r="G929">
        <v>22320160</v>
      </c>
      <c r="J929">
        <v>47.84</v>
      </c>
      <c r="L929">
        <v>48413453</v>
      </c>
      <c r="M929" s="1">
        <v>44540</v>
      </c>
      <c r="N929" t="str">
        <f>"RC220113"</f>
        <v>RC220113</v>
      </c>
      <c r="O929" t="s">
        <v>28</v>
      </c>
      <c r="Q929" t="s">
        <v>29</v>
      </c>
      <c r="R929" t="s">
        <v>28</v>
      </c>
      <c r="S929" t="s">
        <v>4273</v>
      </c>
      <c r="T929" t="s">
        <v>4274</v>
      </c>
      <c r="W929" t="s">
        <v>75</v>
      </c>
      <c r="X929" t="s">
        <v>34</v>
      </c>
      <c r="Y929" t="str">
        <f>"770367397"</f>
        <v>770367397</v>
      </c>
    </row>
    <row r="930" spans="1:25" x14ac:dyDescent="0.25">
      <c r="A930" t="s">
        <v>4275</v>
      </c>
      <c r="B930" t="s">
        <v>4276</v>
      </c>
      <c r="C930">
        <v>2020</v>
      </c>
      <c r="D930">
        <v>8001</v>
      </c>
      <c r="E930">
        <v>2</v>
      </c>
      <c r="F930" t="s">
        <v>4277</v>
      </c>
      <c r="G930">
        <v>29461882</v>
      </c>
      <c r="J930">
        <v>874.29</v>
      </c>
      <c r="L930">
        <v>46728882</v>
      </c>
      <c r="M930" s="1">
        <v>44230</v>
      </c>
      <c r="N930" t="str">
        <f>"EK210203"</f>
        <v>EK210203</v>
      </c>
      <c r="O930" t="s">
        <v>28</v>
      </c>
      <c r="Q930" t="s">
        <v>29</v>
      </c>
      <c r="R930" t="s">
        <v>28</v>
      </c>
      <c r="S930" t="s">
        <v>4278</v>
      </c>
      <c r="T930" t="s">
        <v>4279</v>
      </c>
      <c r="W930" t="s">
        <v>2419</v>
      </c>
      <c r="X930" t="s">
        <v>2175</v>
      </c>
      <c r="Y930" t="str">
        <f>"28202"</f>
        <v>28202</v>
      </c>
    </row>
    <row r="931" spans="1:25" x14ac:dyDescent="0.25">
      <c r="A931" t="s">
        <v>4280</v>
      </c>
      <c r="B931" t="s">
        <v>4281</v>
      </c>
      <c r="C931">
        <v>2018</v>
      </c>
      <c r="D931">
        <v>8001</v>
      </c>
      <c r="E931">
        <v>1</v>
      </c>
      <c r="F931" t="s">
        <v>4282</v>
      </c>
      <c r="G931">
        <v>26243303</v>
      </c>
      <c r="J931">
        <v>14.37</v>
      </c>
      <c r="L931">
        <v>41370668</v>
      </c>
      <c r="M931" s="1">
        <v>43648</v>
      </c>
      <c r="N931" t="str">
        <f>"J190702AW5"</f>
        <v>J190702AW5</v>
      </c>
      <c r="O931" t="s">
        <v>28</v>
      </c>
      <c r="Q931" t="s">
        <v>29</v>
      </c>
      <c r="R931" t="s">
        <v>28</v>
      </c>
      <c r="S931" t="s">
        <v>79</v>
      </c>
      <c r="T931" t="s">
        <v>203</v>
      </c>
      <c r="U931" t="s">
        <v>3308</v>
      </c>
      <c r="W931" t="s">
        <v>392</v>
      </c>
      <c r="X931" t="s">
        <v>34</v>
      </c>
      <c r="Y931" t="str">
        <f>"77459"</f>
        <v>77459</v>
      </c>
    </row>
    <row r="932" spans="1:25" x14ac:dyDescent="0.25">
      <c r="A932" t="s">
        <v>4283</v>
      </c>
      <c r="B932" t="s">
        <v>4284</v>
      </c>
      <c r="C932">
        <v>2019</v>
      </c>
      <c r="D932">
        <v>8001</v>
      </c>
      <c r="E932">
        <v>2</v>
      </c>
      <c r="F932" t="s">
        <v>4285</v>
      </c>
      <c r="G932">
        <v>25607113</v>
      </c>
      <c r="J932">
        <v>217.75</v>
      </c>
      <c r="L932">
        <v>43735405</v>
      </c>
      <c r="M932" s="1">
        <v>43875</v>
      </c>
      <c r="N932" t="str">
        <f>"O200214M1"</f>
        <v>O200214M1</v>
      </c>
      <c r="O932" t="s">
        <v>28</v>
      </c>
      <c r="Q932" t="s">
        <v>29</v>
      </c>
      <c r="R932" t="s">
        <v>28</v>
      </c>
      <c r="S932" t="s">
        <v>79</v>
      </c>
      <c r="T932" t="s">
        <v>80</v>
      </c>
      <c r="W932" t="s">
        <v>81</v>
      </c>
      <c r="X932" t="s">
        <v>34</v>
      </c>
      <c r="Y932" t="str">
        <f>"774069802"</f>
        <v>774069802</v>
      </c>
    </row>
    <row r="933" spans="1:25" x14ac:dyDescent="0.25">
      <c r="A933" t="s">
        <v>4286</v>
      </c>
      <c r="B933" t="s">
        <v>4287</v>
      </c>
      <c r="C933">
        <v>2020</v>
      </c>
      <c r="D933">
        <v>8001</v>
      </c>
      <c r="E933">
        <v>1</v>
      </c>
      <c r="F933" t="s">
        <v>4288</v>
      </c>
      <c r="G933">
        <v>0</v>
      </c>
      <c r="J933">
        <v>929.1</v>
      </c>
      <c r="L933">
        <v>44999045</v>
      </c>
      <c r="M933" s="1">
        <v>44160</v>
      </c>
      <c r="N933" t="str">
        <f>"J201125AE8"</f>
        <v>J201125AE8</v>
      </c>
      <c r="O933" t="s">
        <v>28</v>
      </c>
      <c r="Q933" t="s">
        <v>29</v>
      </c>
      <c r="R933" t="s">
        <v>28</v>
      </c>
      <c r="S933" t="s">
        <v>4288</v>
      </c>
      <c r="T933" t="s">
        <v>4289</v>
      </c>
      <c r="U933" t="s">
        <v>60</v>
      </c>
      <c r="V933" t="s">
        <v>60</v>
      </c>
      <c r="W933" t="s">
        <v>1333</v>
      </c>
      <c r="X933" t="s">
        <v>34</v>
      </c>
      <c r="Y933" t="str">
        <f>"774593118   "</f>
        <v xml:space="preserve">774593118   </v>
      </c>
    </row>
    <row r="934" spans="1:25" x14ac:dyDescent="0.25">
      <c r="A934" t="s">
        <v>4290</v>
      </c>
      <c r="B934" t="s">
        <v>4291</v>
      </c>
      <c r="C934">
        <v>2021</v>
      </c>
      <c r="D934">
        <v>8001</v>
      </c>
      <c r="E934">
        <v>1</v>
      </c>
      <c r="F934" t="s">
        <v>4292</v>
      </c>
      <c r="G934">
        <v>0</v>
      </c>
      <c r="J934">
        <v>393.08</v>
      </c>
      <c r="L934">
        <v>48671069</v>
      </c>
      <c r="M934" s="1">
        <v>44557</v>
      </c>
      <c r="N934" t="str">
        <f>"L211227A"</f>
        <v>L211227A</v>
      </c>
      <c r="O934" t="s">
        <v>28</v>
      </c>
      <c r="Q934" t="s">
        <v>29</v>
      </c>
      <c r="R934" t="s">
        <v>28</v>
      </c>
      <c r="S934" t="s">
        <v>4292</v>
      </c>
      <c r="T934" t="s">
        <v>4293</v>
      </c>
      <c r="U934" t="s">
        <v>60</v>
      </c>
      <c r="V934" t="s">
        <v>60</v>
      </c>
      <c r="W934" t="s">
        <v>1333</v>
      </c>
      <c r="X934" t="s">
        <v>34</v>
      </c>
      <c r="Y934" t="str">
        <f>"774593125   "</f>
        <v xml:space="preserve">774593125   </v>
      </c>
    </row>
    <row r="935" spans="1:25" x14ac:dyDescent="0.25">
      <c r="A935" t="s">
        <v>4294</v>
      </c>
      <c r="B935" t="s">
        <v>4295</v>
      </c>
      <c r="C935">
        <v>2021</v>
      </c>
      <c r="D935">
        <v>8001</v>
      </c>
      <c r="E935">
        <v>1</v>
      </c>
      <c r="F935" t="s">
        <v>4296</v>
      </c>
      <c r="G935">
        <v>24176765</v>
      </c>
      <c r="J935">
        <v>190.35</v>
      </c>
      <c r="L935">
        <v>50091013</v>
      </c>
      <c r="M935" s="1">
        <v>44600</v>
      </c>
      <c r="N935" t="str">
        <f>"RC220314"</f>
        <v>RC220314</v>
      </c>
      <c r="O935" t="s">
        <v>28</v>
      </c>
      <c r="Q935" t="s">
        <v>29</v>
      </c>
      <c r="R935" t="s">
        <v>28</v>
      </c>
      <c r="S935" t="s">
        <v>4297</v>
      </c>
      <c r="T935" t="s">
        <v>4298</v>
      </c>
      <c r="W935" t="s">
        <v>392</v>
      </c>
      <c r="X935" t="s">
        <v>34</v>
      </c>
      <c r="Y935" t="str">
        <f>"774593354"</f>
        <v>774593354</v>
      </c>
    </row>
    <row r="936" spans="1:25" x14ac:dyDescent="0.25">
      <c r="A936" t="s">
        <v>4299</v>
      </c>
      <c r="B936" t="s">
        <v>4300</v>
      </c>
      <c r="C936">
        <v>2020</v>
      </c>
      <c r="D936">
        <v>8001</v>
      </c>
      <c r="E936">
        <v>2</v>
      </c>
      <c r="F936" t="s">
        <v>4301</v>
      </c>
      <c r="G936">
        <v>25594898</v>
      </c>
      <c r="J936">
        <v>90.81</v>
      </c>
      <c r="L936">
        <v>47697339</v>
      </c>
      <c r="M936" s="1">
        <v>44421</v>
      </c>
      <c r="N936" t="str">
        <f>"RC210820"</f>
        <v>RC210820</v>
      </c>
      <c r="O936" t="s">
        <v>28</v>
      </c>
      <c r="Q936" t="s">
        <v>29</v>
      </c>
      <c r="R936" t="s">
        <v>28</v>
      </c>
      <c r="S936" t="s">
        <v>1699</v>
      </c>
      <c r="T936" t="s">
        <v>1069</v>
      </c>
      <c r="U936" t="s">
        <v>1015</v>
      </c>
      <c r="W936" t="s">
        <v>563</v>
      </c>
      <c r="X936" t="s">
        <v>34</v>
      </c>
      <c r="Y936" t="str">
        <f>"75063"</f>
        <v>75063</v>
      </c>
    </row>
    <row r="937" spans="1:25" x14ac:dyDescent="0.25">
      <c r="A937" t="s">
        <v>4302</v>
      </c>
      <c r="B937" t="s">
        <v>4303</v>
      </c>
      <c r="C937">
        <v>2020</v>
      </c>
      <c r="D937">
        <v>8001</v>
      </c>
      <c r="E937">
        <v>1</v>
      </c>
      <c r="F937" t="s">
        <v>4304</v>
      </c>
      <c r="G937">
        <v>29743140</v>
      </c>
      <c r="J937">
        <v>114.87</v>
      </c>
      <c r="L937">
        <v>47251233</v>
      </c>
      <c r="M937" s="1">
        <v>44292</v>
      </c>
      <c r="N937" t="str">
        <f>"RC210414"</f>
        <v>RC210414</v>
      </c>
      <c r="O937" t="s">
        <v>28</v>
      </c>
      <c r="Q937" t="s">
        <v>29</v>
      </c>
      <c r="R937" t="s">
        <v>28</v>
      </c>
      <c r="S937" t="s">
        <v>30</v>
      </c>
      <c r="T937" t="s">
        <v>4305</v>
      </c>
      <c r="U937" t="s">
        <v>4306</v>
      </c>
      <c r="W937" t="s">
        <v>332</v>
      </c>
      <c r="X937" t="s">
        <v>34</v>
      </c>
      <c r="Y937" t="str">
        <f>"75252"</f>
        <v>75252</v>
      </c>
    </row>
    <row r="938" spans="1:25" x14ac:dyDescent="0.25">
      <c r="A938" t="s">
        <v>4307</v>
      </c>
      <c r="B938" t="s">
        <v>4308</v>
      </c>
      <c r="C938">
        <v>2020</v>
      </c>
      <c r="D938">
        <v>8001</v>
      </c>
      <c r="E938">
        <v>2</v>
      </c>
      <c r="F938" t="s">
        <v>4309</v>
      </c>
      <c r="G938">
        <v>203254</v>
      </c>
      <c r="J938">
        <v>51.19</v>
      </c>
      <c r="L938">
        <v>47513809</v>
      </c>
      <c r="M938" s="1">
        <v>44356</v>
      </c>
      <c r="N938" t="str">
        <f>"RC210616"</f>
        <v>RC210616</v>
      </c>
      <c r="O938" t="s">
        <v>28</v>
      </c>
      <c r="Q938" t="s">
        <v>29</v>
      </c>
      <c r="R938" t="s">
        <v>28</v>
      </c>
      <c r="S938" t="s">
        <v>904</v>
      </c>
      <c r="T938" t="s">
        <v>243</v>
      </c>
      <c r="W938" t="s">
        <v>244</v>
      </c>
      <c r="X938" t="s">
        <v>245</v>
      </c>
      <c r="Y938" t="str">
        <f>"482261906"</f>
        <v>482261906</v>
      </c>
    </row>
    <row r="939" spans="1:25" x14ac:dyDescent="0.25">
      <c r="A939" t="s">
        <v>4310</v>
      </c>
      <c r="B939" t="s">
        <v>4311</v>
      </c>
      <c r="C939">
        <v>2019</v>
      </c>
      <c r="D939">
        <v>8001</v>
      </c>
      <c r="E939">
        <v>1</v>
      </c>
      <c r="F939" t="s">
        <v>4312</v>
      </c>
      <c r="G939">
        <v>28490187</v>
      </c>
      <c r="J939">
        <v>291.99</v>
      </c>
      <c r="L939">
        <v>44250393</v>
      </c>
      <c r="M939" s="1">
        <v>43983</v>
      </c>
      <c r="N939" t="str">
        <f>"J200601U4"</f>
        <v>J200601U4</v>
      </c>
      <c r="O939" t="s">
        <v>28</v>
      </c>
      <c r="Q939" t="s">
        <v>29</v>
      </c>
      <c r="R939" t="s">
        <v>28</v>
      </c>
      <c r="S939" t="s">
        <v>4313</v>
      </c>
      <c r="T939" t="s">
        <v>4314</v>
      </c>
      <c r="W939" t="s">
        <v>392</v>
      </c>
      <c r="X939" t="s">
        <v>34</v>
      </c>
      <c r="Y939" t="str">
        <f>"774896048"</f>
        <v>774896048</v>
      </c>
    </row>
    <row r="940" spans="1:25" x14ac:dyDescent="0.25">
      <c r="A940" t="s">
        <v>4315</v>
      </c>
      <c r="B940" t="s">
        <v>4316</v>
      </c>
      <c r="C940">
        <v>2021</v>
      </c>
      <c r="D940">
        <v>8001</v>
      </c>
      <c r="E940">
        <v>2</v>
      </c>
      <c r="F940" t="s">
        <v>4317</v>
      </c>
      <c r="G940">
        <v>31094693</v>
      </c>
      <c r="J940">
        <v>10</v>
      </c>
      <c r="L940">
        <v>49967134</v>
      </c>
      <c r="M940" s="1">
        <v>44595</v>
      </c>
      <c r="N940" t="str">
        <f>"RC220303"</f>
        <v>RC220303</v>
      </c>
      <c r="O940" t="s">
        <v>28</v>
      </c>
      <c r="Q940" t="s">
        <v>29</v>
      </c>
      <c r="R940" t="s">
        <v>28</v>
      </c>
      <c r="S940" t="s">
        <v>4318</v>
      </c>
      <c r="T940" t="s">
        <v>4319</v>
      </c>
      <c r="W940" t="s">
        <v>392</v>
      </c>
      <c r="X940" t="s">
        <v>34</v>
      </c>
      <c r="Y940" t="str">
        <f>"774896063"</f>
        <v>774896063</v>
      </c>
    </row>
    <row r="941" spans="1:25" x14ac:dyDescent="0.25">
      <c r="A941" t="s">
        <v>4320</v>
      </c>
      <c r="B941" t="s">
        <v>4321</v>
      </c>
      <c r="C941">
        <v>2020</v>
      </c>
      <c r="D941">
        <v>8001</v>
      </c>
      <c r="E941">
        <v>2</v>
      </c>
      <c r="F941" t="s">
        <v>4322</v>
      </c>
      <c r="G941">
        <v>28436601</v>
      </c>
      <c r="J941">
        <v>66.459999999999994</v>
      </c>
      <c r="L941">
        <v>47374798</v>
      </c>
      <c r="M941" s="1">
        <v>44322</v>
      </c>
      <c r="N941" t="str">
        <f>"RC210512"</f>
        <v>RC210512</v>
      </c>
      <c r="O941" t="s">
        <v>28</v>
      </c>
      <c r="Q941" t="s">
        <v>29</v>
      </c>
      <c r="R941" t="s">
        <v>28</v>
      </c>
      <c r="S941" t="s">
        <v>4323</v>
      </c>
      <c r="T941" t="s">
        <v>4324</v>
      </c>
      <c r="U941" t="s">
        <v>2909</v>
      </c>
      <c r="W941" t="s">
        <v>2910</v>
      </c>
      <c r="X941" t="s">
        <v>317</v>
      </c>
      <c r="Y941" t="str">
        <f>"91768"</f>
        <v>91768</v>
      </c>
    </row>
    <row r="942" spans="1:25" x14ac:dyDescent="0.25">
      <c r="A942" t="s">
        <v>4325</v>
      </c>
      <c r="B942" t="s">
        <v>4326</v>
      </c>
      <c r="C942">
        <v>2019</v>
      </c>
      <c r="D942">
        <v>8001</v>
      </c>
      <c r="E942">
        <v>3</v>
      </c>
      <c r="F942" t="s">
        <v>4327</v>
      </c>
      <c r="G942">
        <v>0</v>
      </c>
      <c r="J942">
        <v>8.36</v>
      </c>
      <c r="L942">
        <v>44136860</v>
      </c>
      <c r="M942" s="1">
        <v>43957</v>
      </c>
      <c r="N942" t="str">
        <f>"O200506Y7"</f>
        <v>O200506Y7</v>
      </c>
      <c r="O942" t="s">
        <v>28</v>
      </c>
      <c r="Q942" t="s">
        <v>29</v>
      </c>
      <c r="R942" t="s">
        <v>28</v>
      </c>
      <c r="S942" t="s">
        <v>4327</v>
      </c>
      <c r="T942" t="s">
        <v>4328</v>
      </c>
      <c r="U942" t="s">
        <v>60</v>
      </c>
      <c r="V942" t="s">
        <v>60</v>
      </c>
      <c r="W942" t="s">
        <v>1333</v>
      </c>
      <c r="X942" t="s">
        <v>34</v>
      </c>
      <c r="Y942" t="str">
        <f>"774593348   "</f>
        <v xml:space="preserve">774593348   </v>
      </c>
    </row>
    <row r="943" spans="1:25" x14ac:dyDescent="0.25">
      <c r="A943" t="s">
        <v>4329</v>
      </c>
      <c r="B943" t="s">
        <v>4330</v>
      </c>
      <c r="C943">
        <v>2018</v>
      </c>
      <c r="D943">
        <v>8001</v>
      </c>
      <c r="E943">
        <v>1</v>
      </c>
      <c r="F943" t="s">
        <v>4331</v>
      </c>
      <c r="G943">
        <v>21516361</v>
      </c>
      <c r="J943" s="2">
        <v>2351.2399999999998</v>
      </c>
      <c r="L943">
        <v>41253934</v>
      </c>
      <c r="M943" s="1">
        <v>43615</v>
      </c>
      <c r="N943" t="str">
        <f>"J190530K2"</f>
        <v>J190530K2</v>
      </c>
      <c r="O943" t="s">
        <v>28</v>
      </c>
      <c r="Q943" t="s">
        <v>29</v>
      </c>
      <c r="R943" t="s">
        <v>28</v>
      </c>
      <c r="S943" t="s">
        <v>4332</v>
      </c>
      <c r="T943" t="s">
        <v>4333</v>
      </c>
      <c r="W943" t="s">
        <v>4334</v>
      </c>
      <c r="X943" t="s">
        <v>1248</v>
      </c>
      <c r="Y943" t="str">
        <f>"33409"</f>
        <v>33409</v>
      </c>
    </row>
    <row r="944" spans="1:25" x14ac:dyDescent="0.25">
      <c r="A944" t="s">
        <v>4335</v>
      </c>
      <c r="B944" t="s">
        <v>4336</v>
      </c>
      <c r="C944">
        <v>2021</v>
      </c>
      <c r="D944">
        <v>8001</v>
      </c>
      <c r="E944">
        <v>2</v>
      </c>
      <c r="F944" t="s">
        <v>4337</v>
      </c>
      <c r="G944">
        <v>28692840</v>
      </c>
      <c r="J944">
        <v>452.72</v>
      </c>
      <c r="L944">
        <v>48888871</v>
      </c>
      <c r="M944" s="1">
        <v>44565</v>
      </c>
      <c r="N944" t="str">
        <f>"CL210001"</f>
        <v>CL210001</v>
      </c>
      <c r="O944" t="s">
        <v>28</v>
      </c>
      <c r="Q944" t="s">
        <v>29</v>
      </c>
      <c r="R944" t="s">
        <v>28</v>
      </c>
      <c r="S944" t="s">
        <v>1019</v>
      </c>
      <c r="T944" t="s">
        <v>562</v>
      </c>
      <c r="W944" t="s">
        <v>563</v>
      </c>
      <c r="X944" t="s">
        <v>34</v>
      </c>
      <c r="Y944" t="str">
        <f>"750630156"</f>
        <v>750630156</v>
      </c>
    </row>
    <row r="945" spans="1:25" x14ac:dyDescent="0.25">
      <c r="A945" t="s">
        <v>4338</v>
      </c>
      <c r="B945" t="s">
        <v>4339</v>
      </c>
      <c r="C945">
        <v>2019</v>
      </c>
      <c r="D945">
        <v>8001</v>
      </c>
      <c r="E945">
        <v>3</v>
      </c>
      <c r="F945" t="s">
        <v>4340</v>
      </c>
      <c r="G945">
        <v>28142014</v>
      </c>
      <c r="J945">
        <v>189.01</v>
      </c>
      <c r="L945">
        <v>43514256</v>
      </c>
      <c r="M945" s="1">
        <v>43864</v>
      </c>
      <c r="N945" t="str">
        <f>"O200203L5"</f>
        <v>O200203L5</v>
      </c>
      <c r="O945" t="s">
        <v>28</v>
      </c>
      <c r="Q945" t="s">
        <v>29</v>
      </c>
      <c r="R945" t="s">
        <v>28</v>
      </c>
      <c r="S945" t="s">
        <v>4341</v>
      </c>
      <c r="T945" t="s">
        <v>4342</v>
      </c>
      <c r="W945" t="s">
        <v>392</v>
      </c>
      <c r="X945" t="s">
        <v>34</v>
      </c>
      <c r="Y945" t="str">
        <f>"774594008"</f>
        <v>774594008</v>
      </c>
    </row>
    <row r="946" spans="1:25" x14ac:dyDescent="0.25">
      <c r="A946" t="s">
        <v>4343</v>
      </c>
      <c r="B946" t="s">
        <v>4344</v>
      </c>
      <c r="C946">
        <v>2019</v>
      </c>
      <c r="D946">
        <v>8001</v>
      </c>
      <c r="E946">
        <v>8</v>
      </c>
      <c r="F946" t="s">
        <v>4345</v>
      </c>
      <c r="G946">
        <v>0</v>
      </c>
      <c r="J946">
        <v>9.91</v>
      </c>
      <c r="L946">
        <v>44340164</v>
      </c>
      <c r="M946" s="1">
        <v>44011</v>
      </c>
      <c r="N946" t="str">
        <f>"O200629BK7"</f>
        <v>O200629BK7</v>
      </c>
      <c r="O946" t="s">
        <v>28</v>
      </c>
      <c r="Q946" t="s">
        <v>29</v>
      </c>
      <c r="R946" t="s">
        <v>28</v>
      </c>
      <c r="S946" t="s">
        <v>4345</v>
      </c>
      <c r="T946" t="s">
        <v>4346</v>
      </c>
      <c r="U946" t="s">
        <v>60</v>
      </c>
      <c r="V946" t="s">
        <v>60</v>
      </c>
      <c r="W946" t="s">
        <v>1333</v>
      </c>
      <c r="X946" t="s">
        <v>34</v>
      </c>
      <c r="Y946" t="str">
        <f>"774593018   "</f>
        <v xml:space="preserve">774593018   </v>
      </c>
    </row>
    <row r="947" spans="1:25" x14ac:dyDescent="0.25">
      <c r="A947" t="s">
        <v>4347</v>
      </c>
      <c r="B947" t="s">
        <v>4348</v>
      </c>
      <c r="C947">
        <v>2020</v>
      </c>
      <c r="D947">
        <v>8001</v>
      </c>
      <c r="E947">
        <v>2</v>
      </c>
      <c r="F947" t="s">
        <v>4349</v>
      </c>
      <c r="G947">
        <v>29461781</v>
      </c>
      <c r="J947">
        <v>16.420000000000002</v>
      </c>
      <c r="L947">
        <v>46728781</v>
      </c>
      <c r="M947" s="1">
        <v>44230</v>
      </c>
      <c r="N947" t="str">
        <f>"EK210203"</f>
        <v>EK210203</v>
      </c>
      <c r="O947" t="s">
        <v>28</v>
      </c>
      <c r="Q947" t="s">
        <v>29</v>
      </c>
      <c r="R947" t="s">
        <v>28</v>
      </c>
      <c r="S947" t="s">
        <v>4350</v>
      </c>
      <c r="T947" t="s">
        <v>4351</v>
      </c>
      <c r="W947" t="s">
        <v>392</v>
      </c>
      <c r="X947" t="s">
        <v>34</v>
      </c>
      <c r="Y947" t="str">
        <f>"77459"</f>
        <v>77459</v>
      </c>
    </row>
    <row r="948" spans="1:25" x14ac:dyDescent="0.25">
      <c r="A948" t="s">
        <v>4352</v>
      </c>
      <c r="B948" t="s">
        <v>4353</v>
      </c>
      <c r="C948">
        <v>2019</v>
      </c>
      <c r="D948">
        <v>8001</v>
      </c>
      <c r="E948">
        <v>2</v>
      </c>
      <c r="F948" t="s">
        <v>4354</v>
      </c>
      <c r="G948">
        <v>26181046</v>
      </c>
      <c r="J948">
        <v>78.34</v>
      </c>
      <c r="L948">
        <v>43907835</v>
      </c>
      <c r="M948" s="1">
        <v>43899</v>
      </c>
      <c r="N948" t="str">
        <f>"J200309AW1"</f>
        <v>J200309AW1</v>
      </c>
      <c r="O948" t="s">
        <v>28</v>
      </c>
      <c r="Q948" t="s">
        <v>29</v>
      </c>
      <c r="R948" t="s">
        <v>28</v>
      </c>
      <c r="S948" t="s">
        <v>4355</v>
      </c>
      <c r="T948" t="s">
        <v>4356</v>
      </c>
      <c r="W948" t="s">
        <v>392</v>
      </c>
      <c r="X948" t="s">
        <v>34</v>
      </c>
      <c r="Y948" t="str">
        <f>"774592605"</f>
        <v>774592605</v>
      </c>
    </row>
    <row r="949" spans="1:25" x14ac:dyDescent="0.25">
      <c r="A949" t="s">
        <v>4357</v>
      </c>
      <c r="B949" t="s">
        <v>4358</v>
      </c>
      <c r="C949">
        <v>2020</v>
      </c>
      <c r="D949">
        <v>8001</v>
      </c>
      <c r="E949">
        <v>2</v>
      </c>
      <c r="F949" t="s">
        <v>4359</v>
      </c>
      <c r="G949">
        <v>0</v>
      </c>
      <c r="J949">
        <v>38.409999999999997</v>
      </c>
      <c r="L949">
        <v>44217754</v>
      </c>
      <c r="M949" s="1">
        <v>44147</v>
      </c>
      <c r="N949" t="str">
        <f>"TE201112"</f>
        <v>TE201112</v>
      </c>
      <c r="O949" t="s">
        <v>28</v>
      </c>
      <c r="Q949" t="s">
        <v>29</v>
      </c>
      <c r="R949" t="s">
        <v>28</v>
      </c>
      <c r="S949" t="s">
        <v>4359</v>
      </c>
      <c r="T949" t="s">
        <v>4360</v>
      </c>
      <c r="U949" t="s">
        <v>60</v>
      </c>
      <c r="V949" t="s">
        <v>60</v>
      </c>
      <c r="W949" t="s">
        <v>1333</v>
      </c>
      <c r="X949" t="s">
        <v>34</v>
      </c>
      <c r="Y949" t="str">
        <f>"774593457   "</f>
        <v xml:space="preserve">774593457   </v>
      </c>
    </row>
    <row r="950" spans="1:25" x14ac:dyDescent="0.25">
      <c r="A950" t="s">
        <v>4361</v>
      </c>
      <c r="B950" t="s">
        <v>4362</v>
      </c>
      <c r="C950">
        <v>2020</v>
      </c>
      <c r="D950">
        <v>8001</v>
      </c>
      <c r="E950">
        <v>1</v>
      </c>
      <c r="F950" t="s">
        <v>4363</v>
      </c>
      <c r="G950">
        <v>0</v>
      </c>
      <c r="J950">
        <v>191.73</v>
      </c>
      <c r="L950">
        <v>46861513</v>
      </c>
      <c r="M950" s="1">
        <v>44235</v>
      </c>
      <c r="N950" t="str">
        <f>"L210208"</f>
        <v>L210208</v>
      </c>
      <c r="O950" t="s">
        <v>28</v>
      </c>
      <c r="Q950" t="s">
        <v>29</v>
      </c>
      <c r="R950" t="s">
        <v>28</v>
      </c>
      <c r="S950" t="s">
        <v>4363</v>
      </c>
      <c r="T950" t="s">
        <v>4364</v>
      </c>
      <c r="U950" t="s">
        <v>60</v>
      </c>
      <c r="V950" t="s">
        <v>60</v>
      </c>
      <c r="W950" t="s">
        <v>1333</v>
      </c>
      <c r="X950" t="s">
        <v>34</v>
      </c>
      <c r="Y950" t="str">
        <f>"774593417   "</f>
        <v xml:space="preserve">774593417   </v>
      </c>
    </row>
    <row r="951" spans="1:25" x14ac:dyDescent="0.25">
      <c r="A951" t="s">
        <v>4365</v>
      </c>
      <c r="B951" t="s">
        <v>4366</v>
      </c>
      <c r="C951">
        <v>2020</v>
      </c>
      <c r="D951">
        <v>8001</v>
      </c>
      <c r="E951">
        <v>1</v>
      </c>
      <c r="F951" t="s">
        <v>4367</v>
      </c>
      <c r="G951">
        <v>29461897</v>
      </c>
      <c r="J951">
        <v>289.72000000000003</v>
      </c>
      <c r="L951">
        <v>46728897</v>
      </c>
      <c r="M951" s="1">
        <v>44230</v>
      </c>
      <c r="N951" t="str">
        <f>"EK210203"</f>
        <v>EK210203</v>
      </c>
      <c r="O951" t="s">
        <v>28</v>
      </c>
      <c r="Q951" t="s">
        <v>29</v>
      </c>
      <c r="R951" t="s">
        <v>28</v>
      </c>
      <c r="S951" t="s">
        <v>4368</v>
      </c>
      <c r="T951" t="s">
        <v>4369</v>
      </c>
      <c r="W951" t="s">
        <v>392</v>
      </c>
      <c r="X951" t="s">
        <v>34</v>
      </c>
      <c r="Y951" t="str">
        <f>"77459"</f>
        <v>77459</v>
      </c>
    </row>
    <row r="952" spans="1:25" x14ac:dyDescent="0.25">
      <c r="A952" t="s">
        <v>4370</v>
      </c>
      <c r="B952" t="s">
        <v>4371</v>
      </c>
      <c r="C952">
        <v>2020</v>
      </c>
      <c r="D952">
        <v>8001</v>
      </c>
      <c r="E952">
        <v>1</v>
      </c>
      <c r="F952" t="s">
        <v>4372</v>
      </c>
      <c r="G952">
        <v>21818801</v>
      </c>
      <c r="J952">
        <v>132.1</v>
      </c>
      <c r="L952">
        <v>46739625</v>
      </c>
      <c r="M952" s="1">
        <v>44230</v>
      </c>
      <c r="N952" t="str">
        <f>"RC210301"</f>
        <v>RC210301</v>
      </c>
      <c r="O952" t="s">
        <v>28</v>
      </c>
      <c r="Q952" t="s">
        <v>29</v>
      </c>
      <c r="R952" t="s">
        <v>28</v>
      </c>
      <c r="S952" t="s">
        <v>4373</v>
      </c>
      <c r="T952" t="s">
        <v>4374</v>
      </c>
      <c r="W952" t="s">
        <v>392</v>
      </c>
      <c r="X952" t="s">
        <v>34</v>
      </c>
      <c r="Y952" t="str">
        <f>"774592501"</f>
        <v>774592501</v>
      </c>
    </row>
    <row r="953" spans="1:25" x14ac:dyDescent="0.25">
      <c r="A953" t="s">
        <v>4375</v>
      </c>
      <c r="B953" t="s">
        <v>4376</v>
      </c>
      <c r="C953">
        <v>2021</v>
      </c>
      <c r="D953">
        <v>8001</v>
      </c>
      <c r="E953">
        <v>1</v>
      </c>
      <c r="F953" t="s">
        <v>4377</v>
      </c>
      <c r="G953">
        <v>30997137</v>
      </c>
      <c r="J953">
        <v>9</v>
      </c>
      <c r="L953">
        <v>48940008</v>
      </c>
      <c r="M953" s="1">
        <v>44566</v>
      </c>
      <c r="N953" t="str">
        <f>"RC220208"</f>
        <v>RC220208</v>
      </c>
      <c r="O953" t="s">
        <v>28</v>
      </c>
      <c r="Q953" t="s">
        <v>29</v>
      </c>
      <c r="R953" t="s">
        <v>28</v>
      </c>
      <c r="S953" t="s">
        <v>4378</v>
      </c>
      <c r="T953" t="s">
        <v>4379</v>
      </c>
      <c r="W953" t="s">
        <v>392</v>
      </c>
      <c r="X953" t="s">
        <v>34</v>
      </c>
      <c r="Y953" t="str">
        <f>"774592501"</f>
        <v>774592501</v>
      </c>
    </row>
    <row r="954" spans="1:25" x14ac:dyDescent="0.25">
      <c r="A954" t="s">
        <v>4380</v>
      </c>
      <c r="B954" t="s">
        <v>4381</v>
      </c>
      <c r="C954">
        <v>2019</v>
      </c>
      <c r="D954">
        <v>8001</v>
      </c>
      <c r="E954">
        <v>1</v>
      </c>
      <c r="F954" t="s">
        <v>4382</v>
      </c>
      <c r="G954">
        <v>0</v>
      </c>
      <c r="J954">
        <v>5</v>
      </c>
      <c r="L954">
        <v>43566556</v>
      </c>
      <c r="M954" s="1">
        <v>43865</v>
      </c>
      <c r="N954" t="str">
        <f>"L200204"</f>
        <v>L200204</v>
      </c>
      <c r="O954" t="s">
        <v>28</v>
      </c>
      <c r="Q954" t="s">
        <v>29</v>
      </c>
      <c r="R954" t="s">
        <v>28</v>
      </c>
      <c r="S954" t="s">
        <v>4382</v>
      </c>
      <c r="T954" t="s">
        <v>4383</v>
      </c>
      <c r="U954" t="s">
        <v>60</v>
      </c>
      <c r="V954" t="s">
        <v>60</v>
      </c>
      <c r="W954" t="s">
        <v>1333</v>
      </c>
      <c r="X954" t="s">
        <v>34</v>
      </c>
      <c r="Y954" t="str">
        <f>"774591917   "</f>
        <v xml:space="preserve">774591917   </v>
      </c>
    </row>
    <row r="955" spans="1:25" x14ac:dyDescent="0.25">
      <c r="A955" t="s">
        <v>4384</v>
      </c>
      <c r="B955" t="s">
        <v>4385</v>
      </c>
      <c r="C955">
        <v>2020</v>
      </c>
      <c r="D955">
        <v>8001</v>
      </c>
      <c r="E955">
        <v>12</v>
      </c>
      <c r="F955" t="s">
        <v>4386</v>
      </c>
      <c r="G955">
        <v>0</v>
      </c>
      <c r="J955">
        <v>58.77</v>
      </c>
      <c r="L955">
        <v>47824437</v>
      </c>
      <c r="M955" s="1">
        <v>44524</v>
      </c>
      <c r="N955" t="str">
        <f>"T211124AJ3"</f>
        <v>T211124AJ3</v>
      </c>
      <c r="O955" t="s">
        <v>28</v>
      </c>
      <c r="Q955" t="s">
        <v>29</v>
      </c>
      <c r="R955" t="s">
        <v>28</v>
      </c>
      <c r="S955" t="s">
        <v>4386</v>
      </c>
      <c r="T955" t="s">
        <v>4387</v>
      </c>
      <c r="U955" t="s">
        <v>60</v>
      </c>
      <c r="V955" t="s">
        <v>60</v>
      </c>
      <c r="W955" t="s">
        <v>219</v>
      </c>
      <c r="X955" t="s">
        <v>34</v>
      </c>
      <c r="Y955" t="str">
        <f>"774982353   "</f>
        <v xml:space="preserve">774982353   </v>
      </c>
    </row>
    <row r="956" spans="1:25" x14ac:dyDescent="0.25">
      <c r="A956" t="s">
        <v>4388</v>
      </c>
      <c r="B956" t="s">
        <v>4389</v>
      </c>
      <c r="C956">
        <v>2020</v>
      </c>
      <c r="D956">
        <v>8001</v>
      </c>
      <c r="E956">
        <v>1</v>
      </c>
      <c r="F956" t="s">
        <v>4390</v>
      </c>
      <c r="G956">
        <v>29576653</v>
      </c>
      <c r="J956">
        <v>176.68</v>
      </c>
      <c r="L956">
        <v>46709476</v>
      </c>
      <c r="M956" s="1">
        <v>44230</v>
      </c>
      <c r="N956" t="str">
        <f>"RC210301"</f>
        <v>RC210301</v>
      </c>
      <c r="O956" t="s">
        <v>28</v>
      </c>
      <c r="Q956" t="s">
        <v>29</v>
      </c>
      <c r="R956" t="s">
        <v>28</v>
      </c>
      <c r="S956" t="s">
        <v>4391</v>
      </c>
      <c r="T956" t="s">
        <v>203</v>
      </c>
      <c r="U956" t="s">
        <v>4392</v>
      </c>
      <c r="W956" t="s">
        <v>2295</v>
      </c>
      <c r="X956" t="s">
        <v>34</v>
      </c>
      <c r="Y956" t="str">
        <f>"77840"</f>
        <v>77840</v>
      </c>
    </row>
    <row r="957" spans="1:25" x14ac:dyDescent="0.25">
      <c r="A957" t="s">
        <v>4393</v>
      </c>
      <c r="B957" t="s">
        <v>4394</v>
      </c>
      <c r="C957">
        <v>2021</v>
      </c>
      <c r="D957">
        <v>8001</v>
      </c>
      <c r="E957">
        <v>1</v>
      </c>
      <c r="F957" t="s">
        <v>4395</v>
      </c>
      <c r="G957">
        <v>29911506</v>
      </c>
      <c r="J957">
        <v>403.13</v>
      </c>
      <c r="L957">
        <v>50040293</v>
      </c>
      <c r="M957" s="1">
        <v>44599</v>
      </c>
      <c r="N957" t="str">
        <f>"RC220314"</f>
        <v>RC220314</v>
      </c>
      <c r="O957" t="s">
        <v>28</v>
      </c>
      <c r="Q957" t="s">
        <v>29</v>
      </c>
      <c r="R957" t="s">
        <v>28</v>
      </c>
      <c r="S957" t="s">
        <v>1772</v>
      </c>
      <c r="T957" t="s">
        <v>4396</v>
      </c>
      <c r="U957" t="s">
        <v>4397</v>
      </c>
      <c r="W957" t="s">
        <v>75</v>
      </c>
      <c r="X957" t="s">
        <v>34</v>
      </c>
      <c r="Y957" t="str">
        <f>"770273049"</f>
        <v>770273049</v>
      </c>
    </row>
    <row r="958" spans="1:25" x14ac:dyDescent="0.25">
      <c r="A958" t="s">
        <v>4398</v>
      </c>
      <c r="B958" t="s">
        <v>4399</v>
      </c>
      <c r="C958">
        <v>2021</v>
      </c>
      <c r="D958">
        <v>8001</v>
      </c>
      <c r="E958">
        <v>1</v>
      </c>
      <c r="F958" t="s">
        <v>4400</v>
      </c>
      <c r="G958">
        <v>0</v>
      </c>
      <c r="J958">
        <v>209.48</v>
      </c>
      <c r="L958">
        <v>49600609</v>
      </c>
      <c r="M958" s="1">
        <v>44588</v>
      </c>
      <c r="N958" t="str">
        <f>"EL220127"</f>
        <v>EL220127</v>
      </c>
      <c r="O958" t="s">
        <v>28</v>
      </c>
      <c r="Q958" t="s">
        <v>29</v>
      </c>
      <c r="R958" t="s">
        <v>28</v>
      </c>
      <c r="S958" t="s">
        <v>4400</v>
      </c>
      <c r="T958" t="s">
        <v>4401</v>
      </c>
      <c r="U958" t="s">
        <v>60</v>
      </c>
      <c r="V958" t="s">
        <v>60</v>
      </c>
      <c r="W958" t="s">
        <v>219</v>
      </c>
      <c r="X958" t="s">
        <v>34</v>
      </c>
      <c r="Y958" t="str">
        <f>"774795385   "</f>
        <v xml:space="preserve">774795385   </v>
      </c>
    </row>
    <row r="959" spans="1:25" x14ac:dyDescent="0.25">
      <c r="A959" t="s">
        <v>4402</v>
      </c>
      <c r="B959" t="s">
        <v>4403</v>
      </c>
      <c r="C959">
        <v>2020</v>
      </c>
      <c r="D959">
        <v>8001</v>
      </c>
      <c r="E959">
        <v>1</v>
      </c>
      <c r="F959" t="s">
        <v>4404</v>
      </c>
      <c r="G959">
        <v>0</v>
      </c>
      <c r="J959" s="2">
        <v>1918.11</v>
      </c>
      <c r="L959">
        <v>46225370</v>
      </c>
      <c r="M959" s="1">
        <v>44218</v>
      </c>
      <c r="N959" t="str">
        <f>"J210122AE2"</f>
        <v>J210122AE2</v>
      </c>
      <c r="O959" t="s">
        <v>28</v>
      </c>
      <c r="Q959" t="s">
        <v>29</v>
      </c>
      <c r="R959" t="s">
        <v>28</v>
      </c>
      <c r="S959" t="s">
        <v>4404</v>
      </c>
      <c r="T959" t="s">
        <v>4405</v>
      </c>
      <c r="U959" t="s">
        <v>60</v>
      </c>
      <c r="V959" t="s">
        <v>60</v>
      </c>
      <c r="W959" t="s">
        <v>219</v>
      </c>
      <c r="X959" t="s">
        <v>34</v>
      </c>
      <c r="Y959" t="str">
        <f>"774794248   "</f>
        <v xml:space="preserve">774794248   </v>
      </c>
    </row>
    <row r="960" spans="1:25" x14ac:dyDescent="0.25">
      <c r="A960" t="s">
        <v>4406</v>
      </c>
      <c r="B960" t="s">
        <v>4407</v>
      </c>
      <c r="C960">
        <v>2021</v>
      </c>
      <c r="D960">
        <v>8001</v>
      </c>
      <c r="E960">
        <v>1</v>
      </c>
      <c r="F960" t="s">
        <v>4408</v>
      </c>
      <c r="G960">
        <v>30997206</v>
      </c>
      <c r="J960">
        <v>140.07</v>
      </c>
      <c r="L960">
        <v>49023984</v>
      </c>
      <c r="M960" s="1">
        <v>44568</v>
      </c>
      <c r="N960" t="str">
        <f>"RC220208"</f>
        <v>RC220208</v>
      </c>
      <c r="O960" t="s">
        <v>28</v>
      </c>
      <c r="Q960" t="s">
        <v>29</v>
      </c>
      <c r="R960" t="s">
        <v>28</v>
      </c>
      <c r="S960" t="s">
        <v>4408</v>
      </c>
      <c r="T960" t="s">
        <v>4409</v>
      </c>
      <c r="W960" t="s">
        <v>81</v>
      </c>
      <c r="X960" t="s">
        <v>34</v>
      </c>
      <c r="Y960" t="str">
        <f>"774067771"</f>
        <v>774067771</v>
      </c>
    </row>
    <row r="961" spans="1:25" x14ac:dyDescent="0.25">
      <c r="A961" t="s">
        <v>4410</v>
      </c>
      <c r="B961" t="s">
        <v>4411</v>
      </c>
      <c r="C961">
        <v>2020</v>
      </c>
      <c r="D961">
        <v>8001</v>
      </c>
      <c r="E961">
        <v>1</v>
      </c>
      <c r="F961" t="s">
        <v>4412</v>
      </c>
      <c r="G961">
        <v>29596093</v>
      </c>
      <c r="J961">
        <v>74.56</v>
      </c>
      <c r="L961">
        <v>47018862</v>
      </c>
      <c r="M961" s="1">
        <v>44258</v>
      </c>
      <c r="N961" t="str">
        <f>"EK210303"</f>
        <v>EK210303</v>
      </c>
      <c r="O961" t="s">
        <v>28</v>
      </c>
      <c r="Q961" t="s">
        <v>29</v>
      </c>
      <c r="R961" t="s">
        <v>28</v>
      </c>
      <c r="S961" t="s">
        <v>4413</v>
      </c>
      <c r="T961" t="s">
        <v>4414</v>
      </c>
      <c r="W961" t="s">
        <v>75</v>
      </c>
      <c r="X961" t="s">
        <v>34</v>
      </c>
      <c r="Y961" t="str">
        <f>"77036"</f>
        <v>77036</v>
      </c>
    </row>
    <row r="962" spans="1:25" x14ac:dyDescent="0.25">
      <c r="A962" t="s">
        <v>4415</v>
      </c>
      <c r="B962" t="s">
        <v>4416</v>
      </c>
      <c r="C962">
        <v>2020</v>
      </c>
      <c r="D962">
        <v>8001</v>
      </c>
      <c r="E962">
        <v>1</v>
      </c>
      <c r="F962" t="s">
        <v>4417</v>
      </c>
      <c r="G962">
        <v>29461654</v>
      </c>
      <c r="J962">
        <v>297.05</v>
      </c>
      <c r="L962">
        <v>46728654</v>
      </c>
      <c r="M962" s="1">
        <v>44230</v>
      </c>
      <c r="N962" t="str">
        <f>"EK210203"</f>
        <v>EK210203</v>
      </c>
      <c r="O962" t="s">
        <v>28</v>
      </c>
      <c r="Q962" t="s">
        <v>29</v>
      </c>
      <c r="R962" t="s">
        <v>28</v>
      </c>
      <c r="S962" t="s">
        <v>4418</v>
      </c>
      <c r="T962" t="s">
        <v>4419</v>
      </c>
      <c r="W962" t="s">
        <v>40</v>
      </c>
      <c r="X962" t="s">
        <v>34</v>
      </c>
      <c r="Y962" t="str">
        <f>"774987330"</f>
        <v>774987330</v>
      </c>
    </row>
    <row r="963" spans="1:25" x14ac:dyDescent="0.25">
      <c r="A963" t="s">
        <v>4420</v>
      </c>
      <c r="B963" t="s">
        <v>4421</v>
      </c>
      <c r="C963">
        <v>2020</v>
      </c>
      <c r="D963">
        <v>8001</v>
      </c>
      <c r="E963">
        <v>1</v>
      </c>
      <c r="F963" t="s">
        <v>4422</v>
      </c>
      <c r="G963">
        <v>26697683</v>
      </c>
      <c r="J963">
        <v>77.86</v>
      </c>
      <c r="L963">
        <v>46733335</v>
      </c>
      <c r="M963" s="1">
        <v>44230</v>
      </c>
      <c r="N963" t="str">
        <f>"O210203AZ1"</f>
        <v>O210203AZ1</v>
      </c>
      <c r="O963" t="s">
        <v>28</v>
      </c>
      <c r="Q963" t="s">
        <v>29</v>
      </c>
      <c r="R963" t="s">
        <v>28</v>
      </c>
      <c r="S963" t="s">
        <v>4423</v>
      </c>
      <c r="T963" t="s">
        <v>4424</v>
      </c>
      <c r="W963" t="s">
        <v>75</v>
      </c>
      <c r="X963" t="s">
        <v>34</v>
      </c>
      <c r="Y963" t="str">
        <f>"770423745"</f>
        <v>770423745</v>
      </c>
    </row>
    <row r="964" spans="1:25" x14ac:dyDescent="0.25">
      <c r="A964" t="s">
        <v>4425</v>
      </c>
      <c r="B964" t="s">
        <v>4426</v>
      </c>
      <c r="C964">
        <v>2020</v>
      </c>
      <c r="D964">
        <v>8001</v>
      </c>
      <c r="E964">
        <v>1</v>
      </c>
      <c r="F964" t="s">
        <v>4422</v>
      </c>
      <c r="G964">
        <v>26697683</v>
      </c>
      <c r="J964">
        <v>77.86</v>
      </c>
      <c r="L964">
        <v>46733335</v>
      </c>
      <c r="M964" s="1">
        <v>44230</v>
      </c>
      <c r="N964" t="str">
        <f>"O210203AZ1"</f>
        <v>O210203AZ1</v>
      </c>
      <c r="O964" t="s">
        <v>28</v>
      </c>
      <c r="Q964" t="s">
        <v>29</v>
      </c>
      <c r="R964" t="s">
        <v>28</v>
      </c>
      <c r="S964" t="s">
        <v>4423</v>
      </c>
      <c r="T964" t="s">
        <v>4424</v>
      </c>
      <c r="W964" t="s">
        <v>75</v>
      </c>
      <c r="X964" t="s">
        <v>34</v>
      </c>
      <c r="Y964" t="str">
        <f>"770423745"</f>
        <v>770423745</v>
      </c>
    </row>
    <row r="965" spans="1:25" x14ac:dyDescent="0.25">
      <c r="A965" t="s">
        <v>4427</v>
      </c>
      <c r="B965" t="s">
        <v>4428</v>
      </c>
      <c r="C965">
        <v>2019</v>
      </c>
      <c r="D965">
        <v>8001</v>
      </c>
      <c r="E965">
        <v>1</v>
      </c>
      <c r="F965" t="s">
        <v>4429</v>
      </c>
      <c r="G965">
        <v>28519874</v>
      </c>
      <c r="J965">
        <v>19.239999999999998</v>
      </c>
      <c r="L965">
        <v>44532041</v>
      </c>
      <c r="M965" s="1">
        <v>44082</v>
      </c>
      <c r="N965" t="str">
        <f>"J200908K3"</f>
        <v>J200908K3</v>
      </c>
      <c r="O965" t="s">
        <v>28</v>
      </c>
      <c r="Q965" t="s">
        <v>29</v>
      </c>
      <c r="R965" t="s">
        <v>28</v>
      </c>
      <c r="S965" t="s">
        <v>1384</v>
      </c>
      <c r="T965" t="s">
        <v>4430</v>
      </c>
      <c r="W965" t="s">
        <v>193</v>
      </c>
      <c r="X965" t="s">
        <v>34</v>
      </c>
      <c r="Y965" t="str">
        <f>"77441"</f>
        <v>77441</v>
      </c>
    </row>
    <row r="966" spans="1:25" x14ac:dyDescent="0.25">
      <c r="A966" t="s">
        <v>4431</v>
      </c>
      <c r="B966" t="s">
        <v>4432</v>
      </c>
      <c r="C966">
        <v>2020</v>
      </c>
      <c r="D966">
        <v>8001</v>
      </c>
      <c r="E966">
        <v>1</v>
      </c>
      <c r="F966" t="s">
        <v>4433</v>
      </c>
      <c r="G966">
        <v>0</v>
      </c>
      <c r="J966">
        <v>16.68</v>
      </c>
      <c r="L966">
        <v>47526019</v>
      </c>
      <c r="M966" s="1">
        <v>44361</v>
      </c>
      <c r="N966" t="str">
        <f>"J210614K2"</f>
        <v>J210614K2</v>
      </c>
      <c r="O966" t="s">
        <v>28</v>
      </c>
      <c r="Q966" t="s">
        <v>29</v>
      </c>
      <c r="R966" t="s">
        <v>28</v>
      </c>
      <c r="S966" t="s">
        <v>4433</v>
      </c>
      <c r="T966" t="s">
        <v>4434</v>
      </c>
      <c r="U966" t="s">
        <v>60</v>
      </c>
      <c r="V966" t="s">
        <v>60</v>
      </c>
      <c r="W966" t="s">
        <v>273</v>
      </c>
      <c r="X966" t="s">
        <v>34</v>
      </c>
      <c r="Y966" t="str">
        <f>"774411679   "</f>
        <v xml:space="preserve">774411679   </v>
      </c>
    </row>
    <row r="967" spans="1:25" x14ac:dyDescent="0.25">
      <c r="A967" t="s">
        <v>4435</v>
      </c>
      <c r="B967" t="s">
        <v>4436</v>
      </c>
      <c r="C967">
        <v>2019</v>
      </c>
      <c r="D967">
        <v>8001</v>
      </c>
      <c r="E967">
        <v>1</v>
      </c>
      <c r="F967" t="s">
        <v>4437</v>
      </c>
      <c r="G967">
        <v>26677939</v>
      </c>
      <c r="J967">
        <v>192.09</v>
      </c>
      <c r="L967">
        <v>43915442</v>
      </c>
      <c r="M967" s="1">
        <v>43900</v>
      </c>
      <c r="N967" t="str">
        <f>"J200310AW6"</f>
        <v>J200310AW6</v>
      </c>
      <c r="O967" t="s">
        <v>28</v>
      </c>
      <c r="Q967" t="s">
        <v>29</v>
      </c>
      <c r="R967" t="s">
        <v>28</v>
      </c>
      <c r="S967" t="s">
        <v>1384</v>
      </c>
      <c r="T967" t="s">
        <v>180</v>
      </c>
      <c r="W967" t="s">
        <v>107</v>
      </c>
      <c r="X967" t="s">
        <v>34</v>
      </c>
      <c r="Y967" t="str">
        <f>"77494"</f>
        <v>77494</v>
      </c>
    </row>
    <row r="968" spans="1:25" x14ac:dyDescent="0.25">
      <c r="A968" t="s">
        <v>4438</v>
      </c>
      <c r="B968" t="s">
        <v>4439</v>
      </c>
      <c r="C968">
        <v>2019</v>
      </c>
      <c r="D968">
        <v>8001</v>
      </c>
      <c r="E968">
        <v>1</v>
      </c>
      <c r="F968" t="s">
        <v>4440</v>
      </c>
      <c r="G968">
        <v>26682808</v>
      </c>
      <c r="J968">
        <v>37.94</v>
      </c>
      <c r="L968">
        <v>43915434</v>
      </c>
      <c r="M968" s="1">
        <v>43900</v>
      </c>
      <c r="N968" t="str">
        <f>"J200310AW6"</f>
        <v>J200310AW6</v>
      </c>
      <c r="O968" t="s">
        <v>28</v>
      </c>
      <c r="Q968" t="s">
        <v>29</v>
      </c>
      <c r="R968" t="s">
        <v>28</v>
      </c>
      <c r="S968" t="s">
        <v>4441</v>
      </c>
      <c r="T968" t="s">
        <v>2997</v>
      </c>
      <c r="W968" t="s">
        <v>75</v>
      </c>
      <c r="X968" t="s">
        <v>34</v>
      </c>
      <c r="Y968" t="str">
        <f>"77056"</f>
        <v>77056</v>
      </c>
    </row>
    <row r="969" spans="1:25" x14ac:dyDescent="0.25">
      <c r="A969" t="s">
        <v>4442</v>
      </c>
      <c r="B969" t="s">
        <v>4443</v>
      </c>
      <c r="C969">
        <v>2020</v>
      </c>
      <c r="D969">
        <v>8001</v>
      </c>
      <c r="E969">
        <v>1</v>
      </c>
      <c r="F969" t="s">
        <v>4444</v>
      </c>
      <c r="G969">
        <v>27745442</v>
      </c>
      <c r="J969">
        <v>42.22</v>
      </c>
      <c r="L969">
        <v>47078234</v>
      </c>
      <c r="M969" s="1">
        <v>44266</v>
      </c>
      <c r="N969" t="str">
        <f>"RC210317"</f>
        <v>RC210317</v>
      </c>
      <c r="O969" t="s">
        <v>28</v>
      </c>
      <c r="Q969" t="s">
        <v>29</v>
      </c>
      <c r="R969" t="s">
        <v>28</v>
      </c>
      <c r="S969" t="s">
        <v>2818</v>
      </c>
      <c r="T969" t="s">
        <v>4445</v>
      </c>
      <c r="W969" t="s">
        <v>75</v>
      </c>
      <c r="X969" t="s">
        <v>34</v>
      </c>
      <c r="Y969" t="str">
        <f>"77058"</f>
        <v>77058</v>
      </c>
    </row>
    <row r="970" spans="1:25" x14ac:dyDescent="0.25">
      <c r="A970" t="s">
        <v>4446</v>
      </c>
      <c r="B970" t="s">
        <v>4447</v>
      </c>
      <c r="C970">
        <v>2019</v>
      </c>
      <c r="D970">
        <v>8001</v>
      </c>
      <c r="E970">
        <v>1</v>
      </c>
      <c r="F970" t="s">
        <v>4448</v>
      </c>
      <c r="G970">
        <v>28310313</v>
      </c>
      <c r="J970">
        <v>8.27</v>
      </c>
      <c r="L970">
        <v>43887134</v>
      </c>
      <c r="M970" s="1">
        <v>43895</v>
      </c>
      <c r="N970" t="str">
        <f>"CC200305"</f>
        <v>CC200305</v>
      </c>
      <c r="O970" t="s">
        <v>28</v>
      </c>
      <c r="Q970" t="s">
        <v>29</v>
      </c>
      <c r="R970" t="s">
        <v>28</v>
      </c>
      <c r="S970" t="s">
        <v>4449</v>
      </c>
      <c r="T970" t="s">
        <v>4450</v>
      </c>
      <c r="W970" t="s">
        <v>392</v>
      </c>
      <c r="X970" t="s">
        <v>34</v>
      </c>
      <c r="Y970" t="str">
        <f>"77489"</f>
        <v>77489</v>
      </c>
    </row>
    <row r="971" spans="1:25" x14ac:dyDescent="0.25">
      <c r="A971" t="s">
        <v>4451</v>
      </c>
      <c r="B971" t="s">
        <v>4452</v>
      </c>
      <c r="C971">
        <v>2019</v>
      </c>
      <c r="D971">
        <v>8001</v>
      </c>
      <c r="E971">
        <v>3</v>
      </c>
      <c r="F971" t="s">
        <v>4453</v>
      </c>
      <c r="G971">
        <v>28512011</v>
      </c>
      <c r="J971">
        <v>42.63</v>
      </c>
      <c r="L971">
        <v>44277835</v>
      </c>
      <c r="M971" s="1">
        <v>43986</v>
      </c>
      <c r="N971" t="str">
        <f>"CC300604"</f>
        <v>CC300604</v>
      </c>
      <c r="O971" t="s">
        <v>28</v>
      </c>
      <c r="Q971" t="s">
        <v>29</v>
      </c>
      <c r="R971" t="s">
        <v>28</v>
      </c>
      <c r="S971" t="s">
        <v>4454</v>
      </c>
      <c r="T971" t="s">
        <v>4455</v>
      </c>
      <c r="W971" t="s">
        <v>81</v>
      </c>
      <c r="X971" t="s">
        <v>34</v>
      </c>
      <c r="Y971" t="str">
        <f>"77469"</f>
        <v>77469</v>
      </c>
    </row>
    <row r="972" spans="1:25" x14ac:dyDescent="0.25">
      <c r="A972" t="s">
        <v>4456</v>
      </c>
      <c r="B972" t="s">
        <v>4457</v>
      </c>
      <c r="C972">
        <v>2020</v>
      </c>
      <c r="D972">
        <v>8001</v>
      </c>
      <c r="E972">
        <v>6</v>
      </c>
      <c r="F972" t="s">
        <v>4458</v>
      </c>
      <c r="G972">
        <v>29718327</v>
      </c>
      <c r="J972">
        <v>11.34</v>
      </c>
      <c r="L972">
        <v>47245550</v>
      </c>
      <c r="M972" s="1">
        <v>44291</v>
      </c>
      <c r="N972" t="str">
        <f>"CC310405"</f>
        <v>CC310405</v>
      </c>
      <c r="O972" t="s">
        <v>28</v>
      </c>
      <c r="Q972" t="s">
        <v>29</v>
      </c>
      <c r="R972" t="s">
        <v>28</v>
      </c>
      <c r="S972" t="s">
        <v>4459</v>
      </c>
      <c r="T972" t="s">
        <v>4460</v>
      </c>
      <c r="W972" t="s">
        <v>75</v>
      </c>
      <c r="X972" t="s">
        <v>34</v>
      </c>
      <c r="Y972" t="str">
        <f>"77053"</f>
        <v>77053</v>
      </c>
    </row>
    <row r="973" spans="1:25" x14ac:dyDescent="0.25">
      <c r="A973" t="s">
        <v>4461</v>
      </c>
      <c r="B973" t="s">
        <v>4462</v>
      </c>
      <c r="C973">
        <v>2019</v>
      </c>
      <c r="D973">
        <v>8001</v>
      </c>
      <c r="E973">
        <v>2</v>
      </c>
      <c r="F973" t="s">
        <v>4463</v>
      </c>
      <c r="G973">
        <v>0</v>
      </c>
      <c r="J973">
        <v>31.03</v>
      </c>
      <c r="L973">
        <v>43915002</v>
      </c>
      <c r="M973" s="1">
        <v>43900</v>
      </c>
      <c r="N973" t="str">
        <f>"J200310AW2"</f>
        <v>J200310AW2</v>
      </c>
      <c r="O973" t="s">
        <v>28</v>
      </c>
      <c r="Q973" t="s">
        <v>29</v>
      </c>
      <c r="R973" t="s">
        <v>28</v>
      </c>
      <c r="S973" t="s">
        <v>4463</v>
      </c>
      <c r="T973" t="s">
        <v>4464</v>
      </c>
      <c r="U973" t="s">
        <v>60</v>
      </c>
      <c r="V973" t="s">
        <v>60</v>
      </c>
      <c r="W973" t="s">
        <v>135</v>
      </c>
      <c r="X973" t="s">
        <v>34</v>
      </c>
      <c r="Y973" t="str">
        <f>"770533630   "</f>
        <v xml:space="preserve">770533630   </v>
      </c>
    </row>
    <row r="974" spans="1:25" x14ac:dyDescent="0.25">
      <c r="A974" t="s">
        <v>4465</v>
      </c>
      <c r="B974" t="s">
        <v>4466</v>
      </c>
      <c r="C974">
        <v>2019</v>
      </c>
      <c r="D974">
        <v>8001</v>
      </c>
      <c r="E974">
        <v>3</v>
      </c>
      <c r="F974" t="s">
        <v>4467</v>
      </c>
      <c r="G974">
        <v>28053840</v>
      </c>
      <c r="J974">
        <v>48.91</v>
      </c>
      <c r="L974">
        <v>43299791</v>
      </c>
      <c r="M974" s="1">
        <v>43859</v>
      </c>
      <c r="N974" t="str">
        <f>"O200129AB1"</f>
        <v>O200129AB1</v>
      </c>
      <c r="O974" t="s">
        <v>28</v>
      </c>
      <c r="Q974" t="s">
        <v>29</v>
      </c>
      <c r="R974" t="s">
        <v>28</v>
      </c>
      <c r="S974" t="s">
        <v>4468</v>
      </c>
      <c r="T974" t="s">
        <v>4469</v>
      </c>
      <c r="W974" t="s">
        <v>75</v>
      </c>
      <c r="X974" t="s">
        <v>34</v>
      </c>
      <c r="Y974" t="str">
        <f>"770533719"</f>
        <v>770533719</v>
      </c>
    </row>
    <row r="975" spans="1:25" x14ac:dyDescent="0.25">
      <c r="A975" t="s">
        <v>4470</v>
      </c>
      <c r="B975" t="s">
        <v>4471</v>
      </c>
      <c r="C975">
        <v>2020</v>
      </c>
      <c r="D975">
        <v>8001</v>
      </c>
      <c r="E975">
        <v>1</v>
      </c>
      <c r="F975" t="s">
        <v>4472</v>
      </c>
      <c r="G975">
        <v>0</v>
      </c>
      <c r="J975">
        <v>28.8</v>
      </c>
      <c r="L975">
        <v>47055322</v>
      </c>
      <c r="M975" s="1">
        <v>44263</v>
      </c>
      <c r="N975" t="str">
        <f>"L210308"</f>
        <v>L210308</v>
      </c>
      <c r="O975" t="s">
        <v>28</v>
      </c>
      <c r="Q975" t="s">
        <v>29</v>
      </c>
      <c r="R975" t="s">
        <v>28</v>
      </c>
      <c r="S975" t="s">
        <v>4472</v>
      </c>
      <c r="T975" t="s">
        <v>4473</v>
      </c>
      <c r="U975" t="s">
        <v>60</v>
      </c>
      <c r="V975" t="s">
        <v>60</v>
      </c>
      <c r="W975" t="s">
        <v>135</v>
      </c>
      <c r="X975" t="s">
        <v>34</v>
      </c>
      <c r="Y975" t="str">
        <f>"770534514   "</f>
        <v xml:space="preserve">770534514   </v>
      </c>
    </row>
    <row r="976" spans="1:25" x14ac:dyDescent="0.25">
      <c r="A976" t="s">
        <v>4474</v>
      </c>
      <c r="B976" t="s">
        <v>4475</v>
      </c>
      <c r="C976">
        <v>2019</v>
      </c>
      <c r="D976">
        <v>8001</v>
      </c>
      <c r="E976">
        <v>1</v>
      </c>
      <c r="F976" t="s">
        <v>4476</v>
      </c>
      <c r="G976">
        <v>28305725</v>
      </c>
      <c r="J976">
        <v>41.71</v>
      </c>
      <c r="L976">
        <v>43875780</v>
      </c>
      <c r="M976" s="1">
        <v>43894</v>
      </c>
      <c r="N976" t="str">
        <f>"EK200304"</f>
        <v>EK200304</v>
      </c>
      <c r="O976" t="s">
        <v>28</v>
      </c>
      <c r="Q976" t="s">
        <v>29</v>
      </c>
      <c r="R976" t="s">
        <v>28</v>
      </c>
      <c r="S976" t="s">
        <v>4477</v>
      </c>
      <c r="T976" t="s">
        <v>4478</v>
      </c>
      <c r="W976" t="s">
        <v>563</v>
      </c>
      <c r="X976" t="s">
        <v>34</v>
      </c>
      <c r="Y976" t="str">
        <f>"75063"</f>
        <v>75063</v>
      </c>
    </row>
    <row r="977" spans="1:25" x14ac:dyDescent="0.25">
      <c r="A977" t="s">
        <v>4479</v>
      </c>
      <c r="B977" t="s">
        <v>4480</v>
      </c>
      <c r="C977">
        <v>2018</v>
      </c>
      <c r="D977">
        <v>8001</v>
      </c>
      <c r="E977">
        <v>1</v>
      </c>
      <c r="F977" t="s">
        <v>4481</v>
      </c>
      <c r="G977">
        <v>0</v>
      </c>
      <c r="J977">
        <v>7.9</v>
      </c>
      <c r="L977">
        <v>40873712</v>
      </c>
      <c r="M977" s="1">
        <v>43528</v>
      </c>
      <c r="N977" t="str">
        <f>"O190304BE5"</f>
        <v>O190304BE5</v>
      </c>
      <c r="O977" t="s">
        <v>28</v>
      </c>
      <c r="Q977" t="s">
        <v>29</v>
      </c>
      <c r="R977" t="s">
        <v>28</v>
      </c>
      <c r="S977" t="s">
        <v>4481</v>
      </c>
      <c r="T977" t="s">
        <v>4482</v>
      </c>
      <c r="U977" t="s">
        <v>60</v>
      </c>
      <c r="V977" t="s">
        <v>60</v>
      </c>
      <c r="W977" t="s">
        <v>135</v>
      </c>
      <c r="X977" t="s">
        <v>34</v>
      </c>
      <c r="Y977" t="str">
        <f>"770534538   "</f>
        <v xml:space="preserve">770534538   </v>
      </c>
    </row>
    <row r="978" spans="1:25" x14ac:dyDescent="0.25">
      <c r="A978" t="s">
        <v>4483</v>
      </c>
      <c r="B978" t="s">
        <v>4484</v>
      </c>
      <c r="C978">
        <v>2019</v>
      </c>
      <c r="D978">
        <v>8001</v>
      </c>
      <c r="E978">
        <v>2</v>
      </c>
      <c r="F978" t="s">
        <v>4485</v>
      </c>
      <c r="G978">
        <v>25560244</v>
      </c>
      <c r="J978">
        <v>41.93</v>
      </c>
      <c r="L978">
        <v>44130344</v>
      </c>
      <c r="M978" s="1">
        <v>43956</v>
      </c>
      <c r="N978" t="str">
        <f>"J200505AW2"</f>
        <v>J200505AW2</v>
      </c>
      <c r="O978" t="s">
        <v>28</v>
      </c>
      <c r="Q978" t="s">
        <v>29</v>
      </c>
      <c r="R978" t="s">
        <v>28</v>
      </c>
      <c r="S978" t="s">
        <v>2042</v>
      </c>
      <c r="T978" t="s">
        <v>3682</v>
      </c>
      <c r="U978" t="s">
        <v>3683</v>
      </c>
      <c r="V978" t="s">
        <v>562</v>
      </c>
      <c r="W978" t="s">
        <v>563</v>
      </c>
      <c r="X978" t="s">
        <v>34</v>
      </c>
      <c r="Y978" t="str">
        <f>"750630156"</f>
        <v>750630156</v>
      </c>
    </row>
    <row r="979" spans="1:25" x14ac:dyDescent="0.25">
      <c r="A979" t="s">
        <v>4486</v>
      </c>
      <c r="B979" t="s">
        <v>4487</v>
      </c>
      <c r="C979">
        <v>2020</v>
      </c>
      <c r="D979">
        <v>8001</v>
      </c>
      <c r="E979">
        <v>1</v>
      </c>
      <c r="F979" t="s">
        <v>4488</v>
      </c>
      <c r="G979">
        <v>28569681</v>
      </c>
      <c r="J979">
        <v>37.65</v>
      </c>
      <c r="L979">
        <v>47595704</v>
      </c>
      <c r="M979" s="1">
        <v>44386</v>
      </c>
      <c r="N979" t="str">
        <f>"O210709AB1"</f>
        <v>O210709AB1</v>
      </c>
      <c r="O979" t="s">
        <v>28</v>
      </c>
      <c r="Q979" t="s">
        <v>29</v>
      </c>
      <c r="R979" t="s">
        <v>28</v>
      </c>
      <c r="S979" t="s">
        <v>4489</v>
      </c>
      <c r="T979" t="s">
        <v>1613</v>
      </c>
      <c r="U979" t="s">
        <v>1795</v>
      </c>
      <c r="W979" t="s">
        <v>1615</v>
      </c>
      <c r="X979" t="s">
        <v>143</v>
      </c>
      <c r="Y979" t="str">
        <f>"191156320"</f>
        <v>191156320</v>
      </c>
    </row>
    <row r="980" spans="1:25" x14ac:dyDescent="0.25">
      <c r="A980" t="s">
        <v>4490</v>
      </c>
      <c r="B980" t="s">
        <v>4491</v>
      </c>
      <c r="C980">
        <v>2019</v>
      </c>
      <c r="D980">
        <v>8001</v>
      </c>
      <c r="E980">
        <v>2</v>
      </c>
      <c r="F980" t="s">
        <v>4492</v>
      </c>
      <c r="G980">
        <v>0</v>
      </c>
      <c r="J980">
        <v>19.829999999999998</v>
      </c>
      <c r="L980">
        <v>44147741</v>
      </c>
      <c r="M980" s="1">
        <v>43959</v>
      </c>
      <c r="N980" t="str">
        <f>"J200508AW6"</f>
        <v>J200508AW6</v>
      </c>
      <c r="O980" t="s">
        <v>28</v>
      </c>
      <c r="Q980" t="s">
        <v>29</v>
      </c>
      <c r="R980" t="s">
        <v>28</v>
      </c>
      <c r="S980" t="s">
        <v>4492</v>
      </c>
      <c r="T980" t="s">
        <v>4493</v>
      </c>
      <c r="U980" t="s">
        <v>60</v>
      </c>
      <c r="V980" t="s">
        <v>60</v>
      </c>
      <c r="W980" t="s">
        <v>135</v>
      </c>
      <c r="X980" t="s">
        <v>34</v>
      </c>
      <c r="Y980" t="str">
        <f>"770534433   "</f>
        <v xml:space="preserve">770534433   </v>
      </c>
    </row>
    <row r="981" spans="1:25" x14ac:dyDescent="0.25">
      <c r="A981" t="s">
        <v>4494</v>
      </c>
      <c r="B981" t="s">
        <v>4495</v>
      </c>
      <c r="C981">
        <v>2020</v>
      </c>
      <c r="D981">
        <v>8001</v>
      </c>
      <c r="E981">
        <v>1</v>
      </c>
      <c r="F981" t="s">
        <v>4496</v>
      </c>
      <c r="G981">
        <v>29461912</v>
      </c>
      <c r="J981">
        <v>117.75</v>
      </c>
      <c r="L981">
        <v>46728912</v>
      </c>
      <c r="M981" s="1">
        <v>44230</v>
      </c>
      <c r="N981" t="str">
        <f>"EK210203"</f>
        <v>EK210203</v>
      </c>
      <c r="O981" t="s">
        <v>28</v>
      </c>
      <c r="Q981" t="s">
        <v>29</v>
      </c>
      <c r="R981" t="s">
        <v>28</v>
      </c>
      <c r="S981" t="s">
        <v>4497</v>
      </c>
      <c r="T981" t="s">
        <v>4498</v>
      </c>
      <c r="W981" t="s">
        <v>75</v>
      </c>
      <c r="X981" t="s">
        <v>34</v>
      </c>
      <c r="Y981" t="str">
        <f>"77053"</f>
        <v>77053</v>
      </c>
    </row>
    <row r="982" spans="1:25" x14ac:dyDescent="0.25">
      <c r="A982" t="s">
        <v>4499</v>
      </c>
      <c r="B982" t="s">
        <v>4500</v>
      </c>
      <c r="C982">
        <v>2018</v>
      </c>
      <c r="D982">
        <v>8001</v>
      </c>
      <c r="E982">
        <v>1</v>
      </c>
      <c r="F982" t="s">
        <v>4501</v>
      </c>
      <c r="G982">
        <v>957732</v>
      </c>
      <c r="J982">
        <v>42.03</v>
      </c>
      <c r="L982">
        <v>41082670</v>
      </c>
      <c r="M982" s="1">
        <v>43563</v>
      </c>
      <c r="N982" t="str">
        <f>"J190408AW1"</f>
        <v>J190408AW1</v>
      </c>
      <c r="O982" t="s">
        <v>28</v>
      </c>
      <c r="Q982" t="s">
        <v>29</v>
      </c>
      <c r="R982" t="s">
        <v>28</v>
      </c>
      <c r="S982" t="s">
        <v>4502</v>
      </c>
      <c r="T982" t="s">
        <v>4503</v>
      </c>
      <c r="W982" t="s">
        <v>75</v>
      </c>
      <c r="X982" t="s">
        <v>34</v>
      </c>
      <c r="Y982" t="str">
        <f>"77027-9303"</f>
        <v>77027-9303</v>
      </c>
    </row>
    <row r="983" spans="1:25" x14ac:dyDescent="0.25">
      <c r="A983" t="s">
        <v>4504</v>
      </c>
      <c r="B983" t="s">
        <v>4505</v>
      </c>
      <c r="C983">
        <v>2020</v>
      </c>
      <c r="D983">
        <v>8001</v>
      </c>
      <c r="E983">
        <v>1</v>
      </c>
      <c r="F983" t="s">
        <v>4506</v>
      </c>
      <c r="G983">
        <v>29489552</v>
      </c>
      <c r="J983">
        <v>70.61</v>
      </c>
      <c r="L983">
        <v>46782251</v>
      </c>
      <c r="M983" s="1">
        <v>44231</v>
      </c>
      <c r="N983" t="str">
        <f>"CC210204"</f>
        <v>CC210204</v>
      </c>
      <c r="O983" t="s">
        <v>28</v>
      </c>
      <c r="Q983" t="s">
        <v>29</v>
      </c>
      <c r="R983" t="s">
        <v>28</v>
      </c>
      <c r="S983" t="s">
        <v>4507</v>
      </c>
      <c r="T983" t="s">
        <v>4508</v>
      </c>
      <c r="W983" t="s">
        <v>75</v>
      </c>
      <c r="X983" t="s">
        <v>34</v>
      </c>
      <c r="Y983" t="str">
        <f>"77053"</f>
        <v>77053</v>
      </c>
    </row>
    <row r="984" spans="1:25" x14ac:dyDescent="0.25">
      <c r="A984" t="s">
        <v>4509</v>
      </c>
      <c r="B984" t="s">
        <v>4510</v>
      </c>
      <c r="C984">
        <v>2020</v>
      </c>
      <c r="D984">
        <v>8001</v>
      </c>
      <c r="E984">
        <v>1</v>
      </c>
      <c r="F984" t="s">
        <v>4511</v>
      </c>
      <c r="G984">
        <v>0</v>
      </c>
      <c r="J984">
        <v>99.05</v>
      </c>
      <c r="L984">
        <v>46861505</v>
      </c>
      <c r="M984" s="1">
        <v>44235</v>
      </c>
      <c r="N984" t="str">
        <f>"L210208"</f>
        <v>L210208</v>
      </c>
      <c r="O984" t="s">
        <v>28</v>
      </c>
      <c r="Q984" t="s">
        <v>29</v>
      </c>
      <c r="R984" t="s">
        <v>28</v>
      </c>
      <c r="S984" t="s">
        <v>4511</v>
      </c>
      <c r="T984" t="s">
        <v>4512</v>
      </c>
      <c r="U984">
        <v>335</v>
      </c>
      <c r="V984" t="s">
        <v>60</v>
      </c>
      <c r="W984" t="s">
        <v>4513</v>
      </c>
      <c r="X984" t="s">
        <v>34</v>
      </c>
      <c r="Y984" t="str">
        <f>"773463127   "</f>
        <v xml:space="preserve">773463127   </v>
      </c>
    </row>
    <row r="985" spans="1:25" x14ac:dyDescent="0.25">
      <c r="A985" t="s">
        <v>4514</v>
      </c>
      <c r="B985" t="s">
        <v>4515</v>
      </c>
      <c r="C985">
        <v>2020</v>
      </c>
      <c r="D985">
        <v>8001</v>
      </c>
      <c r="E985">
        <v>2</v>
      </c>
      <c r="F985" t="s">
        <v>4516</v>
      </c>
      <c r="G985">
        <v>0</v>
      </c>
      <c r="J985">
        <v>17.89</v>
      </c>
      <c r="L985">
        <v>47709593</v>
      </c>
      <c r="M985" s="1">
        <v>44428</v>
      </c>
      <c r="N985" t="str">
        <f>"R210820AZ1"</f>
        <v>R210820AZ1</v>
      </c>
      <c r="O985" t="s">
        <v>28</v>
      </c>
      <c r="Q985" t="s">
        <v>29</v>
      </c>
      <c r="R985" t="s">
        <v>28</v>
      </c>
      <c r="S985" t="s">
        <v>4516</v>
      </c>
      <c r="T985" t="s">
        <v>4517</v>
      </c>
      <c r="U985" t="s">
        <v>60</v>
      </c>
      <c r="V985" t="s">
        <v>60</v>
      </c>
      <c r="W985" t="s">
        <v>135</v>
      </c>
      <c r="X985" t="s">
        <v>34</v>
      </c>
      <c r="Y985" t="str">
        <f>"770533701   "</f>
        <v xml:space="preserve">770533701   </v>
      </c>
    </row>
    <row r="986" spans="1:25" x14ac:dyDescent="0.25">
      <c r="A986" t="s">
        <v>4518</v>
      </c>
      <c r="B986" t="s">
        <v>4519</v>
      </c>
      <c r="C986">
        <v>2020</v>
      </c>
      <c r="D986">
        <v>8001</v>
      </c>
      <c r="E986">
        <v>1</v>
      </c>
      <c r="F986" t="s">
        <v>4520</v>
      </c>
      <c r="G986">
        <v>0</v>
      </c>
      <c r="J986">
        <v>9.16</v>
      </c>
      <c r="L986">
        <v>47764227</v>
      </c>
      <c r="M986" s="1">
        <v>44467</v>
      </c>
      <c r="N986" t="str">
        <f>"J210928BW1"</f>
        <v>J210928BW1</v>
      </c>
      <c r="O986" t="s">
        <v>28</v>
      </c>
      <c r="Q986" t="s">
        <v>29</v>
      </c>
      <c r="R986" t="s">
        <v>28</v>
      </c>
      <c r="S986" t="s">
        <v>4520</v>
      </c>
      <c r="T986" t="s">
        <v>4521</v>
      </c>
      <c r="U986" t="s">
        <v>60</v>
      </c>
      <c r="V986" t="s">
        <v>60</v>
      </c>
      <c r="W986" t="s">
        <v>135</v>
      </c>
      <c r="X986" t="s">
        <v>34</v>
      </c>
      <c r="Y986" t="str">
        <f>"770534607   "</f>
        <v xml:space="preserve">770534607   </v>
      </c>
    </row>
    <row r="987" spans="1:25" x14ac:dyDescent="0.25">
      <c r="A987" t="s">
        <v>4522</v>
      </c>
      <c r="B987" t="s">
        <v>4523</v>
      </c>
      <c r="C987">
        <v>2019</v>
      </c>
      <c r="D987">
        <v>8001</v>
      </c>
      <c r="E987">
        <v>1</v>
      </c>
      <c r="F987" t="s">
        <v>4524</v>
      </c>
      <c r="G987">
        <v>28298288</v>
      </c>
      <c r="J987">
        <v>19.79</v>
      </c>
      <c r="L987">
        <v>43864404</v>
      </c>
      <c r="M987" s="1">
        <v>43893</v>
      </c>
      <c r="N987" t="str">
        <f>"EK400303"</f>
        <v>EK400303</v>
      </c>
      <c r="O987" t="s">
        <v>28</v>
      </c>
      <c r="Q987" t="s">
        <v>29</v>
      </c>
      <c r="R987" t="s">
        <v>28</v>
      </c>
      <c r="S987" t="s">
        <v>4525</v>
      </c>
      <c r="T987" t="s">
        <v>4526</v>
      </c>
      <c r="W987" t="s">
        <v>81</v>
      </c>
      <c r="X987" t="s">
        <v>34</v>
      </c>
      <c r="Y987" t="str">
        <f>"77469"</f>
        <v>77469</v>
      </c>
    </row>
    <row r="988" spans="1:25" x14ac:dyDescent="0.25">
      <c r="A988" t="s">
        <v>4527</v>
      </c>
      <c r="B988" t="s">
        <v>4528</v>
      </c>
      <c r="C988">
        <v>2021</v>
      </c>
      <c r="D988">
        <v>8001</v>
      </c>
      <c r="E988">
        <v>1</v>
      </c>
      <c r="F988" t="s">
        <v>4529</v>
      </c>
      <c r="G988">
        <v>29977618</v>
      </c>
      <c r="J988">
        <v>6.57</v>
      </c>
      <c r="L988">
        <v>47713660</v>
      </c>
      <c r="M988" s="1">
        <v>44516</v>
      </c>
      <c r="N988" t="str">
        <f>"TE211116"</f>
        <v>TE211116</v>
      </c>
      <c r="O988" t="s">
        <v>28</v>
      </c>
      <c r="Q988" t="s">
        <v>29</v>
      </c>
      <c r="R988" t="s">
        <v>28</v>
      </c>
      <c r="S988" t="s">
        <v>4530</v>
      </c>
      <c r="T988" t="s">
        <v>4531</v>
      </c>
      <c r="U988" t="s">
        <v>4532</v>
      </c>
      <c r="W988" t="s">
        <v>1160</v>
      </c>
      <c r="X988" t="s">
        <v>34</v>
      </c>
      <c r="Y988" t="str">
        <f>"775458088"</f>
        <v>775458088</v>
      </c>
    </row>
    <row r="989" spans="1:25" x14ac:dyDescent="0.25">
      <c r="A989" t="s">
        <v>4533</v>
      </c>
      <c r="B989" t="s">
        <v>4534</v>
      </c>
      <c r="C989">
        <v>2020</v>
      </c>
      <c r="D989">
        <v>8001</v>
      </c>
      <c r="E989">
        <v>1</v>
      </c>
      <c r="F989" t="s">
        <v>4535</v>
      </c>
      <c r="G989">
        <v>24145057</v>
      </c>
      <c r="J989">
        <v>16.22</v>
      </c>
      <c r="L989">
        <v>44176730</v>
      </c>
      <c r="M989" s="1">
        <v>44147</v>
      </c>
      <c r="N989" t="str">
        <f>"TE201112"</f>
        <v>TE201112</v>
      </c>
      <c r="O989" t="s">
        <v>28</v>
      </c>
      <c r="Q989" t="s">
        <v>29</v>
      </c>
      <c r="R989" t="s">
        <v>28</v>
      </c>
      <c r="S989" t="s">
        <v>4536</v>
      </c>
      <c r="T989" t="s">
        <v>4537</v>
      </c>
      <c r="W989" t="s">
        <v>1160</v>
      </c>
      <c r="X989" t="s">
        <v>34</v>
      </c>
      <c r="Y989" t="str">
        <f>"775457898"</f>
        <v>775457898</v>
      </c>
    </row>
    <row r="990" spans="1:25" x14ac:dyDescent="0.25">
      <c r="A990" t="s">
        <v>4538</v>
      </c>
      <c r="B990" t="s">
        <v>4539</v>
      </c>
      <c r="C990">
        <v>2020</v>
      </c>
      <c r="D990">
        <v>8001</v>
      </c>
      <c r="E990">
        <v>1</v>
      </c>
      <c r="F990" t="s">
        <v>4540</v>
      </c>
      <c r="G990">
        <v>28622536</v>
      </c>
      <c r="J990">
        <v>7.02</v>
      </c>
      <c r="L990">
        <v>44485291</v>
      </c>
      <c r="M990" s="1">
        <v>44147</v>
      </c>
      <c r="N990" t="str">
        <f>"TE201112"</f>
        <v>TE201112</v>
      </c>
      <c r="O990" t="s">
        <v>28</v>
      </c>
      <c r="Q990" t="s">
        <v>29</v>
      </c>
      <c r="R990" t="s">
        <v>28</v>
      </c>
      <c r="S990" t="s">
        <v>4541</v>
      </c>
      <c r="T990" t="s">
        <v>4542</v>
      </c>
      <c r="W990" t="s">
        <v>4543</v>
      </c>
      <c r="X990" t="s">
        <v>34</v>
      </c>
      <c r="Y990" t="str">
        <f>"775714532"</f>
        <v>775714532</v>
      </c>
    </row>
    <row r="991" spans="1:25" x14ac:dyDescent="0.25">
      <c r="A991" t="s">
        <v>4544</v>
      </c>
      <c r="B991" t="s">
        <v>4545</v>
      </c>
      <c r="C991">
        <v>2019</v>
      </c>
      <c r="D991">
        <v>8001</v>
      </c>
      <c r="E991">
        <v>2</v>
      </c>
      <c r="F991" t="s">
        <v>4546</v>
      </c>
      <c r="G991">
        <v>28305480</v>
      </c>
      <c r="J991">
        <v>34.04</v>
      </c>
      <c r="L991">
        <v>43875232</v>
      </c>
      <c r="M991" s="1">
        <v>43894</v>
      </c>
      <c r="N991" t="str">
        <f>"CC400304"</f>
        <v>CC400304</v>
      </c>
      <c r="O991" t="s">
        <v>28</v>
      </c>
      <c r="Q991" t="s">
        <v>29</v>
      </c>
      <c r="R991" t="s">
        <v>28</v>
      </c>
      <c r="S991" t="s">
        <v>4547</v>
      </c>
      <c r="T991" t="s">
        <v>4548</v>
      </c>
      <c r="W991" t="s">
        <v>1160</v>
      </c>
      <c r="X991" t="s">
        <v>34</v>
      </c>
      <c r="Y991" t="str">
        <f>"77545"</f>
        <v>77545</v>
      </c>
    </row>
    <row r="992" spans="1:25" x14ac:dyDescent="0.25">
      <c r="A992" t="s">
        <v>4549</v>
      </c>
      <c r="B992" t="s">
        <v>4550</v>
      </c>
      <c r="C992">
        <v>2019</v>
      </c>
      <c r="D992">
        <v>8001</v>
      </c>
      <c r="E992">
        <v>2</v>
      </c>
      <c r="F992" t="s">
        <v>4551</v>
      </c>
      <c r="G992">
        <v>28319721</v>
      </c>
      <c r="J992">
        <v>11.31</v>
      </c>
      <c r="L992">
        <v>43915445</v>
      </c>
      <c r="M992" s="1">
        <v>43900</v>
      </c>
      <c r="N992" t="str">
        <f>"J200310AW6"</f>
        <v>J200310AW6</v>
      </c>
      <c r="O992" t="s">
        <v>28</v>
      </c>
      <c r="Q992" t="s">
        <v>29</v>
      </c>
      <c r="R992" t="s">
        <v>28</v>
      </c>
      <c r="S992" t="s">
        <v>4552</v>
      </c>
      <c r="T992" t="s">
        <v>4553</v>
      </c>
      <c r="U992" t="s">
        <v>4554</v>
      </c>
      <c r="W992" t="s">
        <v>75</v>
      </c>
      <c r="X992" t="s">
        <v>34</v>
      </c>
      <c r="Y992" t="str">
        <f>"77025"</f>
        <v>77025</v>
      </c>
    </row>
    <row r="993" spans="1:25" x14ac:dyDescent="0.25">
      <c r="A993" t="s">
        <v>4555</v>
      </c>
      <c r="B993" t="s">
        <v>4556</v>
      </c>
      <c r="C993">
        <v>2020</v>
      </c>
      <c r="D993">
        <v>8001</v>
      </c>
      <c r="E993">
        <v>1</v>
      </c>
      <c r="F993" t="s">
        <v>4557</v>
      </c>
      <c r="G993">
        <v>27200422</v>
      </c>
      <c r="J993">
        <v>237.04</v>
      </c>
      <c r="L993">
        <v>44845487</v>
      </c>
      <c r="M993" s="1">
        <v>44147</v>
      </c>
      <c r="N993" t="str">
        <f>"RPS201112U1"</f>
        <v>RPS201112U1</v>
      </c>
      <c r="O993" t="s">
        <v>28</v>
      </c>
      <c r="Q993" t="s">
        <v>29</v>
      </c>
      <c r="R993" t="s">
        <v>28</v>
      </c>
      <c r="S993" t="s">
        <v>4558</v>
      </c>
      <c r="T993" t="s">
        <v>4559</v>
      </c>
      <c r="W993" t="s">
        <v>4560</v>
      </c>
      <c r="Y993" t="str">
        <f>"11620"</f>
        <v>11620</v>
      </c>
    </row>
    <row r="994" spans="1:25" x14ac:dyDescent="0.25">
      <c r="A994" t="s">
        <v>4561</v>
      </c>
      <c r="B994" t="s">
        <v>4562</v>
      </c>
      <c r="C994">
        <v>2018</v>
      </c>
      <c r="D994">
        <v>8001</v>
      </c>
      <c r="E994">
        <v>1</v>
      </c>
      <c r="F994" t="s">
        <v>4563</v>
      </c>
      <c r="G994">
        <v>27330253</v>
      </c>
      <c r="J994">
        <v>11.54</v>
      </c>
      <c r="L994">
        <v>41067059</v>
      </c>
      <c r="M994" s="1">
        <v>43558</v>
      </c>
      <c r="N994" t="str">
        <f>"J190403AW1"</f>
        <v>J190403AW1</v>
      </c>
      <c r="O994" t="s">
        <v>28</v>
      </c>
      <c r="Q994" t="s">
        <v>29</v>
      </c>
      <c r="R994" t="s">
        <v>28</v>
      </c>
      <c r="S994" t="s">
        <v>4564</v>
      </c>
      <c r="T994" t="s">
        <v>4565</v>
      </c>
      <c r="W994" t="s">
        <v>75</v>
      </c>
      <c r="X994" t="s">
        <v>34</v>
      </c>
      <c r="Y994" t="str">
        <f>"770835310"</f>
        <v>770835310</v>
      </c>
    </row>
    <row r="995" spans="1:25" x14ac:dyDescent="0.25">
      <c r="A995" t="s">
        <v>4566</v>
      </c>
      <c r="B995" t="s">
        <v>4567</v>
      </c>
      <c r="C995">
        <v>2018</v>
      </c>
      <c r="D995">
        <v>8001</v>
      </c>
      <c r="E995">
        <v>2</v>
      </c>
      <c r="F995" t="s">
        <v>4568</v>
      </c>
      <c r="G995">
        <v>27408983</v>
      </c>
      <c r="J995">
        <v>19</v>
      </c>
      <c r="L995">
        <v>41238180</v>
      </c>
      <c r="M995" s="1">
        <v>43613</v>
      </c>
      <c r="N995" t="str">
        <f>"EK190528"</f>
        <v>EK190528</v>
      </c>
      <c r="O995" t="s">
        <v>28</v>
      </c>
      <c r="Q995" t="s">
        <v>29</v>
      </c>
      <c r="R995" t="s">
        <v>28</v>
      </c>
      <c r="S995" t="s">
        <v>4569</v>
      </c>
      <c r="T995" t="s">
        <v>4570</v>
      </c>
      <c r="W995" t="s">
        <v>1160</v>
      </c>
      <c r="X995" t="s">
        <v>34</v>
      </c>
      <c r="Y995" t="str">
        <f>"77545"</f>
        <v>77545</v>
      </c>
    </row>
    <row r="996" spans="1:25" x14ac:dyDescent="0.25">
      <c r="A996" t="s">
        <v>4571</v>
      </c>
      <c r="B996" t="s">
        <v>4572</v>
      </c>
      <c r="C996">
        <v>2019</v>
      </c>
      <c r="D996">
        <v>8001</v>
      </c>
      <c r="E996">
        <v>1</v>
      </c>
      <c r="F996" t="s">
        <v>4573</v>
      </c>
      <c r="G996">
        <v>28305482</v>
      </c>
      <c r="J996">
        <v>13.41</v>
      </c>
      <c r="L996">
        <v>43875234</v>
      </c>
      <c r="M996" s="1">
        <v>43894</v>
      </c>
      <c r="N996" t="str">
        <f>"CC400304"</f>
        <v>CC400304</v>
      </c>
      <c r="O996" t="s">
        <v>28</v>
      </c>
      <c r="Q996" t="s">
        <v>29</v>
      </c>
      <c r="R996" t="s">
        <v>28</v>
      </c>
      <c r="S996" t="s">
        <v>4574</v>
      </c>
      <c r="T996" t="s">
        <v>4575</v>
      </c>
      <c r="W996" t="s">
        <v>1160</v>
      </c>
      <c r="X996" t="s">
        <v>34</v>
      </c>
      <c r="Y996" t="str">
        <f>"77545"</f>
        <v>77545</v>
      </c>
    </row>
    <row r="997" spans="1:25" x14ac:dyDescent="0.25">
      <c r="A997" t="s">
        <v>4576</v>
      </c>
      <c r="B997" t="s">
        <v>4577</v>
      </c>
      <c r="C997">
        <v>2019</v>
      </c>
      <c r="D997">
        <v>8001</v>
      </c>
      <c r="E997">
        <v>1</v>
      </c>
      <c r="F997" t="s">
        <v>4578</v>
      </c>
      <c r="G997">
        <v>28305483</v>
      </c>
      <c r="J997">
        <v>10.64</v>
      </c>
      <c r="L997">
        <v>43875235</v>
      </c>
      <c r="M997" s="1">
        <v>43894</v>
      </c>
      <c r="N997" t="str">
        <f>"CC400304"</f>
        <v>CC400304</v>
      </c>
      <c r="O997" t="s">
        <v>28</v>
      </c>
      <c r="Q997" t="s">
        <v>29</v>
      </c>
      <c r="R997" t="s">
        <v>28</v>
      </c>
      <c r="S997" t="s">
        <v>4574</v>
      </c>
      <c r="T997" t="s">
        <v>4575</v>
      </c>
      <c r="W997" t="s">
        <v>1160</v>
      </c>
      <c r="X997" t="s">
        <v>34</v>
      </c>
      <c r="Y997" t="str">
        <f>"77545"</f>
        <v>77545</v>
      </c>
    </row>
    <row r="998" spans="1:25" x14ac:dyDescent="0.25">
      <c r="A998" t="s">
        <v>4579</v>
      </c>
      <c r="B998" t="s">
        <v>4580</v>
      </c>
      <c r="C998">
        <v>2018</v>
      </c>
      <c r="D998">
        <v>8001</v>
      </c>
      <c r="E998">
        <v>3</v>
      </c>
      <c r="F998" t="s">
        <v>4581</v>
      </c>
      <c r="G998">
        <v>1743433</v>
      </c>
      <c r="J998">
        <v>5.22</v>
      </c>
      <c r="L998">
        <v>41040411</v>
      </c>
      <c r="M998" s="1">
        <v>43556</v>
      </c>
      <c r="N998" t="str">
        <f>"O190401BH8"</f>
        <v>O190401BH8</v>
      </c>
      <c r="O998" t="s">
        <v>28</v>
      </c>
      <c r="Q998" t="s">
        <v>29</v>
      </c>
      <c r="R998" t="s">
        <v>28</v>
      </c>
      <c r="S998" t="s">
        <v>4582</v>
      </c>
      <c r="T998" t="s">
        <v>4583</v>
      </c>
      <c r="W998" t="s">
        <v>618</v>
      </c>
      <c r="X998" t="s">
        <v>34</v>
      </c>
      <c r="Y998" t="str">
        <f>"774617342"</f>
        <v>774617342</v>
      </c>
    </row>
    <row r="999" spans="1:25" x14ac:dyDescent="0.25">
      <c r="A999" t="s">
        <v>4584</v>
      </c>
      <c r="B999" t="s">
        <v>4585</v>
      </c>
      <c r="C999">
        <v>2020</v>
      </c>
      <c r="D999">
        <v>8001</v>
      </c>
      <c r="E999">
        <v>1</v>
      </c>
      <c r="F999" t="s">
        <v>1473</v>
      </c>
      <c r="G999">
        <v>0</v>
      </c>
      <c r="J999">
        <v>470.41</v>
      </c>
      <c r="L999">
        <v>45471827</v>
      </c>
      <c r="M999" s="1">
        <v>44193</v>
      </c>
      <c r="N999" t="str">
        <f>"J201228BW6"</f>
        <v>J201228BW6</v>
      </c>
      <c r="O999" t="s">
        <v>28</v>
      </c>
      <c r="Q999" t="s">
        <v>29</v>
      </c>
      <c r="R999" t="s">
        <v>28</v>
      </c>
      <c r="S999" t="s">
        <v>4586</v>
      </c>
      <c r="T999" t="s">
        <v>4587</v>
      </c>
      <c r="U999" t="s">
        <v>60</v>
      </c>
      <c r="V999" t="s">
        <v>60</v>
      </c>
      <c r="W999" t="s">
        <v>219</v>
      </c>
      <c r="X999" t="s">
        <v>34</v>
      </c>
      <c r="Y999" t="str">
        <f>"774785334   "</f>
        <v xml:space="preserve">774785334   </v>
      </c>
    </row>
    <row r="1000" spans="1:25" x14ac:dyDescent="0.25">
      <c r="A1000" t="s">
        <v>4588</v>
      </c>
      <c r="B1000" t="s">
        <v>4589</v>
      </c>
      <c r="C1000">
        <v>2020</v>
      </c>
      <c r="D1000">
        <v>8001</v>
      </c>
      <c r="E1000">
        <v>3</v>
      </c>
      <c r="F1000" t="s">
        <v>4590</v>
      </c>
      <c r="G1000">
        <v>951963</v>
      </c>
      <c r="J1000">
        <v>306.7</v>
      </c>
      <c r="L1000">
        <v>47261628</v>
      </c>
      <c r="M1000" s="1">
        <v>44293</v>
      </c>
      <c r="N1000" t="str">
        <f>"RC210414"</f>
        <v>RC210414</v>
      </c>
      <c r="O1000" t="s">
        <v>28</v>
      </c>
      <c r="Q1000" t="s">
        <v>29</v>
      </c>
      <c r="R1000" t="s">
        <v>28</v>
      </c>
      <c r="S1000" t="s">
        <v>4591</v>
      </c>
      <c r="T1000" t="s">
        <v>4592</v>
      </c>
      <c r="W1000" t="s">
        <v>40</v>
      </c>
      <c r="X1000" t="s">
        <v>34</v>
      </c>
      <c r="Y1000" t="str">
        <f>"77478"</f>
        <v>77478</v>
      </c>
    </row>
    <row r="1001" spans="1:25" x14ac:dyDescent="0.25">
      <c r="A1001" t="s">
        <v>4593</v>
      </c>
      <c r="B1001" t="s">
        <v>4594</v>
      </c>
      <c r="C1001">
        <v>2021</v>
      </c>
      <c r="D1001">
        <v>8001</v>
      </c>
      <c r="E1001">
        <v>1</v>
      </c>
      <c r="F1001" t="s">
        <v>4595</v>
      </c>
      <c r="G1001">
        <v>31034757</v>
      </c>
      <c r="J1001">
        <v>647.41999999999996</v>
      </c>
      <c r="L1001">
        <v>49398454</v>
      </c>
      <c r="M1001" s="1">
        <v>44582</v>
      </c>
      <c r="N1001" t="str">
        <f>"RC220221"</f>
        <v>RC220221</v>
      </c>
      <c r="O1001" t="s">
        <v>28</v>
      </c>
      <c r="Q1001" t="s">
        <v>29</v>
      </c>
      <c r="R1001" t="s">
        <v>28</v>
      </c>
      <c r="S1001" t="s">
        <v>4596</v>
      </c>
      <c r="T1001" t="s">
        <v>4597</v>
      </c>
      <c r="W1001" t="s">
        <v>4598</v>
      </c>
      <c r="X1001" t="s">
        <v>34</v>
      </c>
      <c r="Y1001" t="str">
        <f>"774012609"</f>
        <v>774012609</v>
      </c>
    </row>
    <row r="1002" spans="1:25" x14ac:dyDescent="0.25">
      <c r="A1002" t="s">
        <v>4599</v>
      </c>
      <c r="B1002" t="s">
        <v>4600</v>
      </c>
      <c r="C1002">
        <v>2019</v>
      </c>
      <c r="D1002">
        <v>8001</v>
      </c>
      <c r="E1002">
        <v>3</v>
      </c>
      <c r="F1002" t="s">
        <v>4601</v>
      </c>
      <c r="G1002">
        <v>0</v>
      </c>
      <c r="J1002">
        <v>469.1</v>
      </c>
      <c r="L1002">
        <v>44463696</v>
      </c>
      <c r="M1002" s="1">
        <v>44047</v>
      </c>
      <c r="N1002" t="str">
        <f>"J200804K1"</f>
        <v>J200804K1</v>
      </c>
      <c r="O1002" t="s">
        <v>28</v>
      </c>
      <c r="Q1002" t="s">
        <v>29</v>
      </c>
      <c r="R1002" t="s">
        <v>28</v>
      </c>
      <c r="S1002" t="s">
        <v>4601</v>
      </c>
      <c r="T1002" t="s">
        <v>4602</v>
      </c>
      <c r="U1002" t="s">
        <v>60</v>
      </c>
      <c r="V1002" t="s">
        <v>60</v>
      </c>
      <c r="W1002" t="s">
        <v>219</v>
      </c>
      <c r="X1002" t="s">
        <v>34</v>
      </c>
      <c r="Y1002" t="str">
        <f>"774791265   "</f>
        <v xml:space="preserve">774791265   </v>
      </c>
    </row>
    <row r="1003" spans="1:25" x14ac:dyDescent="0.25">
      <c r="A1003" t="s">
        <v>4603</v>
      </c>
      <c r="B1003" t="s">
        <v>4604</v>
      </c>
      <c r="C1003">
        <v>2020</v>
      </c>
      <c r="D1003">
        <v>8001</v>
      </c>
      <c r="E1003">
        <v>1</v>
      </c>
      <c r="F1003" t="s">
        <v>4605</v>
      </c>
      <c r="G1003">
        <v>0</v>
      </c>
      <c r="J1003">
        <v>208</v>
      </c>
      <c r="L1003">
        <v>45701043</v>
      </c>
      <c r="M1003" s="1">
        <v>44201</v>
      </c>
      <c r="N1003" t="str">
        <f>"EL210105"</f>
        <v>EL210105</v>
      </c>
      <c r="O1003" t="s">
        <v>28</v>
      </c>
      <c r="Q1003" t="s">
        <v>29</v>
      </c>
      <c r="R1003" t="s">
        <v>28</v>
      </c>
      <c r="S1003" t="s">
        <v>4605</v>
      </c>
      <c r="T1003" t="s">
        <v>4606</v>
      </c>
      <c r="U1003" t="s">
        <v>60</v>
      </c>
      <c r="V1003" t="s">
        <v>60</v>
      </c>
      <c r="W1003" t="s">
        <v>214</v>
      </c>
      <c r="X1003" t="s">
        <v>34</v>
      </c>
      <c r="Y1003" t="str">
        <f>"774695656   "</f>
        <v xml:space="preserve">774695656   </v>
      </c>
    </row>
    <row r="1004" spans="1:25" x14ac:dyDescent="0.25">
      <c r="A1004" t="s">
        <v>4607</v>
      </c>
      <c r="B1004" t="s">
        <v>4608</v>
      </c>
      <c r="C1004">
        <v>2021</v>
      </c>
      <c r="D1004">
        <v>8001</v>
      </c>
      <c r="E1004">
        <v>1</v>
      </c>
      <c r="F1004" t="s">
        <v>4609</v>
      </c>
      <c r="G1004">
        <v>29588730</v>
      </c>
      <c r="J1004">
        <v>10.39</v>
      </c>
      <c r="L1004">
        <v>48565899</v>
      </c>
      <c r="M1004" s="1">
        <v>44550</v>
      </c>
      <c r="N1004" t="str">
        <f>"RC220116"</f>
        <v>RC220116</v>
      </c>
      <c r="O1004" t="s">
        <v>28</v>
      </c>
      <c r="Q1004" t="s">
        <v>29</v>
      </c>
      <c r="R1004" t="s">
        <v>28</v>
      </c>
      <c r="S1004" t="s">
        <v>4610</v>
      </c>
      <c r="T1004" t="s">
        <v>4611</v>
      </c>
      <c r="W1004" t="s">
        <v>81</v>
      </c>
      <c r="X1004" t="s">
        <v>34</v>
      </c>
      <c r="Y1004" t="str">
        <f>"774073274"</f>
        <v>774073274</v>
      </c>
    </row>
    <row r="1005" spans="1:25" x14ac:dyDescent="0.25">
      <c r="A1005" t="s">
        <v>4612</v>
      </c>
      <c r="B1005" t="s">
        <v>4613</v>
      </c>
      <c r="C1005">
        <v>2019</v>
      </c>
      <c r="D1005">
        <v>8001</v>
      </c>
      <c r="E1005">
        <v>1</v>
      </c>
      <c r="F1005" t="s">
        <v>4614</v>
      </c>
      <c r="G1005">
        <v>0</v>
      </c>
      <c r="J1005">
        <v>22</v>
      </c>
      <c r="L1005">
        <v>42989822</v>
      </c>
      <c r="M1005" s="1">
        <v>43847</v>
      </c>
      <c r="N1005" t="str">
        <f>"L200117"</f>
        <v>L200117</v>
      </c>
      <c r="O1005" t="s">
        <v>28</v>
      </c>
      <c r="Q1005" t="s">
        <v>29</v>
      </c>
      <c r="R1005" t="s">
        <v>28</v>
      </c>
      <c r="S1005" t="s">
        <v>4614</v>
      </c>
      <c r="T1005" t="s">
        <v>4615</v>
      </c>
      <c r="U1005" t="s">
        <v>60</v>
      </c>
      <c r="V1005" t="s">
        <v>60</v>
      </c>
      <c r="W1005" t="s">
        <v>214</v>
      </c>
      <c r="X1005" t="s">
        <v>34</v>
      </c>
      <c r="Y1005" t="str">
        <f>"774693629   "</f>
        <v xml:space="preserve">774693629   </v>
      </c>
    </row>
    <row r="1006" spans="1:25" x14ac:dyDescent="0.25">
      <c r="A1006" t="s">
        <v>4616</v>
      </c>
      <c r="B1006" t="s">
        <v>4617</v>
      </c>
      <c r="C1006">
        <v>2020</v>
      </c>
      <c r="D1006">
        <v>8001</v>
      </c>
      <c r="E1006">
        <v>2</v>
      </c>
      <c r="F1006" t="s">
        <v>4618</v>
      </c>
      <c r="G1006">
        <v>29708175</v>
      </c>
      <c r="J1006">
        <v>80.540000000000006</v>
      </c>
      <c r="L1006">
        <v>47290981</v>
      </c>
      <c r="M1006" s="1">
        <v>44300</v>
      </c>
      <c r="N1006" t="str">
        <f>"RC210425"</f>
        <v>RC210425</v>
      </c>
      <c r="O1006" t="s">
        <v>28</v>
      </c>
      <c r="Q1006" t="s">
        <v>29</v>
      </c>
      <c r="R1006" t="s">
        <v>28</v>
      </c>
      <c r="S1006" t="s">
        <v>2317</v>
      </c>
      <c r="T1006" t="s">
        <v>4619</v>
      </c>
      <c r="W1006" t="s">
        <v>2938</v>
      </c>
      <c r="X1006" t="s">
        <v>317</v>
      </c>
      <c r="Y1006" t="str">
        <f>"92808"</f>
        <v>92808</v>
      </c>
    </row>
    <row r="1007" spans="1:25" x14ac:dyDescent="0.25">
      <c r="A1007" t="s">
        <v>4620</v>
      </c>
      <c r="B1007" t="s">
        <v>4621</v>
      </c>
      <c r="C1007">
        <v>2021</v>
      </c>
      <c r="D1007">
        <v>8001</v>
      </c>
      <c r="E1007">
        <v>2</v>
      </c>
      <c r="F1007" t="s">
        <v>4622</v>
      </c>
      <c r="G1007">
        <v>30997291</v>
      </c>
      <c r="J1007" s="2">
        <v>1935.35</v>
      </c>
      <c r="L1007">
        <v>48895234</v>
      </c>
      <c r="M1007" s="1">
        <v>44565</v>
      </c>
      <c r="N1007" t="str">
        <f>"RC220208"</f>
        <v>RC220208</v>
      </c>
      <c r="O1007" t="s">
        <v>28</v>
      </c>
      <c r="Q1007" t="s">
        <v>29</v>
      </c>
      <c r="R1007" t="s">
        <v>28</v>
      </c>
      <c r="S1007" t="s">
        <v>4623</v>
      </c>
      <c r="T1007" t="s">
        <v>4624</v>
      </c>
      <c r="W1007" t="s">
        <v>4625</v>
      </c>
      <c r="X1007" t="s">
        <v>317</v>
      </c>
      <c r="Y1007" t="str">
        <f>"926754954"</f>
        <v>926754954</v>
      </c>
    </row>
    <row r="1008" spans="1:25" x14ac:dyDescent="0.25">
      <c r="A1008" t="s">
        <v>4626</v>
      </c>
      <c r="B1008" t="s">
        <v>4627</v>
      </c>
      <c r="C1008">
        <v>2021</v>
      </c>
      <c r="D1008">
        <v>8001</v>
      </c>
      <c r="E1008">
        <v>1</v>
      </c>
      <c r="F1008" t="s">
        <v>4628</v>
      </c>
      <c r="G1008">
        <v>31034764</v>
      </c>
      <c r="J1008">
        <v>611.80999999999995</v>
      </c>
      <c r="L1008">
        <v>49274779</v>
      </c>
      <c r="M1008" s="1">
        <v>44579</v>
      </c>
      <c r="N1008" t="str">
        <f>"RC220221"</f>
        <v>RC220221</v>
      </c>
      <c r="O1008" t="s">
        <v>28</v>
      </c>
      <c r="Q1008" t="s">
        <v>29</v>
      </c>
      <c r="R1008" t="s">
        <v>28</v>
      </c>
      <c r="S1008" t="s">
        <v>4629</v>
      </c>
      <c r="T1008" t="s">
        <v>4630</v>
      </c>
      <c r="W1008" t="s">
        <v>4631</v>
      </c>
      <c r="X1008" t="s">
        <v>317</v>
      </c>
      <c r="Y1008" t="str">
        <f>"940872105"</f>
        <v>940872105</v>
      </c>
    </row>
    <row r="1009" spans="1:25" x14ac:dyDescent="0.25">
      <c r="A1009" t="s">
        <v>4632</v>
      </c>
      <c r="B1009" t="s">
        <v>4633</v>
      </c>
      <c r="C1009">
        <v>2021</v>
      </c>
      <c r="D1009">
        <v>8001</v>
      </c>
      <c r="E1009">
        <v>1</v>
      </c>
      <c r="F1009" t="s">
        <v>4634</v>
      </c>
      <c r="G1009">
        <v>28721693</v>
      </c>
      <c r="J1009" s="2">
        <v>2922.01</v>
      </c>
      <c r="L1009">
        <v>48336562</v>
      </c>
      <c r="M1009" s="1">
        <v>44537</v>
      </c>
      <c r="N1009" t="str">
        <f>"RC220113"</f>
        <v>RC220113</v>
      </c>
      <c r="O1009" t="s">
        <v>28</v>
      </c>
      <c r="Q1009" t="s">
        <v>29</v>
      </c>
      <c r="R1009" t="s">
        <v>28</v>
      </c>
      <c r="S1009" t="s">
        <v>3285</v>
      </c>
      <c r="T1009" t="s">
        <v>3286</v>
      </c>
      <c r="U1009" t="s">
        <v>3287</v>
      </c>
      <c r="W1009" t="s">
        <v>40</v>
      </c>
      <c r="X1009" t="s">
        <v>34</v>
      </c>
      <c r="Y1009" t="str">
        <f>"774783683"</f>
        <v>774783683</v>
      </c>
    </row>
    <row r="1010" spans="1:25" x14ac:dyDescent="0.25">
      <c r="A1010" t="s">
        <v>4635</v>
      </c>
      <c r="B1010" t="s">
        <v>4636</v>
      </c>
      <c r="C1010">
        <v>2019</v>
      </c>
      <c r="D1010">
        <v>8001</v>
      </c>
      <c r="E1010">
        <v>3</v>
      </c>
      <c r="F1010" t="s">
        <v>4637</v>
      </c>
      <c r="G1010">
        <v>0</v>
      </c>
      <c r="J1010">
        <v>92.66</v>
      </c>
      <c r="L1010">
        <v>44498869</v>
      </c>
      <c r="M1010" s="1">
        <v>44062</v>
      </c>
      <c r="N1010" t="str">
        <f>"J200819AW1"</f>
        <v>J200819AW1</v>
      </c>
      <c r="O1010" t="s">
        <v>28</v>
      </c>
      <c r="Q1010" t="s">
        <v>29</v>
      </c>
      <c r="R1010" t="s">
        <v>28</v>
      </c>
      <c r="S1010" t="s">
        <v>4637</v>
      </c>
      <c r="T1010" t="s">
        <v>4638</v>
      </c>
      <c r="U1010" t="s">
        <v>60</v>
      </c>
      <c r="V1010" t="s">
        <v>60</v>
      </c>
      <c r="W1010" t="s">
        <v>219</v>
      </c>
      <c r="X1010" t="s">
        <v>34</v>
      </c>
      <c r="Y1010" t="str">
        <f>"774793724   "</f>
        <v xml:space="preserve">774793724   </v>
      </c>
    </row>
    <row r="1011" spans="1:25" x14ac:dyDescent="0.25">
      <c r="A1011" t="s">
        <v>4639</v>
      </c>
      <c r="B1011" t="s">
        <v>4640</v>
      </c>
      <c r="C1011">
        <v>2019</v>
      </c>
      <c r="D1011">
        <v>8001</v>
      </c>
      <c r="E1011">
        <v>2</v>
      </c>
      <c r="F1011" t="s">
        <v>4641</v>
      </c>
      <c r="G1011">
        <v>28309071</v>
      </c>
      <c r="J1011">
        <v>80.23</v>
      </c>
      <c r="L1011">
        <v>43907985</v>
      </c>
      <c r="M1011" s="1">
        <v>43899</v>
      </c>
      <c r="N1011" t="str">
        <f>"J200309AW2"</f>
        <v>J200309AW2</v>
      </c>
      <c r="O1011" t="s">
        <v>28</v>
      </c>
      <c r="Q1011" t="s">
        <v>29</v>
      </c>
      <c r="R1011" t="s">
        <v>28</v>
      </c>
      <c r="S1011" t="s">
        <v>1555</v>
      </c>
      <c r="T1011" t="s">
        <v>4642</v>
      </c>
      <c r="W1011" t="s">
        <v>4643</v>
      </c>
      <c r="X1011" t="s">
        <v>34</v>
      </c>
      <c r="Y1011" t="str">
        <f>"77573"</f>
        <v>77573</v>
      </c>
    </row>
    <row r="1012" spans="1:25" x14ac:dyDescent="0.25">
      <c r="A1012" t="s">
        <v>4644</v>
      </c>
      <c r="B1012" t="s">
        <v>4645</v>
      </c>
      <c r="C1012">
        <v>2019</v>
      </c>
      <c r="D1012">
        <v>8001</v>
      </c>
      <c r="E1012">
        <v>2</v>
      </c>
      <c r="F1012" t="s">
        <v>4646</v>
      </c>
      <c r="G1012">
        <v>21594338</v>
      </c>
      <c r="J1012">
        <v>238.68</v>
      </c>
      <c r="L1012">
        <v>42888493</v>
      </c>
      <c r="M1012" s="1">
        <v>43844</v>
      </c>
      <c r="N1012" t="str">
        <f>"R200114BO1"</f>
        <v>R200114BO1</v>
      </c>
      <c r="O1012" t="s">
        <v>28</v>
      </c>
      <c r="Q1012" t="s">
        <v>29</v>
      </c>
      <c r="R1012" t="s">
        <v>28</v>
      </c>
      <c r="S1012" t="s">
        <v>4647</v>
      </c>
      <c r="T1012" t="s">
        <v>4648</v>
      </c>
      <c r="W1012" t="s">
        <v>4649</v>
      </c>
      <c r="X1012" t="s">
        <v>34</v>
      </c>
      <c r="Y1012" t="str">
        <f>"76579"</f>
        <v>76579</v>
      </c>
    </row>
    <row r="1013" spans="1:25" x14ac:dyDescent="0.25">
      <c r="A1013" t="s">
        <v>4650</v>
      </c>
      <c r="B1013" t="s">
        <v>4651</v>
      </c>
      <c r="C1013">
        <v>2020</v>
      </c>
      <c r="D1013">
        <v>8001</v>
      </c>
      <c r="E1013">
        <v>2</v>
      </c>
      <c r="F1013" t="s">
        <v>4652</v>
      </c>
      <c r="G1013">
        <v>28692840</v>
      </c>
      <c r="J1013">
        <v>16.93</v>
      </c>
      <c r="L1013">
        <v>47519906</v>
      </c>
      <c r="M1013" s="1">
        <v>44357</v>
      </c>
      <c r="N1013" t="str">
        <f>"RC210616"</f>
        <v>RC210616</v>
      </c>
      <c r="O1013" t="s">
        <v>28</v>
      </c>
      <c r="Q1013" t="s">
        <v>29</v>
      </c>
      <c r="R1013" t="s">
        <v>28</v>
      </c>
      <c r="S1013" t="s">
        <v>1019</v>
      </c>
      <c r="T1013" t="s">
        <v>562</v>
      </c>
      <c r="W1013" t="s">
        <v>563</v>
      </c>
      <c r="X1013" t="s">
        <v>34</v>
      </c>
      <c r="Y1013" t="str">
        <f>"750630156"</f>
        <v>750630156</v>
      </c>
    </row>
    <row r="1014" spans="1:25" x14ac:dyDescent="0.25">
      <c r="A1014" t="s">
        <v>4653</v>
      </c>
      <c r="B1014" t="s">
        <v>4654</v>
      </c>
      <c r="C1014">
        <v>2019</v>
      </c>
      <c r="D1014">
        <v>8001</v>
      </c>
      <c r="E1014">
        <v>2</v>
      </c>
      <c r="F1014" t="s">
        <v>4655</v>
      </c>
      <c r="G1014">
        <v>28013631</v>
      </c>
      <c r="J1014">
        <v>26.87</v>
      </c>
      <c r="L1014">
        <v>44193019</v>
      </c>
      <c r="M1014" s="1">
        <v>43972</v>
      </c>
      <c r="N1014" t="str">
        <f>"O200521G1"</f>
        <v>O200521G1</v>
      </c>
      <c r="O1014" t="s">
        <v>28</v>
      </c>
      <c r="Q1014" t="s">
        <v>29</v>
      </c>
      <c r="R1014" t="s">
        <v>28</v>
      </c>
      <c r="S1014" t="s">
        <v>4656</v>
      </c>
      <c r="T1014" t="s">
        <v>4657</v>
      </c>
      <c r="W1014" t="s">
        <v>81</v>
      </c>
      <c r="X1014" t="s">
        <v>34</v>
      </c>
      <c r="Y1014" t="str">
        <f>"774061827"</f>
        <v>774061827</v>
      </c>
    </row>
    <row r="1015" spans="1:25" x14ac:dyDescent="0.25">
      <c r="A1015" t="s">
        <v>4658</v>
      </c>
      <c r="B1015" t="s">
        <v>4659</v>
      </c>
      <c r="C1015">
        <v>2021</v>
      </c>
      <c r="D1015">
        <v>8001</v>
      </c>
      <c r="E1015">
        <v>2</v>
      </c>
      <c r="F1015" t="s">
        <v>1473</v>
      </c>
      <c r="G1015">
        <v>28406245</v>
      </c>
      <c r="J1015">
        <v>94.38</v>
      </c>
      <c r="L1015">
        <v>49632889</v>
      </c>
      <c r="M1015" s="1">
        <v>44588</v>
      </c>
      <c r="N1015" t="str">
        <f>"RC220309"</f>
        <v>RC220309</v>
      </c>
      <c r="O1015" t="s">
        <v>28</v>
      </c>
      <c r="Q1015" t="s">
        <v>29</v>
      </c>
      <c r="R1015" t="s">
        <v>28</v>
      </c>
      <c r="S1015" t="s">
        <v>1474</v>
      </c>
      <c r="T1015" t="s">
        <v>1475</v>
      </c>
      <c r="W1015" t="s">
        <v>33</v>
      </c>
      <c r="X1015" t="s">
        <v>34</v>
      </c>
      <c r="Y1015" t="str">
        <f>"75093"</f>
        <v>75093</v>
      </c>
    </row>
    <row r="1016" spans="1:25" x14ac:dyDescent="0.25">
      <c r="A1016" t="s">
        <v>4660</v>
      </c>
      <c r="B1016" t="s">
        <v>4661</v>
      </c>
      <c r="C1016">
        <v>2020</v>
      </c>
      <c r="D1016">
        <v>8001</v>
      </c>
      <c r="E1016">
        <v>2</v>
      </c>
      <c r="F1016" t="s">
        <v>4662</v>
      </c>
      <c r="G1016">
        <v>0</v>
      </c>
      <c r="J1016">
        <v>111.48</v>
      </c>
      <c r="L1016">
        <v>47950428</v>
      </c>
      <c r="M1016" s="1">
        <v>44503</v>
      </c>
      <c r="N1016" t="str">
        <f>"EL211103"</f>
        <v>EL211103</v>
      </c>
      <c r="O1016" t="s">
        <v>28</v>
      </c>
      <c r="Q1016" t="s">
        <v>29</v>
      </c>
      <c r="R1016" t="s">
        <v>28</v>
      </c>
      <c r="S1016" t="s">
        <v>4662</v>
      </c>
      <c r="T1016" t="s">
        <v>4663</v>
      </c>
      <c r="U1016" t="s">
        <v>60</v>
      </c>
      <c r="V1016" t="s">
        <v>60</v>
      </c>
      <c r="W1016" t="s">
        <v>214</v>
      </c>
      <c r="X1016" t="s">
        <v>34</v>
      </c>
      <c r="Y1016" t="str">
        <f>"774061877   "</f>
        <v xml:space="preserve">774061877   </v>
      </c>
    </row>
    <row r="1017" spans="1:25" x14ac:dyDescent="0.25">
      <c r="A1017" t="s">
        <v>4664</v>
      </c>
      <c r="B1017" t="s">
        <v>4665</v>
      </c>
      <c r="C1017">
        <v>2019</v>
      </c>
      <c r="D1017">
        <v>8001</v>
      </c>
      <c r="E1017">
        <v>1</v>
      </c>
      <c r="F1017" t="s">
        <v>4666</v>
      </c>
      <c r="G1017">
        <v>0</v>
      </c>
      <c r="J1017">
        <v>100</v>
      </c>
      <c r="L1017">
        <v>43607202</v>
      </c>
      <c r="M1017" s="1">
        <v>43866</v>
      </c>
      <c r="N1017" t="str">
        <f>"L200205"</f>
        <v>L200205</v>
      </c>
      <c r="O1017" t="s">
        <v>28</v>
      </c>
      <c r="Q1017" t="s">
        <v>29</v>
      </c>
      <c r="R1017" t="s">
        <v>28</v>
      </c>
      <c r="S1017" t="s">
        <v>4666</v>
      </c>
      <c r="T1017" t="s">
        <v>4667</v>
      </c>
      <c r="U1017" t="s">
        <v>60</v>
      </c>
      <c r="V1017" t="s">
        <v>60</v>
      </c>
      <c r="W1017" t="s">
        <v>1333</v>
      </c>
      <c r="X1017" t="s">
        <v>34</v>
      </c>
      <c r="Y1017" t="str">
        <f>"774594344   "</f>
        <v xml:space="preserve">774594344   </v>
      </c>
    </row>
    <row r="1018" spans="1:25" x14ac:dyDescent="0.25">
      <c r="A1018" t="s">
        <v>4668</v>
      </c>
      <c r="B1018" t="s">
        <v>4669</v>
      </c>
      <c r="C1018">
        <v>2018</v>
      </c>
      <c r="D1018">
        <v>8001</v>
      </c>
      <c r="E1018">
        <v>2</v>
      </c>
      <c r="F1018" t="s">
        <v>4670</v>
      </c>
      <c r="G1018">
        <v>27297749</v>
      </c>
      <c r="J1018">
        <v>157.44</v>
      </c>
      <c r="L1018">
        <v>41295057</v>
      </c>
      <c r="M1018" s="1">
        <v>43621</v>
      </c>
      <c r="N1018" t="str">
        <f>"J190605AW10"</f>
        <v>J190605AW10</v>
      </c>
      <c r="O1018" t="s">
        <v>28</v>
      </c>
      <c r="Q1018" t="s">
        <v>29</v>
      </c>
      <c r="R1018" t="s">
        <v>28</v>
      </c>
      <c r="S1018" t="s">
        <v>4671</v>
      </c>
      <c r="T1018" t="s">
        <v>4672</v>
      </c>
      <c r="W1018" t="s">
        <v>154</v>
      </c>
      <c r="X1018" t="s">
        <v>34</v>
      </c>
      <c r="Y1018" t="str">
        <f>"774695737"</f>
        <v>774695737</v>
      </c>
    </row>
    <row r="1019" spans="1:25" x14ac:dyDescent="0.25">
      <c r="A1019" t="s">
        <v>4673</v>
      </c>
      <c r="B1019" t="s">
        <v>4674</v>
      </c>
      <c r="C1019">
        <v>2019</v>
      </c>
      <c r="D1019">
        <v>8001</v>
      </c>
      <c r="E1019">
        <v>1</v>
      </c>
      <c r="F1019" t="s">
        <v>4675</v>
      </c>
      <c r="G1019">
        <v>28517980</v>
      </c>
      <c r="J1019">
        <v>21.99</v>
      </c>
      <c r="L1019">
        <v>44292344</v>
      </c>
      <c r="M1019" s="1">
        <v>43991</v>
      </c>
      <c r="N1019" t="str">
        <f>"J200609K2"</f>
        <v>J200609K2</v>
      </c>
      <c r="O1019" t="s">
        <v>28</v>
      </c>
      <c r="Q1019" t="s">
        <v>29</v>
      </c>
      <c r="R1019" t="s">
        <v>28</v>
      </c>
      <c r="S1019" t="s">
        <v>4676</v>
      </c>
      <c r="T1019" t="s">
        <v>4677</v>
      </c>
      <c r="U1019" t="s">
        <v>4678</v>
      </c>
      <c r="W1019" t="s">
        <v>4679</v>
      </c>
      <c r="X1019" t="s">
        <v>34</v>
      </c>
      <c r="Y1019" t="str">
        <f>"779042650"</f>
        <v>779042650</v>
      </c>
    </row>
    <row r="1020" spans="1:25" x14ac:dyDescent="0.25">
      <c r="A1020" t="s">
        <v>4680</v>
      </c>
      <c r="B1020" t="s">
        <v>4681</v>
      </c>
      <c r="C1020">
        <v>2019</v>
      </c>
      <c r="D1020">
        <v>8001</v>
      </c>
      <c r="E1020">
        <v>1</v>
      </c>
      <c r="F1020" t="s">
        <v>4682</v>
      </c>
      <c r="G1020">
        <v>28310316</v>
      </c>
      <c r="J1020">
        <v>12.53</v>
      </c>
      <c r="L1020">
        <v>43887137</v>
      </c>
      <c r="M1020" s="1">
        <v>43895</v>
      </c>
      <c r="N1020" t="str">
        <f>"CC200305"</f>
        <v>CC200305</v>
      </c>
      <c r="O1020" t="s">
        <v>28</v>
      </c>
      <c r="Q1020" t="s">
        <v>29</v>
      </c>
      <c r="R1020" t="s">
        <v>28</v>
      </c>
      <c r="S1020" t="s">
        <v>4683</v>
      </c>
      <c r="T1020" t="s">
        <v>4684</v>
      </c>
      <c r="W1020" t="s">
        <v>618</v>
      </c>
      <c r="X1020" t="s">
        <v>34</v>
      </c>
      <c r="Y1020" t="str">
        <f>"77461"</f>
        <v>77461</v>
      </c>
    </row>
    <row r="1021" spans="1:25" x14ac:dyDescent="0.25">
      <c r="A1021" t="s">
        <v>4685</v>
      </c>
      <c r="B1021" t="s">
        <v>4686</v>
      </c>
      <c r="C1021">
        <v>2019</v>
      </c>
      <c r="D1021">
        <v>8001</v>
      </c>
      <c r="E1021">
        <v>1</v>
      </c>
      <c r="F1021" t="s">
        <v>4687</v>
      </c>
      <c r="G1021">
        <v>28310317</v>
      </c>
      <c r="J1021">
        <v>9.08</v>
      </c>
      <c r="L1021">
        <v>43887138</v>
      </c>
      <c r="M1021" s="1">
        <v>43895</v>
      </c>
      <c r="N1021" t="str">
        <f>"CC200305"</f>
        <v>CC200305</v>
      </c>
      <c r="O1021" t="s">
        <v>28</v>
      </c>
      <c r="Q1021" t="s">
        <v>29</v>
      </c>
      <c r="R1021" t="s">
        <v>28</v>
      </c>
      <c r="S1021" t="s">
        <v>4683</v>
      </c>
      <c r="T1021" t="s">
        <v>4684</v>
      </c>
      <c r="W1021" t="s">
        <v>618</v>
      </c>
      <c r="X1021" t="s">
        <v>34</v>
      </c>
      <c r="Y1021" t="str">
        <f>"77461"</f>
        <v>77461</v>
      </c>
    </row>
    <row r="1022" spans="1:25" x14ac:dyDescent="0.25">
      <c r="A1022" t="s">
        <v>4688</v>
      </c>
      <c r="B1022" t="s">
        <v>4689</v>
      </c>
      <c r="C1022">
        <v>2020</v>
      </c>
      <c r="D1022">
        <v>8001</v>
      </c>
      <c r="E1022">
        <v>1</v>
      </c>
      <c r="F1022" t="s">
        <v>4690</v>
      </c>
      <c r="G1022">
        <v>0</v>
      </c>
      <c r="J1022">
        <v>51.65</v>
      </c>
      <c r="L1022">
        <v>46893713</v>
      </c>
      <c r="M1022" s="1">
        <v>44237</v>
      </c>
      <c r="N1022" t="str">
        <f>"J210210K2"</f>
        <v>J210210K2</v>
      </c>
      <c r="O1022" t="s">
        <v>28</v>
      </c>
      <c r="Q1022" t="s">
        <v>29</v>
      </c>
      <c r="R1022" t="s">
        <v>28</v>
      </c>
      <c r="S1022" t="s">
        <v>4690</v>
      </c>
      <c r="T1022" t="s">
        <v>4691</v>
      </c>
      <c r="U1022" t="s">
        <v>60</v>
      </c>
      <c r="V1022" t="s">
        <v>60</v>
      </c>
      <c r="W1022" t="s">
        <v>1333</v>
      </c>
      <c r="X1022" t="s">
        <v>34</v>
      </c>
      <c r="Y1022" t="str">
        <f>"774595770   "</f>
        <v xml:space="preserve">774595770   </v>
      </c>
    </row>
    <row r="1023" spans="1:25" x14ac:dyDescent="0.25">
      <c r="A1023" t="s">
        <v>4692</v>
      </c>
      <c r="B1023" t="s">
        <v>4693</v>
      </c>
      <c r="C1023">
        <v>2019</v>
      </c>
      <c r="D1023">
        <v>8001</v>
      </c>
      <c r="E1023">
        <v>1</v>
      </c>
      <c r="F1023" t="s">
        <v>4694</v>
      </c>
      <c r="G1023">
        <v>0</v>
      </c>
      <c r="J1023">
        <v>92.03</v>
      </c>
      <c r="L1023">
        <v>43885491</v>
      </c>
      <c r="M1023" s="1">
        <v>43895</v>
      </c>
      <c r="N1023" t="str">
        <f>"J200305K2"</f>
        <v>J200305K2</v>
      </c>
      <c r="O1023" t="s">
        <v>28</v>
      </c>
      <c r="Q1023" t="s">
        <v>29</v>
      </c>
      <c r="R1023" t="s">
        <v>28</v>
      </c>
      <c r="S1023" t="s">
        <v>4694</v>
      </c>
      <c r="T1023" t="s">
        <v>4695</v>
      </c>
      <c r="U1023" t="s">
        <v>60</v>
      </c>
      <c r="V1023" t="s">
        <v>60</v>
      </c>
      <c r="W1023" t="s">
        <v>1333</v>
      </c>
      <c r="X1023" t="s">
        <v>34</v>
      </c>
      <c r="Y1023" t="str">
        <f>"774594953   "</f>
        <v xml:space="preserve">774594953   </v>
      </c>
    </row>
    <row r="1024" spans="1:25" x14ac:dyDescent="0.25">
      <c r="A1024" t="s">
        <v>4696</v>
      </c>
      <c r="B1024" t="s">
        <v>4697</v>
      </c>
      <c r="C1024">
        <v>2019</v>
      </c>
      <c r="D1024">
        <v>8001</v>
      </c>
      <c r="E1024">
        <v>1</v>
      </c>
      <c r="F1024" t="s">
        <v>4698</v>
      </c>
      <c r="G1024">
        <v>27680872</v>
      </c>
      <c r="J1024">
        <v>397.57</v>
      </c>
      <c r="L1024">
        <v>42036958</v>
      </c>
      <c r="M1024" s="1">
        <v>43796</v>
      </c>
      <c r="N1024" t="str">
        <f>"J191127K7"</f>
        <v>J191127K7</v>
      </c>
      <c r="O1024" t="s">
        <v>28</v>
      </c>
      <c r="Q1024" t="s">
        <v>29</v>
      </c>
      <c r="R1024" t="s">
        <v>28</v>
      </c>
      <c r="S1024" t="s">
        <v>4699</v>
      </c>
      <c r="T1024" t="s">
        <v>4700</v>
      </c>
      <c r="U1024" t="s">
        <v>4701</v>
      </c>
      <c r="W1024" t="s">
        <v>75</v>
      </c>
      <c r="X1024" t="s">
        <v>34</v>
      </c>
      <c r="Y1024" t="str">
        <f>"770541374"</f>
        <v>770541374</v>
      </c>
    </row>
    <row r="1025" spans="1:25" x14ac:dyDescent="0.25">
      <c r="A1025" t="s">
        <v>4702</v>
      </c>
      <c r="B1025" t="s">
        <v>4703</v>
      </c>
      <c r="C1025">
        <v>2021</v>
      </c>
      <c r="D1025">
        <v>8001</v>
      </c>
      <c r="E1025">
        <v>1</v>
      </c>
      <c r="F1025" t="s">
        <v>4704</v>
      </c>
      <c r="G1025">
        <v>30361083</v>
      </c>
      <c r="J1025">
        <v>87.08</v>
      </c>
      <c r="L1025">
        <v>48703847</v>
      </c>
      <c r="M1025" s="1">
        <v>44558</v>
      </c>
      <c r="N1025" t="str">
        <f>"O211228BQ7"</f>
        <v>O211228BQ7</v>
      </c>
      <c r="O1025" t="s">
        <v>28</v>
      </c>
      <c r="Q1025" t="s">
        <v>29</v>
      </c>
      <c r="R1025" t="s">
        <v>28</v>
      </c>
      <c r="S1025" t="s">
        <v>4705</v>
      </c>
      <c r="T1025" t="s">
        <v>4706</v>
      </c>
      <c r="W1025" t="s">
        <v>392</v>
      </c>
      <c r="X1025" t="s">
        <v>34</v>
      </c>
      <c r="Y1025" t="str">
        <f>"774596783"</f>
        <v>774596783</v>
      </c>
    </row>
    <row r="1026" spans="1:25" x14ac:dyDescent="0.25">
      <c r="A1026" t="s">
        <v>4707</v>
      </c>
      <c r="B1026" t="s">
        <v>4708</v>
      </c>
      <c r="C1026">
        <v>2020</v>
      </c>
      <c r="D1026">
        <v>8001</v>
      </c>
      <c r="E1026">
        <v>1</v>
      </c>
      <c r="F1026" t="s">
        <v>4709</v>
      </c>
      <c r="G1026">
        <v>29461604</v>
      </c>
      <c r="J1026">
        <v>306.33</v>
      </c>
      <c r="L1026">
        <v>46728604</v>
      </c>
      <c r="M1026" s="1">
        <v>44230</v>
      </c>
      <c r="N1026" t="str">
        <f>"EK210203"</f>
        <v>EK210203</v>
      </c>
      <c r="O1026" t="s">
        <v>28</v>
      </c>
      <c r="Q1026" t="s">
        <v>29</v>
      </c>
      <c r="R1026" t="s">
        <v>28</v>
      </c>
      <c r="S1026" t="s">
        <v>4710</v>
      </c>
      <c r="T1026" t="s">
        <v>4711</v>
      </c>
      <c r="W1026" t="s">
        <v>4712</v>
      </c>
      <c r="X1026" t="s">
        <v>34</v>
      </c>
      <c r="Y1026" t="str">
        <f>"77879"</f>
        <v>77879</v>
      </c>
    </row>
    <row r="1027" spans="1:25" x14ac:dyDescent="0.25">
      <c r="A1027" t="s">
        <v>4713</v>
      </c>
      <c r="B1027" t="s">
        <v>4714</v>
      </c>
      <c r="C1027">
        <v>2020</v>
      </c>
      <c r="D1027">
        <v>8001</v>
      </c>
      <c r="E1027">
        <v>4</v>
      </c>
      <c r="F1027" t="s">
        <v>4715</v>
      </c>
      <c r="G1027">
        <v>0</v>
      </c>
      <c r="J1027">
        <v>7.81</v>
      </c>
      <c r="L1027">
        <v>47727308</v>
      </c>
      <c r="M1027" s="1">
        <v>44440</v>
      </c>
      <c r="N1027" t="str">
        <f>"J210901BW1"</f>
        <v>J210901BW1</v>
      </c>
      <c r="O1027" t="s">
        <v>28</v>
      </c>
      <c r="Q1027" t="s">
        <v>29</v>
      </c>
      <c r="R1027" t="s">
        <v>28</v>
      </c>
      <c r="S1027" t="s">
        <v>4715</v>
      </c>
      <c r="T1027" t="s">
        <v>4716</v>
      </c>
      <c r="U1027" t="s">
        <v>60</v>
      </c>
      <c r="V1027" t="s">
        <v>60</v>
      </c>
      <c r="W1027" t="s">
        <v>219</v>
      </c>
      <c r="X1027" t="s">
        <v>34</v>
      </c>
      <c r="Y1027" t="str">
        <f>"774791946   "</f>
        <v xml:space="preserve">774791946   </v>
      </c>
    </row>
    <row r="1028" spans="1:25" x14ac:dyDescent="0.25">
      <c r="A1028" t="s">
        <v>4717</v>
      </c>
      <c r="B1028" t="s">
        <v>4718</v>
      </c>
      <c r="C1028">
        <v>2020</v>
      </c>
      <c r="D1028">
        <v>8001</v>
      </c>
      <c r="E1028">
        <v>39</v>
      </c>
      <c r="F1028" t="s">
        <v>4719</v>
      </c>
      <c r="G1028">
        <v>0</v>
      </c>
      <c r="J1028">
        <v>272.02</v>
      </c>
      <c r="L1028">
        <v>41005384</v>
      </c>
      <c r="M1028" s="1">
        <v>44147</v>
      </c>
      <c r="N1028" t="str">
        <f t="shared" ref="N1028:N1035" si="0">"TE201112"</f>
        <v>TE201112</v>
      </c>
      <c r="O1028" t="s">
        <v>28</v>
      </c>
      <c r="Q1028" t="s">
        <v>29</v>
      </c>
      <c r="R1028" t="s">
        <v>28</v>
      </c>
      <c r="S1028" t="s">
        <v>4720</v>
      </c>
      <c r="T1028" t="s">
        <v>4721</v>
      </c>
      <c r="U1028" t="s">
        <v>60</v>
      </c>
      <c r="V1028" t="s">
        <v>60</v>
      </c>
      <c r="W1028" t="s">
        <v>219</v>
      </c>
      <c r="X1028" t="s">
        <v>34</v>
      </c>
      <c r="Y1028" t="str">
        <f t="shared" ref="Y1028:Y1033" si="1">"774791825   "</f>
        <v xml:space="preserve">774791825   </v>
      </c>
    </row>
    <row r="1029" spans="1:25" x14ac:dyDescent="0.25">
      <c r="A1029" t="s">
        <v>4717</v>
      </c>
      <c r="B1029" t="s">
        <v>4718</v>
      </c>
      <c r="C1029">
        <v>2020</v>
      </c>
      <c r="D1029">
        <v>8001</v>
      </c>
      <c r="E1029">
        <v>39</v>
      </c>
      <c r="F1029" t="s">
        <v>4719</v>
      </c>
      <c r="G1029">
        <v>0</v>
      </c>
      <c r="J1029">
        <v>300</v>
      </c>
      <c r="L1029">
        <v>41152838</v>
      </c>
      <c r="M1029" s="1">
        <v>44147</v>
      </c>
      <c r="N1029" t="str">
        <f t="shared" si="0"/>
        <v>TE201112</v>
      </c>
      <c r="O1029" t="s">
        <v>28</v>
      </c>
      <c r="Q1029" t="s">
        <v>29</v>
      </c>
      <c r="R1029" t="s">
        <v>28</v>
      </c>
      <c r="S1029" t="s">
        <v>4720</v>
      </c>
      <c r="T1029" t="s">
        <v>4721</v>
      </c>
      <c r="U1029" t="s">
        <v>60</v>
      </c>
      <c r="V1029" t="s">
        <v>60</v>
      </c>
      <c r="W1029" t="s">
        <v>219</v>
      </c>
      <c r="X1029" t="s">
        <v>34</v>
      </c>
      <c r="Y1029" t="str">
        <f t="shared" si="1"/>
        <v xml:space="preserve">774791825   </v>
      </c>
    </row>
    <row r="1030" spans="1:25" x14ac:dyDescent="0.25">
      <c r="A1030" t="s">
        <v>4717</v>
      </c>
      <c r="B1030" t="s">
        <v>4718</v>
      </c>
      <c r="C1030">
        <v>2020</v>
      </c>
      <c r="D1030">
        <v>8001</v>
      </c>
      <c r="E1030">
        <v>39</v>
      </c>
      <c r="F1030" t="s">
        <v>4719</v>
      </c>
      <c r="G1030">
        <v>0</v>
      </c>
      <c r="J1030">
        <v>300</v>
      </c>
      <c r="L1030">
        <v>41275026</v>
      </c>
      <c r="M1030" s="1">
        <v>44147</v>
      </c>
      <c r="N1030" t="str">
        <f t="shared" si="0"/>
        <v>TE201112</v>
      </c>
      <c r="O1030" t="s">
        <v>28</v>
      </c>
      <c r="Q1030" t="s">
        <v>29</v>
      </c>
      <c r="R1030" t="s">
        <v>28</v>
      </c>
      <c r="S1030" t="s">
        <v>4720</v>
      </c>
      <c r="T1030" t="s">
        <v>4721</v>
      </c>
      <c r="U1030" t="s">
        <v>60</v>
      </c>
      <c r="V1030" t="s">
        <v>60</v>
      </c>
      <c r="W1030" t="s">
        <v>219</v>
      </c>
      <c r="X1030" t="s">
        <v>34</v>
      </c>
      <c r="Y1030" t="str">
        <f t="shared" si="1"/>
        <v xml:space="preserve">774791825   </v>
      </c>
    </row>
    <row r="1031" spans="1:25" x14ac:dyDescent="0.25">
      <c r="A1031" t="s">
        <v>4717</v>
      </c>
      <c r="B1031" t="s">
        <v>4718</v>
      </c>
      <c r="C1031">
        <v>2020</v>
      </c>
      <c r="D1031">
        <v>8001</v>
      </c>
      <c r="E1031">
        <v>39</v>
      </c>
      <c r="F1031" t="s">
        <v>4719</v>
      </c>
      <c r="G1031">
        <v>0</v>
      </c>
      <c r="J1031">
        <v>300</v>
      </c>
      <c r="L1031">
        <v>43531587</v>
      </c>
      <c r="M1031" s="1">
        <v>44147</v>
      </c>
      <c r="N1031" t="str">
        <f t="shared" si="0"/>
        <v>TE201112</v>
      </c>
      <c r="O1031" t="s">
        <v>28</v>
      </c>
      <c r="Q1031" t="s">
        <v>29</v>
      </c>
      <c r="R1031" t="s">
        <v>28</v>
      </c>
      <c r="S1031" t="s">
        <v>4720</v>
      </c>
      <c r="T1031" t="s">
        <v>4721</v>
      </c>
      <c r="U1031" t="s">
        <v>60</v>
      </c>
      <c r="V1031" t="s">
        <v>60</v>
      </c>
      <c r="W1031" t="s">
        <v>219</v>
      </c>
      <c r="X1031" t="s">
        <v>34</v>
      </c>
      <c r="Y1031" t="str">
        <f t="shared" si="1"/>
        <v xml:space="preserve">774791825   </v>
      </c>
    </row>
    <row r="1032" spans="1:25" x14ac:dyDescent="0.25">
      <c r="A1032" t="s">
        <v>4717</v>
      </c>
      <c r="B1032" t="s">
        <v>4718</v>
      </c>
      <c r="C1032">
        <v>2020</v>
      </c>
      <c r="D1032">
        <v>8001</v>
      </c>
      <c r="E1032">
        <v>39</v>
      </c>
      <c r="F1032" t="s">
        <v>4719</v>
      </c>
      <c r="G1032">
        <v>0</v>
      </c>
      <c r="J1032">
        <v>300</v>
      </c>
      <c r="L1032">
        <v>43824876</v>
      </c>
      <c r="M1032" s="1">
        <v>44147</v>
      </c>
      <c r="N1032" t="str">
        <f t="shared" si="0"/>
        <v>TE201112</v>
      </c>
      <c r="O1032" t="s">
        <v>28</v>
      </c>
      <c r="Q1032" t="s">
        <v>29</v>
      </c>
      <c r="R1032" t="s">
        <v>28</v>
      </c>
      <c r="S1032" t="s">
        <v>4720</v>
      </c>
      <c r="T1032" t="s">
        <v>4721</v>
      </c>
      <c r="U1032" t="s">
        <v>60</v>
      </c>
      <c r="V1032" t="s">
        <v>60</v>
      </c>
      <c r="W1032" t="s">
        <v>219</v>
      </c>
      <c r="X1032" t="s">
        <v>34</v>
      </c>
      <c r="Y1032" t="str">
        <f t="shared" si="1"/>
        <v xml:space="preserve">774791825   </v>
      </c>
    </row>
    <row r="1033" spans="1:25" x14ac:dyDescent="0.25">
      <c r="A1033" t="s">
        <v>4717</v>
      </c>
      <c r="B1033" t="s">
        <v>4718</v>
      </c>
      <c r="C1033">
        <v>2020</v>
      </c>
      <c r="D1033">
        <v>8001</v>
      </c>
      <c r="E1033">
        <v>39</v>
      </c>
      <c r="F1033" t="s">
        <v>4719</v>
      </c>
      <c r="G1033">
        <v>0</v>
      </c>
      <c r="J1033">
        <v>300</v>
      </c>
      <c r="L1033">
        <v>44026822</v>
      </c>
      <c r="M1033" s="1">
        <v>44147</v>
      </c>
      <c r="N1033" t="str">
        <f t="shared" si="0"/>
        <v>TE201112</v>
      </c>
      <c r="O1033" t="s">
        <v>28</v>
      </c>
      <c r="Q1033" t="s">
        <v>29</v>
      </c>
      <c r="R1033" t="s">
        <v>28</v>
      </c>
      <c r="S1033" t="s">
        <v>4720</v>
      </c>
      <c r="T1033" t="s">
        <v>4721</v>
      </c>
      <c r="U1033" t="s">
        <v>60</v>
      </c>
      <c r="V1033" t="s">
        <v>60</v>
      </c>
      <c r="W1033" t="s">
        <v>219</v>
      </c>
      <c r="X1033" t="s">
        <v>34</v>
      </c>
      <c r="Y1033" t="str">
        <f t="shared" si="1"/>
        <v xml:space="preserve">774791825   </v>
      </c>
    </row>
    <row r="1034" spans="1:25" x14ac:dyDescent="0.25">
      <c r="A1034" t="s">
        <v>4717</v>
      </c>
      <c r="B1034" t="s">
        <v>4718</v>
      </c>
      <c r="C1034">
        <v>2020</v>
      </c>
      <c r="D1034">
        <v>8001</v>
      </c>
      <c r="E1034">
        <v>39</v>
      </c>
      <c r="F1034" t="s">
        <v>4719</v>
      </c>
      <c r="G1034">
        <v>25473495</v>
      </c>
      <c r="J1034">
        <v>300</v>
      </c>
      <c r="L1034">
        <v>44119654</v>
      </c>
      <c r="M1034" s="1">
        <v>44147</v>
      </c>
      <c r="N1034" t="str">
        <f t="shared" si="0"/>
        <v>TE201112</v>
      </c>
      <c r="O1034" t="s">
        <v>28</v>
      </c>
      <c r="Q1034" t="s">
        <v>29</v>
      </c>
      <c r="R1034" t="s">
        <v>28</v>
      </c>
      <c r="S1034" t="s">
        <v>4722</v>
      </c>
      <c r="T1034" t="s">
        <v>4723</v>
      </c>
      <c r="U1034" t="s">
        <v>4724</v>
      </c>
      <c r="W1034" t="s">
        <v>40</v>
      </c>
      <c r="X1034" t="s">
        <v>34</v>
      </c>
      <c r="Y1034" t="str">
        <f>"774791825"</f>
        <v>774791825</v>
      </c>
    </row>
    <row r="1035" spans="1:25" x14ac:dyDescent="0.25">
      <c r="A1035" t="s">
        <v>4717</v>
      </c>
      <c r="B1035" t="s">
        <v>4718</v>
      </c>
      <c r="C1035">
        <v>2020</v>
      </c>
      <c r="D1035">
        <v>8001</v>
      </c>
      <c r="E1035">
        <v>39</v>
      </c>
      <c r="F1035" t="s">
        <v>4719</v>
      </c>
      <c r="G1035">
        <v>0</v>
      </c>
      <c r="J1035">
        <v>300</v>
      </c>
      <c r="L1035">
        <v>44219925</v>
      </c>
      <c r="M1035" s="1">
        <v>44147</v>
      </c>
      <c r="N1035" t="str">
        <f t="shared" si="0"/>
        <v>TE201112</v>
      </c>
      <c r="O1035" t="s">
        <v>28</v>
      </c>
      <c r="Q1035" t="s">
        <v>29</v>
      </c>
      <c r="R1035" t="s">
        <v>28</v>
      </c>
      <c r="S1035" t="s">
        <v>4720</v>
      </c>
      <c r="T1035" t="s">
        <v>4721</v>
      </c>
      <c r="U1035" t="s">
        <v>60</v>
      </c>
      <c r="V1035" t="s">
        <v>60</v>
      </c>
      <c r="W1035" t="s">
        <v>219</v>
      </c>
      <c r="X1035" t="s">
        <v>34</v>
      </c>
      <c r="Y1035" t="str">
        <f>"774791825   "</f>
        <v xml:space="preserve">774791825   </v>
      </c>
    </row>
    <row r="1036" spans="1:25" x14ac:dyDescent="0.25">
      <c r="A1036" t="s">
        <v>4725</v>
      </c>
      <c r="B1036" t="s">
        <v>4726</v>
      </c>
      <c r="C1036">
        <v>2020</v>
      </c>
      <c r="D1036">
        <v>8001</v>
      </c>
      <c r="E1036">
        <v>15</v>
      </c>
      <c r="F1036" t="s">
        <v>4727</v>
      </c>
      <c r="G1036">
        <v>0</v>
      </c>
      <c r="J1036">
        <v>419.17</v>
      </c>
      <c r="L1036">
        <v>47173383</v>
      </c>
      <c r="M1036" s="1">
        <v>44280</v>
      </c>
      <c r="N1036" t="str">
        <f>"EL210325"</f>
        <v>EL210325</v>
      </c>
      <c r="O1036" t="s">
        <v>28</v>
      </c>
      <c r="Q1036" t="s">
        <v>29</v>
      </c>
      <c r="R1036" t="s">
        <v>28</v>
      </c>
      <c r="S1036" t="s">
        <v>4727</v>
      </c>
      <c r="T1036" t="s">
        <v>4728</v>
      </c>
      <c r="U1036" t="s">
        <v>60</v>
      </c>
      <c r="V1036" t="s">
        <v>60</v>
      </c>
      <c r="W1036" t="s">
        <v>219</v>
      </c>
      <c r="X1036" t="s">
        <v>34</v>
      </c>
      <c r="Y1036" t="str">
        <f>"774791867   "</f>
        <v xml:space="preserve">774791867   </v>
      </c>
    </row>
    <row r="1037" spans="1:25" x14ac:dyDescent="0.25">
      <c r="A1037" t="s">
        <v>4729</v>
      </c>
      <c r="B1037" t="s">
        <v>4730</v>
      </c>
      <c r="C1037">
        <v>2020</v>
      </c>
      <c r="D1037">
        <v>8001</v>
      </c>
      <c r="E1037">
        <v>1</v>
      </c>
      <c r="F1037" t="s">
        <v>4731</v>
      </c>
      <c r="G1037">
        <v>30087223</v>
      </c>
      <c r="J1037">
        <v>74.23</v>
      </c>
      <c r="L1037">
        <v>47955640</v>
      </c>
      <c r="M1037" s="1">
        <v>44503</v>
      </c>
      <c r="N1037" t="str">
        <f>"EK211103"</f>
        <v>EK211103</v>
      </c>
      <c r="O1037" t="s">
        <v>28</v>
      </c>
      <c r="Q1037" t="s">
        <v>29</v>
      </c>
      <c r="R1037" t="s">
        <v>28</v>
      </c>
      <c r="S1037" t="s">
        <v>4732</v>
      </c>
      <c r="T1037" t="s">
        <v>4733</v>
      </c>
      <c r="W1037" t="s">
        <v>40</v>
      </c>
      <c r="X1037" t="s">
        <v>34</v>
      </c>
      <c r="Y1037" t="str">
        <f>"77478"</f>
        <v>77478</v>
      </c>
    </row>
    <row r="1038" spans="1:25" x14ac:dyDescent="0.25">
      <c r="A1038" t="s">
        <v>4734</v>
      </c>
      <c r="B1038" t="s">
        <v>4735</v>
      </c>
      <c r="C1038">
        <v>2020</v>
      </c>
      <c r="D1038">
        <v>8001</v>
      </c>
      <c r="E1038">
        <v>1</v>
      </c>
      <c r="F1038" t="s">
        <v>4736</v>
      </c>
      <c r="G1038">
        <v>29461937</v>
      </c>
      <c r="J1038">
        <v>411.44</v>
      </c>
      <c r="L1038">
        <v>46728937</v>
      </c>
      <c r="M1038" s="1">
        <v>44230</v>
      </c>
      <c r="N1038" t="str">
        <f>"EK210203"</f>
        <v>EK210203</v>
      </c>
      <c r="O1038" t="s">
        <v>28</v>
      </c>
      <c r="Q1038" t="s">
        <v>29</v>
      </c>
      <c r="R1038" t="s">
        <v>28</v>
      </c>
      <c r="S1038" t="s">
        <v>4737</v>
      </c>
      <c r="T1038" t="s">
        <v>4738</v>
      </c>
      <c r="W1038" t="s">
        <v>392</v>
      </c>
      <c r="X1038" t="s">
        <v>34</v>
      </c>
      <c r="Y1038" t="str">
        <f>"77459"</f>
        <v>77459</v>
      </c>
    </row>
    <row r="1039" spans="1:25" x14ac:dyDescent="0.25">
      <c r="A1039" t="s">
        <v>4739</v>
      </c>
      <c r="B1039" t="s">
        <v>4740</v>
      </c>
      <c r="C1039">
        <v>2020</v>
      </c>
      <c r="D1039">
        <v>8001</v>
      </c>
      <c r="E1039">
        <v>1</v>
      </c>
      <c r="F1039" t="s">
        <v>4741</v>
      </c>
      <c r="G1039">
        <v>28858633</v>
      </c>
      <c r="J1039">
        <v>602.17999999999995</v>
      </c>
      <c r="L1039">
        <v>45073243</v>
      </c>
      <c r="M1039" s="1">
        <v>44168</v>
      </c>
      <c r="N1039" t="str">
        <f>"RC201217"</f>
        <v>RC201217</v>
      </c>
      <c r="O1039" t="s">
        <v>28</v>
      </c>
      <c r="Q1039" t="s">
        <v>29</v>
      </c>
      <c r="R1039" t="s">
        <v>28</v>
      </c>
      <c r="S1039" t="s">
        <v>1941</v>
      </c>
      <c r="T1039" t="s">
        <v>1942</v>
      </c>
      <c r="U1039" t="s">
        <v>4742</v>
      </c>
      <c r="W1039" t="s">
        <v>4743</v>
      </c>
      <c r="X1039" t="s">
        <v>34</v>
      </c>
      <c r="Y1039" t="str">
        <f>"750194786"</f>
        <v>750194786</v>
      </c>
    </row>
    <row r="1040" spans="1:25" x14ac:dyDescent="0.25">
      <c r="A1040" t="s">
        <v>4744</v>
      </c>
      <c r="B1040" t="s">
        <v>4745</v>
      </c>
      <c r="C1040">
        <v>2021</v>
      </c>
      <c r="D1040">
        <v>8001</v>
      </c>
      <c r="E1040">
        <v>2</v>
      </c>
      <c r="F1040" t="s">
        <v>4746</v>
      </c>
      <c r="G1040">
        <v>27217365</v>
      </c>
      <c r="J1040">
        <v>12.48</v>
      </c>
      <c r="L1040">
        <v>50019859</v>
      </c>
      <c r="M1040" s="1">
        <v>44596</v>
      </c>
      <c r="N1040" t="str">
        <f>"O220204I1"</f>
        <v>O220204I1</v>
      </c>
      <c r="O1040" t="s">
        <v>28</v>
      </c>
      <c r="Q1040" t="s">
        <v>29</v>
      </c>
      <c r="R1040" t="s">
        <v>28</v>
      </c>
      <c r="S1040" t="s">
        <v>4747</v>
      </c>
      <c r="T1040" t="s">
        <v>4748</v>
      </c>
      <c r="W1040" t="s">
        <v>2938</v>
      </c>
      <c r="X1040" t="s">
        <v>317</v>
      </c>
      <c r="Y1040" t="str">
        <f>"928065951"</f>
        <v>928065951</v>
      </c>
    </row>
    <row r="1041" spans="1:25" x14ac:dyDescent="0.25">
      <c r="A1041" t="s">
        <v>4749</v>
      </c>
      <c r="B1041" t="s">
        <v>4750</v>
      </c>
      <c r="C1041">
        <v>2021</v>
      </c>
      <c r="D1041">
        <v>8001</v>
      </c>
      <c r="E1041">
        <v>1</v>
      </c>
      <c r="F1041" t="s">
        <v>4751</v>
      </c>
      <c r="G1041">
        <v>22422276</v>
      </c>
      <c r="J1041">
        <v>581.64</v>
      </c>
      <c r="L1041">
        <v>50041373</v>
      </c>
      <c r="M1041" s="1">
        <v>44599</v>
      </c>
      <c r="N1041" t="str">
        <f>"RC220314"</f>
        <v>RC220314</v>
      </c>
      <c r="O1041" t="s">
        <v>28</v>
      </c>
      <c r="Q1041" t="s">
        <v>29</v>
      </c>
      <c r="R1041" t="s">
        <v>28</v>
      </c>
      <c r="S1041" t="s">
        <v>4752</v>
      </c>
      <c r="T1041" t="s">
        <v>4753</v>
      </c>
      <c r="W1041" t="s">
        <v>75</v>
      </c>
      <c r="X1041" t="s">
        <v>34</v>
      </c>
      <c r="Y1041" t="str">
        <f>"770777789"</f>
        <v>770777789</v>
      </c>
    </row>
    <row r="1042" spans="1:25" x14ac:dyDescent="0.25">
      <c r="A1042" t="s">
        <v>4754</v>
      </c>
      <c r="B1042" t="s">
        <v>4755</v>
      </c>
      <c r="C1042">
        <v>2020</v>
      </c>
      <c r="D1042">
        <v>8001</v>
      </c>
      <c r="E1042">
        <v>1</v>
      </c>
      <c r="F1042" t="s">
        <v>4756</v>
      </c>
      <c r="G1042">
        <v>29576648</v>
      </c>
      <c r="J1042" s="2">
        <v>2216.64</v>
      </c>
      <c r="L1042">
        <v>46685990</v>
      </c>
      <c r="M1042" s="1">
        <v>44229</v>
      </c>
      <c r="N1042" t="str">
        <f>"RC210301"</f>
        <v>RC210301</v>
      </c>
      <c r="O1042" t="s">
        <v>28</v>
      </c>
      <c r="Q1042" t="s">
        <v>29</v>
      </c>
      <c r="R1042" t="s">
        <v>28</v>
      </c>
      <c r="S1042" t="s">
        <v>1393</v>
      </c>
      <c r="T1042" t="s">
        <v>1394</v>
      </c>
      <c r="W1042" t="s">
        <v>1075</v>
      </c>
      <c r="X1042" t="s">
        <v>34</v>
      </c>
      <c r="Y1042" t="str">
        <f>"76177"</f>
        <v>76177</v>
      </c>
    </row>
    <row r="1043" spans="1:25" x14ac:dyDescent="0.25">
      <c r="A1043" t="s">
        <v>4757</v>
      </c>
      <c r="B1043" t="s">
        <v>4758</v>
      </c>
      <c r="C1043">
        <v>2021</v>
      </c>
      <c r="D1043">
        <v>8001</v>
      </c>
      <c r="E1043">
        <v>1</v>
      </c>
      <c r="F1043" t="s">
        <v>4759</v>
      </c>
      <c r="G1043">
        <v>30240764</v>
      </c>
      <c r="J1043" s="2">
        <v>1296.0899999999999</v>
      </c>
      <c r="L1043">
        <v>48228651</v>
      </c>
      <c r="M1043" s="1">
        <v>44530</v>
      </c>
      <c r="N1043" t="str">
        <f>"RC211222"</f>
        <v>RC211222</v>
      </c>
      <c r="O1043" t="s">
        <v>28</v>
      </c>
      <c r="Q1043" t="s">
        <v>29</v>
      </c>
      <c r="R1043" t="s">
        <v>28</v>
      </c>
      <c r="S1043" t="s">
        <v>4760</v>
      </c>
      <c r="T1043" t="s">
        <v>203</v>
      </c>
      <c r="U1043" t="s">
        <v>4761</v>
      </c>
      <c r="W1043" t="s">
        <v>4762</v>
      </c>
      <c r="X1043" t="s">
        <v>34</v>
      </c>
      <c r="Y1043" t="str">
        <f>"75001"</f>
        <v>75001</v>
      </c>
    </row>
    <row r="1044" spans="1:25" x14ac:dyDescent="0.25">
      <c r="A1044" t="s">
        <v>4763</v>
      </c>
      <c r="B1044" t="s">
        <v>4764</v>
      </c>
      <c r="C1044">
        <v>2020</v>
      </c>
      <c r="D1044">
        <v>8001</v>
      </c>
      <c r="E1044">
        <v>1</v>
      </c>
      <c r="F1044" t="s">
        <v>4765</v>
      </c>
      <c r="G1044">
        <v>29604578</v>
      </c>
      <c r="J1044">
        <v>20.29</v>
      </c>
      <c r="L1044">
        <v>47034760</v>
      </c>
      <c r="M1044" s="1">
        <v>44259</v>
      </c>
      <c r="N1044" t="str">
        <f>"CC210304"</f>
        <v>CC210304</v>
      </c>
      <c r="O1044" t="s">
        <v>28</v>
      </c>
      <c r="Q1044" t="s">
        <v>29</v>
      </c>
      <c r="R1044" t="s">
        <v>28</v>
      </c>
      <c r="S1044" t="s">
        <v>3907</v>
      </c>
      <c r="T1044" t="s">
        <v>3908</v>
      </c>
      <c r="W1044" t="s">
        <v>107</v>
      </c>
      <c r="X1044" t="s">
        <v>34</v>
      </c>
      <c r="Y1044" t="str">
        <f>"77494"</f>
        <v>77494</v>
      </c>
    </row>
    <row r="1045" spans="1:25" x14ac:dyDescent="0.25">
      <c r="A1045" t="s">
        <v>4766</v>
      </c>
      <c r="B1045" t="s">
        <v>4767</v>
      </c>
      <c r="C1045">
        <v>2020</v>
      </c>
      <c r="D1045">
        <v>8001</v>
      </c>
      <c r="E1045">
        <v>1</v>
      </c>
      <c r="F1045" t="s">
        <v>4765</v>
      </c>
      <c r="G1045">
        <v>29604579</v>
      </c>
      <c r="J1045">
        <v>11.66</v>
      </c>
      <c r="L1045">
        <v>47034761</v>
      </c>
      <c r="M1045" s="1">
        <v>44259</v>
      </c>
      <c r="N1045" t="str">
        <f>"CC210304"</f>
        <v>CC210304</v>
      </c>
      <c r="O1045" t="s">
        <v>28</v>
      </c>
      <c r="Q1045" t="s">
        <v>29</v>
      </c>
      <c r="R1045" t="s">
        <v>28</v>
      </c>
      <c r="S1045" t="s">
        <v>3907</v>
      </c>
      <c r="T1045" t="s">
        <v>3908</v>
      </c>
      <c r="W1045" t="s">
        <v>107</v>
      </c>
      <c r="X1045" t="s">
        <v>34</v>
      </c>
      <c r="Y1045" t="str">
        <f>"77494"</f>
        <v>77494</v>
      </c>
    </row>
    <row r="1046" spans="1:25" x14ac:dyDescent="0.25">
      <c r="A1046" t="s">
        <v>4768</v>
      </c>
      <c r="B1046" t="s">
        <v>4769</v>
      </c>
      <c r="C1046">
        <v>2020</v>
      </c>
      <c r="D1046">
        <v>8001</v>
      </c>
      <c r="E1046">
        <v>1</v>
      </c>
      <c r="F1046" t="s">
        <v>4770</v>
      </c>
      <c r="G1046">
        <v>29596094</v>
      </c>
      <c r="J1046">
        <v>239.14</v>
      </c>
      <c r="L1046">
        <v>47018863</v>
      </c>
      <c r="M1046" s="1">
        <v>44258</v>
      </c>
      <c r="N1046" t="str">
        <f>"EK210303"</f>
        <v>EK210303</v>
      </c>
      <c r="O1046" t="s">
        <v>28</v>
      </c>
      <c r="Q1046" t="s">
        <v>29</v>
      </c>
      <c r="R1046" t="s">
        <v>28</v>
      </c>
      <c r="S1046" t="s">
        <v>4771</v>
      </c>
      <c r="T1046" t="s">
        <v>4772</v>
      </c>
      <c r="W1046" t="s">
        <v>107</v>
      </c>
      <c r="X1046" t="s">
        <v>34</v>
      </c>
      <c r="Y1046" t="str">
        <f>"77494"</f>
        <v>77494</v>
      </c>
    </row>
    <row r="1047" spans="1:25" x14ac:dyDescent="0.25">
      <c r="A1047" t="s">
        <v>4773</v>
      </c>
      <c r="B1047" t="s">
        <v>4774</v>
      </c>
      <c r="C1047">
        <v>2021</v>
      </c>
      <c r="D1047">
        <v>8001</v>
      </c>
      <c r="E1047">
        <v>1</v>
      </c>
      <c r="F1047" t="s">
        <v>4775</v>
      </c>
      <c r="G1047">
        <v>26419208</v>
      </c>
      <c r="J1047">
        <v>509.84</v>
      </c>
      <c r="L1047">
        <v>48228658</v>
      </c>
      <c r="M1047" s="1">
        <v>44530</v>
      </c>
      <c r="N1047" t="str">
        <f>"RC211222"</f>
        <v>RC211222</v>
      </c>
      <c r="O1047" t="s">
        <v>28</v>
      </c>
      <c r="Q1047" t="s">
        <v>29</v>
      </c>
      <c r="R1047" t="s">
        <v>28</v>
      </c>
      <c r="S1047" t="s">
        <v>1073</v>
      </c>
      <c r="T1047" t="s">
        <v>1074</v>
      </c>
      <c r="W1047" t="s">
        <v>1075</v>
      </c>
      <c r="X1047" t="s">
        <v>34</v>
      </c>
      <c r="Y1047" t="str">
        <f>"76177"</f>
        <v>76177</v>
      </c>
    </row>
    <row r="1048" spans="1:25" x14ac:dyDescent="0.25">
      <c r="A1048" t="s">
        <v>4776</v>
      </c>
      <c r="B1048" t="s">
        <v>4777</v>
      </c>
      <c r="C1048">
        <v>2021</v>
      </c>
      <c r="D1048">
        <v>8001</v>
      </c>
      <c r="E1048">
        <v>1</v>
      </c>
      <c r="F1048" t="s">
        <v>4778</v>
      </c>
      <c r="G1048">
        <v>0</v>
      </c>
      <c r="J1048">
        <v>470.07</v>
      </c>
      <c r="L1048">
        <v>49657058</v>
      </c>
      <c r="M1048" s="1">
        <v>44589</v>
      </c>
      <c r="N1048" t="str">
        <f>"L220128"</f>
        <v>L220128</v>
      </c>
      <c r="O1048" t="s">
        <v>28</v>
      </c>
      <c r="Q1048" t="s">
        <v>29</v>
      </c>
      <c r="R1048" t="s">
        <v>28</v>
      </c>
      <c r="S1048" t="s">
        <v>4778</v>
      </c>
      <c r="T1048" t="s">
        <v>4779</v>
      </c>
      <c r="U1048" t="s">
        <v>60</v>
      </c>
      <c r="V1048" t="s">
        <v>60</v>
      </c>
      <c r="W1048" t="s">
        <v>1137</v>
      </c>
      <c r="X1048" t="s">
        <v>34</v>
      </c>
      <c r="Y1048" t="str">
        <f>"774940616   "</f>
        <v xml:space="preserve">774940616   </v>
      </c>
    </row>
    <row r="1049" spans="1:25" x14ac:dyDescent="0.25">
      <c r="A1049" t="s">
        <v>4780</v>
      </c>
      <c r="B1049" t="s">
        <v>4781</v>
      </c>
      <c r="C1049">
        <v>2020</v>
      </c>
      <c r="D1049">
        <v>8001</v>
      </c>
      <c r="E1049">
        <v>1</v>
      </c>
      <c r="F1049" t="s">
        <v>4782</v>
      </c>
      <c r="G1049">
        <v>0</v>
      </c>
      <c r="J1049">
        <v>426.83</v>
      </c>
      <c r="L1049">
        <v>44988549</v>
      </c>
      <c r="M1049" s="1">
        <v>44160</v>
      </c>
      <c r="N1049" t="str">
        <f>"J201125AE2"</f>
        <v>J201125AE2</v>
      </c>
      <c r="O1049" t="s">
        <v>28</v>
      </c>
      <c r="Q1049" t="s">
        <v>29</v>
      </c>
      <c r="R1049" t="s">
        <v>28</v>
      </c>
      <c r="S1049" t="s">
        <v>4782</v>
      </c>
      <c r="T1049" t="s">
        <v>4783</v>
      </c>
      <c r="U1049" t="s">
        <v>60</v>
      </c>
      <c r="V1049" t="s">
        <v>60</v>
      </c>
      <c r="W1049" t="s">
        <v>1137</v>
      </c>
      <c r="X1049" t="s">
        <v>34</v>
      </c>
      <c r="Y1049" t="str">
        <f>"774946673   "</f>
        <v xml:space="preserve">774946673   </v>
      </c>
    </row>
    <row r="1050" spans="1:25" x14ac:dyDescent="0.25">
      <c r="A1050" t="s">
        <v>4784</v>
      </c>
      <c r="B1050" t="s">
        <v>4785</v>
      </c>
      <c r="C1050">
        <v>2021</v>
      </c>
      <c r="D1050">
        <v>8001</v>
      </c>
      <c r="E1050">
        <v>1</v>
      </c>
      <c r="F1050" t="s">
        <v>4786</v>
      </c>
      <c r="G1050">
        <v>0</v>
      </c>
      <c r="J1050">
        <v>8.4</v>
      </c>
      <c r="L1050">
        <v>49498624</v>
      </c>
      <c r="M1050" s="1">
        <v>44586</v>
      </c>
      <c r="N1050" t="str">
        <f>"J220125BW6"</f>
        <v>J220125BW6</v>
      </c>
      <c r="O1050" t="s">
        <v>28</v>
      </c>
      <c r="Q1050" t="s">
        <v>29</v>
      </c>
      <c r="R1050" t="s">
        <v>28</v>
      </c>
      <c r="S1050" t="s">
        <v>4786</v>
      </c>
      <c r="T1050" t="s">
        <v>4787</v>
      </c>
      <c r="U1050" t="s">
        <v>60</v>
      </c>
      <c r="V1050" t="s">
        <v>60</v>
      </c>
      <c r="W1050" t="s">
        <v>214</v>
      </c>
      <c r="X1050" t="s">
        <v>34</v>
      </c>
      <c r="Y1050" t="str">
        <f>"774060424   "</f>
        <v xml:space="preserve">774060424   </v>
      </c>
    </row>
    <row r="1051" spans="1:25" x14ac:dyDescent="0.25">
      <c r="A1051" t="s">
        <v>4788</v>
      </c>
      <c r="B1051" t="s">
        <v>4789</v>
      </c>
      <c r="C1051">
        <v>2020</v>
      </c>
      <c r="D1051">
        <v>8001</v>
      </c>
      <c r="E1051">
        <v>2</v>
      </c>
      <c r="F1051" t="s">
        <v>4790</v>
      </c>
      <c r="G1051">
        <v>29596086</v>
      </c>
      <c r="J1051">
        <v>8.48</v>
      </c>
      <c r="L1051">
        <v>47018855</v>
      </c>
      <c r="M1051" s="1">
        <v>44258</v>
      </c>
      <c r="N1051" t="str">
        <f>"EK210303"</f>
        <v>EK210303</v>
      </c>
      <c r="O1051" t="s">
        <v>28</v>
      </c>
      <c r="Q1051" t="s">
        <v>29</v>
      </c>
      <c r="R1051" t="s">
        <v>28</v>
      </c>
      <c r="S1051" t="s">
        <v>4791</v>
      </c>
      <c r="T1051" t="s">
        <v>4792</v>
      </c>
      <c r="W1051" t="s">
        <v>392</v>
      </c>
      <c r="X1051" t="s">
        <v>34</v>
      </c>
      <c r="Y1051" t="str">
        <f>"77459"</f>
        <v>77459</v>
      </c>
    </row>
    <row r="1052" spans="1:25" x14ac:dyDescent="0.25">
      <c r="A1052" t="s">
        <v>4793</v>
      </c>
      <c r="B1052" t="s">
        <v>4794</v>
      </c>
      <c r="C1052">
        <v>2020</v>
      </c>
      <c r="D1052">
        <v>8001</v>
      </c>
      <c r="E1052">
        <v>1</v>
      </c>
      <c r="F1052" t="s">
        <v>4795</v>
      </c>
      <c r="G1052">
        <v>24761070</v>
      </c>
      <c r="J1052">
        <v>118.71</v>
      </c>
      <c r="L1052">
        <v>45223371</v>
      </c>
      <c r="M1052" s="1">
        <v>44176</v>
      </c>
      <c r="N1052" t="str">
        <f>"RC201217"</f>
        <v>RC201217</v>
      </c>
      <c r="O1052" t="s">
        <v>28</v>
      </c>
      <c r="Q1052" t="s">
        <v>29</v>
      </c>
      <c r="R1052" t="s">
        <v>28</v>
      </c>
      <c r="S1052" t="s">
        <v>3677</v>
      </c>
      <c r="T1052" t="s">
        <v>3625</v>
      </c>
      <c r="U1052" t="s">
        <v>4796</v>
      </c>
      <c r="W1052" t="s">
        <v>33</v>
      </c>
      <c r="X1052" t="s">
        <v>34</v>
      </c>
      <c r="Y1052" t="str">
        <f>"750758442"</f>
        <v>750758442</v>
      </c>
    </row>
    <row r="1053" spans="1:25" x14ac:dyDescent="0.25">
      <c r="A1053" t="s">
        <v>4797</v>
      </c>
      <c r="B1053" t="s">
        <v>4798</v>
      </c>
      <c r="C1053">
        <v>2021</v>
      </c>
      <c r="D1053">
        <v>8001</v>
      </c>
      <c r="E1053">
        <v>1</v>
      </c>
      <c r="F1053" t="s">
        <v>4799</v>
      </c>
      <c r="G1053">
        <v>30674834</v>
      </c>
      <c r="J1053">
        <v>846.53</v>
      </c>
      <c r="L1053">
        <v>48666679</v>
      </c>
      <c r="M1053" s="1">
        <v>44557</v>
      </c>
      <c r="N1053" t="str">
        <f>"RC220125"</f>
        <v>RC220125</v>
      </c>
      <c r="O1053" t="s">
        <v>28</v>
      </c>
      <c r="Q1053" t="s">
        <v>29</v>
      </c>
      <c r="R1053" t="s">
        <v>28</v>
      </c>
      <c r="S1053" t="s">
        <v>4800</v>
      </c>
      <c r="T1053" t="s">
        <v>4801</v>
      </c>
      <c r="W1053" t="s">
        <v>75</v>
      </c>
      <c r="X1053" t="s">
        <v>34</v>
      </c>
      <c r="Y1053" t="str">
        <f>"770773858"</f>
        <v>770773858</v>
      </c>
    </row>
    <row r="1054" spans="1:25" x14ac:dyDescent="0.25">
      <c r="A1054" t="s">
        <v>4802</v>
      </c>
      <c r="B1054" t="s">
        <v>4803</v>
      </c>
      <c r="C1054">
        <v>2020</v>
      </c>
      <c r="D1054">
        <v>8001</v>
      </c>
      <c r="E1054">
        <v>2</v>
      </c>
      <c r="F1054" t="s">
        <v>4804</v>
      </c>
      <c r="G1054">
        <v>25847079</v>
      </c>
      <c r="J1054">
        <v>51.35</v>
      </c>
      <c r="L1054">
        <v>47375289</v>
      </c>
      <c r="M1054" s="1">
        <v>44322</v>
      </c>
      <c r="N1054" t="str">
        <f>"RC210512"</f>
        <v>RC210512</v>
      </c>
      <c r="O1054" t="s">
        <v>28</v>
      </c>
      <c r="Q1054" t="s">
        <v>29</v>
      </c>
      <c r="R1054" t="s">
        <v>28</v>
      </c>
      <c r="S1054" t="s">
        <v>4805</v>
      </c>
      <c r="T1054" t="s">
        <v>1015</v>
      </c>
      <c r="W1054" t="s">
        <v>563</v>
      </c>
      <c r="X1054" t="s">
        <v>34</v>
      </c>
      <c r="Y1054" t="str">
        <f>"750630156"</f>
        <v>750630156</v>
      </c>
    </row>
    <row r="1055" spans="1:25" x14ac:dyDescent="0.25">
      <c r="A1055" t="s">
        <v>4806</v>
      </c>
      <c r="B1055" t="s">
        <v>4807</v>
      </c>
      <c r="C1055">
        <v>2019</v>
      </c>
      <c r="D1055">
        <v>8001</v>
      </c>
      <c r="E1055">
        <v>1</v>
      </c>
      <c r="F1055" t="s">
        <v>4808</v>
      </c>
      <c r="G1055">
        <v>27661131</v>
      </c>
      <c r="J1055">
        <v>19.25</v>
      </c>
      <c r="L1055">
        <v>42012017</v>
      </c>
      <c r="M1055" s="1">
        <v>43795</v>
      </c>
      <c r="N1055" t="str">
        <f>"J191126K5"</f>
        <v>J191126K5</v>
      </c>
      <c r="O1055" t="s">
        <v>28</v>
      </c>
      <c r="Q1055" t="s">
        <v>29</v>
      </c>
      <c r="R1055" t="s">
        <v>28</v>
      </c>
      <c r="S1055" t="s">
        <v>341</v>
      </c>
      <c r="T1055" t="s">
        <v>4809</v>
      </c>
      <c r="W1055" t="s">
        <v>4810</v>
      </c>
      <c r="X1055" t="s">
        <v>264</v>
      </c>
      <c r="Y1055" t="str">
        <f>"63102"</f>
        <v>63102</v>
      </c>
    </row>
    <row r="1056" spans="1:25" x14ac:dyDescent="0.25">
      <c r="A1056" t="s">
        <v>4811</v>
      </c>
      <c r="B1056" t="s">
        <v>4812</v>
      </c>
      <c r="C1056">
        <v>2019</v>
      </c>
      <c r="D1056">
        <v>8001</v>
      </c>
      <c r="E1056">
        <v>1</v>
      </c>
      <c r="F1056" t="s">
        <v>4813</v>
      </c>
      <c r="G1056">
        <v>0</v>
      </c>
      <c r="J1056">
        <v>71.11</v>
      </c>
      <c r="L1056">
        <v>43889242</v>
      </c>
      <c r="M1056" s="1">
        <v>43895</v>
      </c>
      <c r="N1056" t="str">
        <f>"O200305AB1"</f>
        <v>O200305AB1</v>
      </c>
      <c r="O1056" t="s">
        <v>28</v>
      </c>
      <c r="Q1056" t="s">
        <v>29</v>
      </c>
      <c r="R1056" t="s">
        <v>28</v>
      </c>
      <c r="S1056" t="s">
        <v>4813</v>
      </c>
      <c r="T1056" t="s">
        <v>4814</v>
      </c>
      <c r="U1056" t="s">
        <v>60</v>
      </c>
      <c r="V1056" t="s">
        <v>60</v>
      </c>
      <c r="W1056" t="s">
        <v>4815</v>
      </c>
      <c r="X1056" t="s">
        <v>34</v>
      </c>
      <c r="Y1056" t="str">
        <f>"775841899   "</f>
        <v xml:space="preserve">775841899   </v>
      </c>
    </row>
    <row r="1057" spans="1:25" x14ac:dyDescent="0.25">
      <c r="A1057" t="s">
        <v>4816</v>
      </c>
      <c r="B1057" t="s">
        <v>4817</v>
      </c>
      <c r="C1057">
        <v>2019</v>
      </c>
      <c r="D1057">
        <v>8001</v>
      </c>
      <c r="E1057">
        <v>2</v>
      </c>
      <c r="F1057" t="s">
        <v>4818</v>
      </c>
      <c r="G1057">
        <v>28310306</v>
      </c>
      <c r="J1057">
        <v>43.03</v>
      </c>
      <c r="L1057">
        <v>43887127</v>
      </c>
      <c r="M1057" s="1">
        <v>43895</v>
      </c>
      <c r="N1057" t="str">
        <f>"CC200305"</f>
        <v>CC200305</v>
      </c>
      <c r="O1057" t="s">
        <v>28</v>
      </c>
      <c r="Q1057" t="s">
        <v>29</v>
      </c>
      <c r="R1057" t="s">
        <v>28</v>
      </c>
      <c r="S1057" t="s">
        <v>4819</v>
      </c>
      <c r="T1057" t="s">
        <v>4820</v>
      </c>
      <c r="W1057" t="s">
        <v>586</v>
      </c>
      <c r="X1057" t="s">
        <v>34</v>
      </c>
      <c r="Y1057" t="str">
        <f>"77584"</f>
        <v>77584</v>
      </c>
    </row>
    <row r="1058" spans="1:25" x14ac:dyDescent="0.25">
      <c r="A1058" t="s">
        <v>4821</v>
      </c>
      <c r="B1058" t="s">
        <v>4822</v>
      </c>
      <c r="C1058">
        <v>2020</v>
      </c>
      <c r="D1058">
        <v>8001</v>
      </c>
      <c r="E1058">
        <v>1</v>
      </c>
      <c r="F1058" t="s">
        <v>4823</v>
      </c>
      <c r="G1058">
        <v>26685768</v>
      </c>
      <c r="J1058">
        <v>48.68</v>
      </c>
      <c r="L1058">
        <v>47513817</v>
      </c>
      <c r="M1058" s="1">
        <v>44356</v>
      </c>
      <c r="N1058" t="str">
        <f>"RC210616"</f>
        <v>RC210616</v>
      </c>
      <c r="O1058" t="s">
        <v>28</v>
      </c>
      <c r="Q1058" t="s">
        <v>29</v>
      </c>
      <c r="R1058" t="s">
        <v>28</v>
      </c>
      <c r="S1058" t="s">
        <v>4824</v>
      </c>
      <c r="T1058" t="s">
        <v>2550</v>
      </c>
      <c r="W1058" t="s">
        <v>2551</v>
      </c>
      <c r="X1058" t="s">
        <v>317</v>
      </c>
      <c r="Y1058" t="str">
        <f>"90620"</f>
        <v>90620</v>
      </c>
    </row>
    <row r="1059" spans="1:25" x14ac:dyDescent="0.25">
      <c r="A1059" t="s">
        <v>4825</v>
      </c>
      <c r="B1059" t="s">
        <v>4826</v>
      </c>
      <c r="C1059">
        <v>2019</v>
      </c>
      <c r="D1059">
        <v>8001</v>
      </c>
      <c r="E1059">
        <v>1</v>
      </c>
      <c r="F1059" t="s">
        <v>4827</v>
      </c>
      <c r="G1059">
        <v>0</v>
      </c>
      <c r="J1059">
        <v>31</v>
      </c>
      <c r="L1059">
        <v>43705012</v>
      </c>
      <c r="M1059" s="1">
        <v>43872</v>
      </c>
      <c r="N1059" t="str">
        <f>"J200211AW5"</f>
        <v>J200211AW5</v>
      </c>
      <c r="O1059" t="s">
        <v>28</v>
      </c>
      <c r="Q1059" t="s">
        <v>29</v>
      </c>
      <c r="R1059" t="s">
        <v>28</v>
      </c>
      <c r="S1059" t="s">
        <v>4827</v>
      </c>
      <c r="T1059" t="s">
        <v>4828</v>
      </c>
      <c r="U1059" t="s">
        <v>60</v>
      </c>
      <c r="V1059" t="s">
        <v>60</v>
      </c>
      <c r="W1059" t="s">
        <v>4815</v>
      </c>
      <c r="X1059" t="s">
        <v>34</v>
      </c>
      <c r="Y1059" t="str">
        <f>"775841582   "</f>
        <v xml:space="preserve">775841582   </v>
      </c>
    </row>
    <row r="1060" spans="1:25" x14ac:dyDescent="0.25">
      <c r="A1060" t="s">
        <v>4829</v>
      </c>
      <c r="B1060" t="s">
        <v>4830</v>
      </c>
      <c r="C1060">
        <v>2018</v>
      </c>
      <c r="D1060">
        <v>8001</v>
      </c>
      <c r="E1060">
        <v>3</v>
      </c>
      <c r="F1060" t="s">
        <v>4831</v>
      </c>
      <c r="G1060">
        <v>27546560</v>
      </c>
      <c r="J1060">
        <v>271.97000000000003</v>
      </c>
      <c r="L1060">
        <v>41546959</v>
      </c>
      <c r="M1060" s="1">
        <v>43721</v>
      </c>
      <c r="N1060" t="str">
        <f>"J190913AW3"</f>
        <v>J190913AW3</v>
      </c>
      <c r="O1060" t="s">
        <v>28</v>
      </c>
      <c r="Q1060" t="s">
        <v>29</v>
      </c>
      <c r="R1060" t="s">
        <v>28</v>
      </c>
      <c r="S1060" t="s">
        <v>4832</v>
      </c>
      <c r="T1060" t="s">
        <v>4833</v>
      </c>
      <c r="W1060" t="s">
        <v>75</v>
      </c>
      <c r="X1060" t="s">
        <v>34</v>
      </c>
      <c r="Y1060" t="str">
        <f>"77036"</f>
        <v>77036</v>
      </c>
    </row>
    <row r="1061" spans="1:25" x14ac:dyDescent="0.25">
      <c r="A1061" t="s">
        <v>4834</v>
      </c>
      <c r="B1061" t="s">
        <v>4835</v>
      </c>
      <c r="C1061">
        <v>2019</v>
      </c>
      <c r="D1061">
        <v>8001</v>
      </c>
      <c r="E1061">
        <v>1</v>
      </c>
      <c r="F1061" t="s">
        <v>4836</v>
      </c>
      <c r="G1061">
        <v>28114790</v>
      </c>
      <c r="J1061">
        <v>74.540000000000006</v>
      </c>
      <c r="L1061">
        <v>43466557</v>
      </c>
      <c r="M1061" s="1">
        <v>43861</v>
      </c>
      <c r="N1061" t="str">
        <f>"O200131BQ7"</f>
        <v>O200131BQ7</v>
      </c>
      <c r="O1061" t="s">
        <v>28</v>
      </c>
      <c r="Q1061" t="s">
        <v>29</v>
      </c>
      <c r="R1061" t="s">
        <v>28</v>
      </c>
      <c r="S1061" t="s">
        <v>3595</v>
      </c>
      <c r="T1061" t="s">
        <v>203</v>
      </c>
      <c r="U1061" t="s">
        <v>4837</v>
      </c>
      <c r="W1061" t="s">
        <v>586</v>
      </c>
      <c r="X1061" t="s">
        <v>34</v>
      </c>
      <c r="Y1061" t="str">
        <f>"775843777"</f>
        <v>775843777</v>
      </c>
    </row>
    <row r="1062" spans="1:25" x14ac:dyDescent="0.25">
      <c r="A1062" t="s">
        <v>4838</v>
      </c>
      <c r="B1062" t="s">
        <v>4839</v>
      </c>
      <c r="C1062">
        <v>2020</v>
      </c>
      <c r="D1062">
        <v>8001</v>
      </c>
      <c r="E1062">
        <v>1</v>
      </c>
      <c r="F1062" t="s">
        <v>4840</v>
      </c>
      <c r="G1062">
        <v>29135325</v>
      </c>
      <c r="J1062" s="2">
        <v>2107.3000000000002</v>
      </c>
      <c r="L1062">
        <v>45712757</v>
      </c>
      <c r="M1062" s="1">
        <v>44201</v>
      </c>
      <c r="N1062" t="str">
        <f>"RC210120"</f>
        <v>RC210120</v>
      </c>
      <c r="O1062" t="s">
        <v>28</v>
      </c>
      <c r="Q1062" t="s">
        <v>29</v>
      </c>
      <c r="R1062" t="s">
        <v>28</v>
      </c>
      <c r="S1062" t="s">
        <v>30</v>
      </c>
      <c r="T1062" t="s">
        <v>4841</v>
      </c>
      <c r="U1062" t="s">
        <v>4842</v>
      </c>
      <c r="W1062" t="s">
        <v>1371</v>
      </c>
      <c r="X1062" t="s">
        <v>34</v>
      </c>
      <c r="Y1062" t="str">
        <f>"75034"</f>
        <v>75034</v>
      </c>
    </row>
    <row r="1063" spans="1:25" x14ac:dyDescent="0.25">
      <c r="A1063" t="s">
        <v>4843</v>
      </c>
      <c r="B1063" t="s">
        <v>4844</v>
      </c>
      <c r="C1063">
        <v>2018</v>
      </c>
      <c r="D1063">
        <v>8001</v>
      </c>
      <c r="E1063">
        <v>2</v>
      </c>
      <c r="F1063" t="s">
        <v>4845</v>
      </c>
      <c r="G1063">
        <v>27474582</v>
      </c>
      <c r="J1063">
        <v>55.87</v>
      </c>
      <c r="L1063">
        <v>41389992</v>
      </c>
      <c r="M1063" s="1">
        <v>43656</v>
      </c>
      <c r="N1063" t="str">
        <f>"J190710K4"</f>
        <v>J190710K4</v>
      </c>
      <c r="O1063" t="s">
        <v>28</v>
      </c>
      <c r="Q1063" t="s">
        <v>29</v>
      </c>
      <c r="R1063" t="s">
        <v>28</v>
      </c>
      <c r="S1063" t="s">
        <v>1326</v>
      </c>
      <c r="T1063" t="s">
        <v>1685</v>
      </c>
      <c r="U1063" t="s">
        <v>1327</v>
      </c>
      <c r="W1063" t="s">
        <v>1328</v>
      </c>
      <c r="X1063" t="s">
        <v>162</v>
      </c>
      <c r="Y1063" t="str">
        <f>"08054"</f>
        <v>08054</v>
      </c>
    </row>
    <row r="1064" spans="1:25" x14ac:dyDescent="0.25">
      <c r="A1064" t="s">
        <v>4846</v>
      </c>
      <c r="B1064" t="s">
        <v>4847</v>
      </c>
      <c r="C1064">
        <v>2019</v>
      </c>
      <c r="D1064">
        <v>8001</v>
      </c>
      <c r="E1064">
        <v>2</v>
      </c>
      <c r="F1064" t="s">
        <v>4848</v>
      </c>
      <c r="G1064">
        <v>25106988</v>
      </c>
      <c r="J1064">
        <v>233.77</v>
      </c>
      <c r="L1064">
        <v>43907992</v>
      </c>
      <c r="M1064" s="1">
        <v>43899</v>
      </c>
      <c r="N1064" t="str">
        <f>"J200309AW2"</f>
        <v>J200309AW2</v>
      </c>
      <c r="O1064" t="s">
        <v>28</v>
      </c>
      <c r="Q1064" t="s">
        <v>29</v>
      </c>
      <c r="R1064" t="s">
        <v>28</v>
      </c>
      <c r="S1064" t="s">
        <v>1326</v>
      </c>
      <c r="T1064" t="s">
        <v>3805</v>
      </c>
      <c r="W1064" t="s">
        <v>1328</v>
      </c>
      <c r="X1064" t="s">
        <v>162</v>
      </c>
      <c r="Y1064" t="str">
        <f>"06054"</f>
        <v>06054</v>
      </c>
    </row>
    <row r="1065" spans="1:25" x14ac:dyDescent="0.25">
      <c r="A1065" t="s">
        <v>4849</v>
      </c>
      <c r="B1065" t="s">
        <v>4850</v>
      </c>
      <c r="C1065">
        <v>2020</v>
      </c>
      <c r="D1065">
        <v>8001</v>
      </c>
      <c r="E1065">
        <v>1</v>
      </c>
      <c r="F1065" t="s">
        <v>4851</v>
      </c>
      <c r="G1065">
        <v>29489453</v>
      </c>
      <c r="J1065">
        <v>325.37</v>
      </c>
      <c r="L1065">
        <v>46782152</v>
      </c>
      <c r="M1065" s="1">
        <v>44231</v>
      </c>
      <c r="N1065" t="str">
        <f>"CC210204"</f>
        <v>CC210204</v>
      </c>
      <c r="O1065" t="s">
        <v>28</v>
      </c>
      <c r="Q1065" t="s">
        <v>29</v>
      </c>
      <c r="R1065" t="s">
        <v>28</v>
      </c>
      <c r="S1065" t="s">
        <v>4852</v>
      </c>
      <c r="T1065" t="s">
        <v>4853</v>
      </c>
      <c r="W1065" t="s">
        <v>40</v>
      </c>
      <c r="X1065" t="s">
        <v>34</v>
      </c>
      <c r="Y1065" t="str">
        <f>"77479"</f>
        <v>77479</v>
      </c>
    </row>
    <row r="1066" spans="1:25" x14ac:dyDescent="0.25">
      <c r="A1066" t="s">
        <v>4854</v>
      </c>
      <c r="B1066" t="s">
        <v>4855</v>
      </c>
      <c r="C1066">
        <v>2021</v>
      </c>
      <c r="D1066">
        <v>8001</v>
      </c>
      <c r="E1066">
        <v>3</v>
      </c>
      <c r="F1066" t="s">
        <v>4856</v>
      </c>
      <c r="G1066">
        <v>0</v>
      </c>
      <c r="J1066">
        <v>922.79</v>
      </c>
      <c r="L1066">
        <v>48906472</v>
      </c>
      <c r="M1066" s="1">
        <v>44565</v>
      </c>
      <c r="N1066" t="str">
        <f>"J220104BW7"</f>
        <v>J220104BW7</v>
      </c>
      <c r="O1066" t="s">
        <v>28</v>
      </c>
      <c r="Q1066" t="s">
        <v>29</v>
      </c>
      <c r="R1066" t="s">
        <v>28</v>
      </c>
      <c r="S1066" t="s">
        <v>4856</v>
      </c>
      <c r="T1066" t="s">
        <v>4857</v>
      </c>
      <c r="U1066" t="s">
        <v>60</v>
      </c>
      <c r="V1066" t="s">
        <v>60</v>
      </c>
      <c r="W1066" t="s">
        <v>721</v>
      </c>
      <c r="X1066" t="s">
        <v>34</v>
      </c>
      <c r="Y1066" t="str">
        <f>"775833739   "</f>
        <v xml:space="preserve">775833739   </v>
      </c>
    </row>
    <row r="1067" spans="1:25" x14ac:dyDescent="0.25">
      <c r="A1067" t="s">
        <v>4858</v>
      </c>
      <c r="B1067" t="s">
        <v>4859</v>
      </c>
      <c r="C1067">
        <v>2020</v>
      </c>
      <c r="D1067">
        <v>8001</v>
      </c>
      <c r="E1067">
        <v>1</v>
      </c>
      <c r="F1067" t="s">
        <v>4860</v>
      </c>
      <c r="G1067">
        <v>0</v>
      </c>
      <c r="J1067">
        <v>320.17</v>
      </c>
      <c r="L1067">
        <v>46159605</v>
      </c>
      <c r="M1067" s="1">
        <v>44217</v>
      </c>
      <c r="N1067" t="str">
        <f>"J210121K5"</f>
        <v>J210121K5</v>
      </c>
      <c r="O1067" t="s">
        <v>28</v>
      </c>
      <c r="Q1067" t="s">
        <v>29</v>
      </c>
      <c r="R1067" t="s">
        <v>28</v>
      </c>
      <c r="S1067" t="s">
        <v>4860</v>
      </c>
      <c r="T1067" t="s">
        <v>4861</v>
      </c>
      <c r="U1067" t="s">
        <v>60</v>
      </c>
      <c r="V1067" t="s">
        <v>60</v>
      </c>
      <c r="W1067" t="s">
        <v>1333</v>
      </c>
      <c r="X1067" t="s">
        <v>34</v>
      </c>
      <c r="Y1067" t="str">
        <f>"774594087   "</f>
        <v xml:space="preserve">774594087   </v>
      </c>
    </row>
    <row r="1068" spans="1:25" x14ac:dyDescent="0.25">
      <c r="A1068" t="s">
        <v>4862</v>
      </c>
      <c r="B1068" t="s">
        <v>4863</v>
      </c>
      <c r="C1068">
        <v>2020</v>
      </c>
      <c r="D1068">
        <v>8001</v>
      </c>
      <c r="E1068">
        <v>2</v>
      </c>
      <c r="F1068" t="s">
        <v>4864</v>
      </c>
      <c r="G1068">
        <v>22141071</v>
      </c>
      <c r="J1068">
        <v>31.78</v>
      </c>
      <c r="L1068">
        <v>47203668</v>
      </c>
      <c r="M1068" s="1">
        <v>44285</v>
      </c>
      <c r="N1068" t="str">
        <f>"RC210414"</f>
        <v>RC210414</v>
      </c>
      <c r="O1068" t="s">
        <v>28</v>
      </c>
      <c r="Q1068" t="s">
        <v>29</v>
      </c>
      <c r="R1068" t="s">
        <v>28</v>
      </c>
      <c r="S1068" t="s">
        <v>1454</v>
      </c>
      <c r="T1068" t="s">
        <v>2653</v>
      </c>
      <c r="U1068" t="s">
        <v>1455</v>
      </c>
      <c r="W1068" t="s">
        <v>1456</v>
      </c>
      <c r="X1068" t="s">
        <v>1457</v>
      </c>
      <c r="Y1068" t="str">
        <f>"234504968"</f>
        <v>234504968</v>
      </c>
    </row>
    <row r="1069" spans="1:25" x14ac:dyDescent="0.25">
      <c r="A1069" t="s">
        <v>4865</v>
      </c>
      <c r="B1069" t="s">
        <v>4866</v>
      </c>
      <c r="C1069">
        <v>2020</v>
      </c>
      <c r="D1069">
        <v>8001</v>
      </c>
      <c r="E1069">
        <v>1</v>
      </c>
      <c r="F1069" t="s">
        <v>4867</v>
      </c>
      <c r="G1069">
        <v>24111646</v>
      </c>
      <c r="J1069" s="2">
        <v>1610.09</v>
      </c>
      <c r="L1069">
        <v>45401604</v>
      </c>
      <c r="M1069" s="1">
        <v>44187</v>
      </c>
      <c r="N1069" t="str">
        <f>"RC201231"</f>
        <v>RC201231</v>
      </c>
      <c r="O1069" t="s">
        <v>28</v>
      </c>
      <c r="Q1069" t="s">
        <v>29</v>
      </c>
      <c r="R1069" t="s">
        <v>28</v>
      </c>
      <c r="S1069" t="s">
        <v>3677</v>
      </c>
      <c r="T1069" t="s">
        <v>3625</v>
      </c>
      <c r="U1069" t="s">
        <v>4796</v>
      </c>
      <c r="W1069" t="s">
        <v>33</v>
      </c>
      <c r="X1069" t="s">
        <v>34</v>
      </c>
      <c r="Y1069" t="str">
        <f>"750758442"</f>
        <v>750758442</v>
      </c>
    </row>
    <row r="1070" spans="1:25" x14ac:dyDescent="0.25">
      <c r="A1070" t="s">
        <v>4868</v>
      </c>
      <c r="B1070" t="s">
        <v>4869</v>
      </c>
      <c r="C1070">
        <v>2020</v>
      </c>
      <c r="D1070">
        <v>8001</v>
      </c>
      <c r="E1070">
        <v>2</v>
      </c>
      <c r="F1070" t="s">
        <v>4870</v>
      </c>
      <c r="G1070">
        <v>203294</v>
      </c>
      <c r="J1070">
        <v>18.73</v>
      </c>
      <c r="L1070">
        <v>47724234</v>
      </c>
      <c r="M1070" s="1">
        <v>44439</v>
      </c>
      <c r="N1070" t="str">
        <f>"RC210915"</f>
        <v>RC210915</v>
      </c>
      <c r="O1070" t="s">
        <v>28</v>
      </c>
      <c r="Q1070" t="s">
        <v>29</v>
      </c>
      <c r="R1070" t="s">
        <v>28</v>
      </c>
      <c r="S1070" t="s">
        <v>1454</v>
      </c>
      <c r="T1070" t="s">
        <v>1455</v>
      </c>
      <c r="W1070" t="s">
        <v>1456</v>
      </c>
      <c r="X1070" t="s">
        <v>1457</v>
      </c>
      <c r="Y1070" t="str">
        <f>"234508068"</f>
        <v>234508068</v>
      </c>
    </row>
    <row r="1071" spans="1:25" x14ac:dyDescent="0.25">
      <c r="A1071" t="s">
        <v>4871</v>
      </c>
      <c r="B1071" t="s">
        <v>4872</v>
      </c>
      <c r="C1071">
        <v>2020</v>
      </c>
      <c r="D1071">
        <v>8001</v>
      </c>
      <c r="E1071">
        <v>2</v>
      </c>
      <c r="F1071" t="s">
        <v>4873</v>
      </c>
      <c r="G1071">
        <v>0</v>
      </c>
      <c r="J1071">
        <v>28.12</v>
      </c>
      <c r="L1071">
        <v>46915745</v>
      </c>
      <c r="M1071" s="1">
        <v>44239</v>
      </c>
      <c r="N1071" t="str">
        <f>"L210212"</f>
        <v>L210212</v>
      </c>
      <c r="O1071" t="s">
        <v>28</v>
      </c>
      <c r="Q1071" t="s">
        <v>29</v>
      </c>
      <c r="R1071" t="s">
        <v>28</v>
      </c>
      <c r="S1071" t="s">
        <v>4873</v>
      </c>
      <c r="T1071" t="s">
        <v>4874</v>
      </c>
      <c r="U1071" t="s">
        <v>60</v>
      </c>
      <c r="V1071" t="s">
        <v>60</v>
      </c>
      <c r="W1071" t="s">
        <v>721</v>
      </c>
      <c r="X1071" t="s">
        <v>34</v>
      </c>
      <c r="Y1071" t="str">
        <f>"77583       "</f>
        <v xml:space="preserve">77583       </v>
      </c>
    </row>
    <row r="1072" spans="1:25" x14ac:dyDescent="0.25">
      <c r="A1072" t="s">
        <v>4875</v>
      </c>
      <c r="B1072" t="s">
        <v>4876</v>
      </c>
      <c r="C1072">
        <v>2021</v>
      </c>
      <c r="D1072">
        <v>8001</v>
      </c>
      <c r="E1072">
        <v>2</v>
      </c>
      <c r="F1072" t="s">
        <v>4877</v>
      </c>
      <c r="G1072">
        <v>31128610</v>
      </c>
      <c r="J1072">
        <v>8.3000000000000007</v>
      </c>
      <c r="L1072">
        <v>50067371</v>
      </c>
      <c r="M1072" s="1">
        <v>44599</v>
      </c>
      <c r="N1072" t="str">
        <f>"RC220314"</f>
        <v>RC220314</v>
      </c>
      <c r="O1072" t="s">
        <v>28</v>
      </c>
      <c r="Q1072" t="s">
        <v>29</v>
      </c>
      <c r="R1072" t="s">
        <v>28</v>
      </c>
      <c r="S1072" t="s">
        <v>4878</v>
      </c>
      <c r="T1072" t="s">
        <v>4879</v>
      </c>
      <c r="U1072" t="s">
        <v>4880</v>
      </c>
      <c r="W1072" t="s">
        <v>371</v>
      </c>
      <c r="X1072" t="s">
        <v>34</v>
      </c>
      <c r="Y1072" t="str">
        <f>"774776924"</f>
        <v>774776924</v>
      </c>
    </row>
    <row r="1073" spans="1:25" x14ac:dyDescent="0.25">
      <c r="A1073" t="s">
        <v>4881</v>
      </c>
      <c r="B1073" t="s">
        <v>4882</v>
      </c>
      <c r="C1073">
        <v>2020</v>
      </c>
      <c r="D1073">
        <v>8001</v>
      </c>
      <c r="E1073">
        <v>1</v>
      </c>
      <c r="F1073" t="s">
        <v>4883</v>
      </c>
      <c r="G1073">
        <v>25988323</v>
      </c>
      <c r="J1073">
        <v>5.3</v>
      </c>
      <c r="L1073">
        <v>45422286</v>
      </c>
      <c r="M1073" s="1">
        <v>44187</v>
      </c>
      <c r="N1073" t="str">
        <f>"RC201231"</f>
        <v>RC201231</v>
      </c>
      <c r="O1073" t="s">
        <v>28</v>
      </c>
      <c r="Q1073" t="s">
        <v>29</v>
      </c>
      <c r="R1073" t="s">
        <v>28</v>
      </c>
      <c r="S1073" t="s">
        <v>4884</v>
      </c>
      <c r="T1073" t="s">
        <v>4885</v>
      </c>
      <c r="W1073" t="s">
        <v>107</v>
      </c>
      <c r="X1073" t="s">
        <v>34</v>
      </c>
      <c r="Y1073" t="str">
        <f>"77449"</f>
        <v>77449</v>
      </c>
    </row>
    <row r="1074" spans="1:25" x14ac:dyDescent="0.25">
      <c r="A1074" t="s">
        <v>4886</v>
      </c>
      <c r="B1074" t="s">
        <v>4887</v>
      </c>
      <c r="C1074">
        <v>2021</v>
      </c>
      <c r="D1074">
        <v>8001</v>
      </c>
      <c r="E1074">
        <v>4</v>
      </c>
      <c r="F1074" t="s">
        <v>4883</v>
      </c>
      <c r="G1074">
        <v>31106828</v>
      </c>
      <c r="J1074">
        <v>575.76</v>
      </c>
      <c r="L1074">
        <v>49967849</v>
      </c>
      <c r="M1074" s="1">
        <v>44595</v>
      </c>
      <c r="N1074" t="str">
        <f>"RC220307"</f>
        <v>RC220307</v>
      </c>
      <c r="O1074" t="s">
        <v>28</v>
      </c>
      <c r="Q1074" t="s">
        <v>29</v>
      </c>
      <c r="R1074" t="s">
        <v>28</v>
      </c>
      <c r="S1074" t="s">
        <v>4884</v>
      </c>
      <c r="T1074" t="s">
        <v>4888</v>
      </c>
      <c r="W1074" t="s">
        <v>107</v>
      </c>
      <c r="X1074" t="s">
        <v>34</v>
      </c>
      <c r="Y1074" t="str">
        <f>"774491964"</f>
        <v>774491964</v>
      </c>
    </row>
    <row r="1075" spans="1:25" x14ac:dyDescent="0.25">
      <c r="A1075" t="s">
        <v>4889</v>
      </c>
      <c r="B1075" t="s">
        <v>4890</v>
      </c>
      <c r="C1075">
        <v>2020</v>
      </c>
      <c r="D1075">
        <v>8001</v>
      </c>
      <c r="E1075">
        <v>21</v>
      </c>
      <c r="F1075" t="s">
        <v>4891</v>
      </c>
      <c r="G1075">
        <v>0</v>
      </c>
      <c r="J1075">
        <v>410.86</v>
      </c>
      <c r="L1075">
        <v>44366386</v>
      </c>
      <c r="M1075" s="1">
        <v>44147</v>
      </c>
      <c r="N1075" t="str">
        <f>"TE201112"</f>
        <v>TE201112</v>
      </c>
      <c r="O1075" t="s">
        <v>28</v>
      </c>
      <c r="Q1075" t="s">
        <v>29</v>
      </c>
      <c r="R1075" t="s">
        <v>28</v>
      </c>
      <c r="S1075" t="s">
        <v>4891</v>
      </c>
      <c r="T1075" t="s">
        <v>4892</v>
      </c>
      <c r="U1075" t="s">
        <v>60</v>
      </c>
      <c r="V1075" t="s">
        <v>60</v>
      </c>
      <c r="W1075" t="s">
        <v>649</v>
      </c>
      <c r="X1075" t="s">
        <v>34</v>
      </c>
      <c r="Y1075" t="str">
        <f>"774716669   "</f>
        <v xml:space="preserve">774716669   </v>
      </c>
    </row>
    <row r="1076" spans="1:25" x14ac:dyDescent="0.25">
      <c r="A1076" t="s">
        <v>4893</v>
      </c>
      <c r="B1076" t="s">
        <v>4894</v>
      </c>
      <c r="C1076">
        <v>2020</v>
      </c>
      <c r="D1076">
        <v>8001</v>
      </c>
      <c r="E1076">
        <v>2</v>
      </c>
      <c r="F1076" t="s">
        <v>4895</v>
      </c>
      <c r="G1076">
        <v>28997741</v>
      </c>
      <c r="J1076">
        <v>9.16</v>
      </c>
      <c r="L1076">
        <v>45577164</v>
      </c>
      <c r="M1076" s="1">
        <v>44196</v>
      </c>
      <c r="N1076" t="str">
        <f>"CC201231"</f>
        <v>CC201231</v>
      </c>
      <c r="O1076" t="s">
        <v>28</v>
      </c>
      <c r="Q1076" t="s">
        <v>29</v>
      </c>
      <c r="R1076" t="s">
        <v>28</v>
      </c>
      <c r="S1076" t="s">
        <v>4896</v>
      </c>
      <c r="T1076" t="s">
        <v>4897</v>
      </c>
      <c r="W1076" t="s">
        <v>107</v>
      </c>
      <c r="X1076" t="s">
        <v>34</v>
      </c>
      <c r="Y1076" t="str">
        <f>"77494"</f>
        <v>77494</v>
      </c>
    </row>
    <row r="1077" spans="1:25" x14ac:dyDescent="0.25">
      <c r="A1077" t="s">
        <v>4898</v>
      </c>
      <c r="B1077" t="s">
        <v>4899</v>
      </c>
      <c r="C1077">
        <v>2020</v>
      </c>
      <c r="D1077">
        <v>8001</v>
      </c>
      <c r="E1077">
        <v>3</v>
      </c>
      <c r="F1077" t="s">
        <v>4900</v>
      </c>
      <c r="G1077">
        <v>29489524</v>
      </c>
      <c r="J1077" s="2">
        <v>3014.04</v>
      </c>
      <c r="L1077">
        <v>46782223</v>
      </c>
      <c r="M1077" s="1">
        <v>44231</v>
      </c>
      <c r="N1077" t="str">
        <f>"CC210204"</f>
        <v>CC210204</v>
      </c>
      <c r="O1077" t="s">
        <v>28</v>
      </c>
      <c r="Q1077" t="s">
        <v>29</v>
      </c>
      <c r="R1077" t="s">
        <v>28</v>
      </c>
      <c r="S1077" t="s">
        <v>4901</v>
      </c>
      <c r="T1077" t="s">
        <v>4902</v>
      </c>
      <c r="W1077" t="s">
        <v>75</v>
      </c>
      <c r="X1077" t="s">
        <v>34</v>
      </c>
      <c r="Y1077" t="str">
        <f>"77036"</f>
        <v>77036</v>
      </c>
    </row>
    <row r="1078" spans="1:25" x14ac:dyDescent="0.25">
      <c r="A1078" t="s">
        <v>4903</v>
      </c>
      <c r="B1078" t="s">
        <v>4904</v>
      </c>
      <c r="C1078">
        <v>2020</v>
      </c>
      <c r="D1078">
        <v>8001</v>
      </c>
      <c r="E1078">
        <v>1</v>
      </c>
      <c r="F1078" t="s">
        <v>4905</v>
      </c>
      <c r="G1078">
        <v>29596054</v>
      </c>
      <c r="J1078">
        <v>53.96</v>
      </c>
      <c r="L1078">
        <v>47018823</v>
      </c>
      <c r="M1078" s="1">
        <v>44258</v>
      </c>
      <c r="N1078" t="str">
        <f>"EK210303"</f>
        <v>EK210303</v>
      </c>
      <c r="O1078" t="s">
        <v>28</v>
      </c>
      <c r="Q1078" t="s">
        <v>29</v>
      </c>
      <c r="R1078" t="s">
        <v>28</v>
      </c>
      <c r="S1078" t="s">
        <v>4906</v>
      </c>
      <c r="T1078" t="s">
        <v>4907</v>
      </c>
      <c r="W1078" t="s">
        <v>392</v>
      </c>
      <c r="X1078" t="s">
        <v>34</v>
      </c>
      <c r="Y1078" t="str">
        <f>"77489"</f>
        <v>77489</v>
      </c>
    </row>
    <row r="1079" spans="1:25" x14ac:dyDescent="0.25">
      <c r="A1079" t="s">
        <v>4908</v>
      </c>
      <c r="B1079" t="s">
        <v>4909</v>
      </c>
      <c r="C1079">
        <v>2020</v>
      </c>
      <c r="D1079">
        <v>8001</v>
      </c>
      <c r="E1079">
        <v>1</v>
      </c>
      <c r="F1079" t="s">
        <v>4910</v>
      </c>
      <c r="G1079">
        <v>29461847</v>
      </c>
      <c r="J1079" s="2">
        <v>1809.34</v>
      </c>
      <c r="L1079">
        <v>46728847</v>
      </c>
      <c r="M1079" s="1">
        <v>44230</v>
      </c>
      <c r="N1079" t="str">
        <f>"EK210203"</f>
        <v>EK210203</v>
      </c>
      <c r="O1079" t="s">
        <v>28</v>
      </c>
      <c r="Q1079" t="s">
        <v>29</v>
      </c>
      <c r="R1079" t="s">
        <v>28</v>
      </c>
      <c r="S1079" t="s">
        <v>4911</v>
      </c>
      <c r="T1079" t="s">
        <v>4912</v>
      </c>
      <c r="W1079" t="s">
        <v>75</v>
      </c>
      <c r="X1079" t="s">
        <v>34</v>
      </c>
      <c r="Y1079" t="str">
        <f>"77066"</f>
        <v>77066</v>
      </c>
    </row>
    <row r="1080" spans="1:25" x14ac:dyDescent="0.25">
      <c r="A1080" t="s">
        <v>4913</v>
      </c>
      <c r="B1080" t="s">
        <v>4914</v>
      </c>
      <c r="C1080">
        <v>2019</v>
      </c>
      <c r="D1080">
        <v>8001</v>
      </c>
      <c r="E1080">
        <v>1</v>
      </c>
      <c r="F1080" t="s">
        <v>4915</v>
      </c>
      <c r="G1080">
        <v>25157308</v>
      </c>
      <c r="J1080">
        <v>31.15</v>
      </c>
      <c r="L1080">
        <v>43846118</v>
      </c>
      <c r="M1080" s="1">
        <v>43892</v>
      </c>
      <c r="N1080" t="str">
        <f>"O200302BK7"</f>
        <v>O200302BK7</v>
      </c>
      <c r="O1080" t="s">
        <v>28</v>
      </c>
      <c r="Q1080" t="s">
        <v>29</v>
      </c>
      <c r="R1080" t="s">
        <v>28</v>
      </c>
      <c r="S1080" t="s">
        <v>4916</v>
      </c>
      <c r="T1080" t="s">
        <v>4917</v>
      </c>
      <c r="W1080" t="s">
        <v>371</v>
      </c>
      <c r="X1080" t="s">
        <v>34</v>
      </c>
      <c r="Y1080" t="str">
        <f>"774774815"</f>
        <v>774774815</v>
      </c>
    </row>
    <row r="1081" spans="1:25" x14ac:dyDescent="0.25">
      <c r="A1081" t="s">
        <v>4918</v>
      </c>
      <c r="B1081" t="s">
        <v>4919</v>
      </c>
      <c r="C1081">
        <v>2020</v>
      </c>
      <c r="D1081">
        <v>8001</v>
      </c>
      <c r="E1081">
        <v>1</v>
      </c>
      <c r="F1081" t="s">
        <v>4920</v>
      </c>
      <c r="G1081">
        <v>28386426</v>
      </c>
      <c r="J1081">
        <v>45.51</v>
      </c>
      <c r="L1081">
        <v>47909572</v>
      </c>
      <c r="M1081" s="1">
        <v>44498</v>
      </c>
      <c r="N1081" t="str">
        <f>"RC211105"</f>
        <v>RC211105</v>
      </c>
      <c r="O1081" t="s">
        <v>28</v>
      </c>
      <c r="Q1081" t="s">
        <v>29</v>
      </c>
      <c r="R1081" t="s">
        <v>28</v>
      </c>
      <c r="S1081" t="s">
        <v>4921</v>
      </c>
      <c r="T1081" t="s">
        <v>2666</v>
      </c>
      <c r="U1081" t="s">
        <v>4922</v>
      </c>
      <c r="W1081" t="s">
        <v>40</v>
      </c>
      <c r="X1081" t="s">
        <v>34</v>
      </c>
      <c r="Y1081" t="str">
        <f>"77478"</f>
        <v>77478</v>
      </c>
    </row>
    <row r="1082" spans="1:25" x14ac:dyDescent="0.25">
      <c r="A1082" t="s">
        <v>4923</v>
      </c>
      <c r="B1082" t="s">
        <v>4924</v>
      </c>
      <c r="C1082">
        <v>2021</v>
      </c>
      <c r="D1082">
        <v>8001</v>
      </c>
      <c r="E1082">
        <v>2</v>
      </c>
      <c r="F1082" t="s">
        <v>4925</v>
      </c>
      <c r="G1082">
        <v>31104599</v>
      </c>
      <c r="J1082">
        <v>7.84</v>
      </c>
      <c r="L1082">
        <v>49972584</v>
      </c>
      <c r="M1082" s="1">
        <v>44595</v>
      </c>
      <c r="N1082" t="str">
        <f>"RC220307"</f>
        <v>RC220307</v>
      </c>
      <c r="O1082" t="s">
        <v>28</v>
      </c>
      <c r="Q1082" t="s">
        <v>29</v>
      </c>
      <c r="R1082" t="s">
        <v>28</v>
      </c>
      <c r="S1082" t="s">
        <v>4926</v>
      </c>
      <c r="T1082" t="s">
        <v>4927</v>
      </c>
      <c r="W1082" t="s">
        <v>40</v>
      </c>
      <c r="X1082" t="s">
        <v>34</v>
      </c>
      <c r="Y1082" t="str">
        <f>"774785360"</f>
        <v>774785360</v>
      </c>
    </row>
    <row r="1083" spans="1:25" x14ac:dyDescent="0.25">
      <c r="A1083" t="s">
        <v>4928</v>
      </c>
      <c r="B1083" t="s">
        <v>4929</v>
      </c>
      <c r="C1083">
        <v>2020</v>
      </c>
      <c r="D1083">
        <v>8001</v>
      </c>
      <c r="E1083">
        <v>1</v>
      </c>
      <c r="F1083" t="s">
        <v>4930</v>
      </c>
      <c r="G1083">
        <v>29604542</v>
      </c>
      <c r="J1083">
        <v>23.4</v>
      </c>
      <c r="L1083">
        <v>47034724</v>
      </c>
      <c r="M1083" s="1">
        <v>44259</v>
      </c>
      <c r="N1083" t="str">
        <f>"CC210304"</f>
        <v>CC210304</v>
      </c>
      <c r="O1083" t="s">
        <v>28</v>
      </c>
      <c r="Q1083" t="s">
        <v>29</v>
      </c>
      <c r="R1083" t="s">
        <v>28</v>
      </c>
      <c r="S1083" t="s">
        <v>4931</v>
      </c>
      <c r="T1083" t="s">
        <v>4932</v>
      </c>
      <c r="W1083" t="s">
        <v>371</v>
      </c>
      <c r="X1083" t="s">
        <v>34</v>
      </c>
      <c r="Y1083" t="str">
        <f>"77477"</f>
        <v>77477</v>
      </c>
    </row>
    <row r="1084" spans="1:25" x14ac:dyDescent="0.25">
      <c r="A1084" t="s">
        <v>4933</v>
      </c>
      <c r="B1084" t="s">
        <v>4934</v>
      </c>
      <c r="C1084">
        <v>2019</v>
      </c>
      <c r="D1084">
        <v>8001</v>
      </c>
      <c r="E1084">
        <v>1</v>
      </c>
      <c r="F1084" t="s">
        <v>4935</v>
      </c>
      <c r="G1084">
        <v>26536359</v>
      </c>
      <c r="J1084">
        <v>50.01</v>
      </c>
      <c r="L1084">
        <v>44118361</v>
      </c>
      <c r="M1084" s="1">
        <v>43952</v>
      </c>
      <c r="N1084" t="str">
        <f>"RC200506"</f>
        <v>RC200506</v>
      </c>
      <c r="O1084" t="s">
        <v>28</v>
      </c>
      <c r="Q1084" t="s">
        <v>29</v>
      </c>
      <c r="R1084" t="s">
        <v>28</v>
      </c>
      <c r="S1084" t="s">
        <v>1033</v>
      </c>
      <c r="T1084" t="s">
        <v>1560</v>
      </c>
      <c r="W1084" t="s">
        <v>1561</v>
      </c>
      <c r="X1084" t="s">
        <v>169</v>
      </c>
      <c r="Y1084" t="str">
        <f>"801292386"</f>
        <v>801292386</v>
      </c>
    </row>
    <row r="1085" spans="1:25" x14ac:dyDescent="0.25">
      <c r="A1085" t="s">
        <v>4936</v>
      </c>
      <c r="B1085" t="s">
        <v>4937</v>
      </c>
      <c r="C1085">
        <v>2021</v>
      </c>
      <c r="D1085">
        <v>8001</v>
      </c>
      <c r="E1085">
        <v>1</v>
      </c>
      <c r="F1085" t="s">
        <v>4938</v>
      </c>
      <c r="G1085">
        <v>0</v>
      </c>
      <c r="J1085">
        <v>57.35</v>
      </c>
      <c r="L1085">
        <v>48614597</v>
      </c>
      <c r="M1085" s="1">
        <v>44552</v>
      </c>
      <c r="N1085" t="str">
        <f>"L211222"</f>
        <v>L211222</v>
      </c>
      <c r="O1085" t="s">
        <v>28</v>
      </c>
      <c r="Q1085" t="s">
        <v>29</v>
      </c>
      <c r="R1085" t="s">
        <v>28</v>
      </c>
      <c r="S1085" t="s">
        <v>4938</v>
      </c>
      <c r="T1085" t="s">
        <v>4939</v>
      </c>
      <c r="U1085" t="s">
        <v>4940</v>
      </c>
      <c r="V1085" t="s">
        <v>3564</v>
      </c>
      <c r="W1085" t="s">
        <v>135</v>
      </c>
      <c r="X1085" t="s">
        <v>34</v>
      </c>
      <c r="Y1085" t="str">
        <f>"770582611   "</f>
        <v xml:space="preserve">770582611   </v>
      </c>
    </row>
    <row r="1086" spans="1:25" x14ac:dyDescent="0.25">
      <c r="A1086" t="s">
        <v>4941</v>
      </c>
      <c r="B1086" t="s">
        <v>4942</v>
      </c>
      <c r="C1086">
        <v>2019</v>
      </c>
      <c r="D1086">
        <v>8001</v>
      </c>
      <c r="E1086">
        <v>2</v>
      </c>
      <c r="F1086" t="s">
        <v>4943</v>
      </c>
      <c r="G1086">
        <v>0</v>
      </c>
      <c r="J1086">
        <v>20</v>
      </c>
      <c r="L1086">
        <v>43267241</v>
      </c>
      <c r="M1086" s="1">
        <v>43858</v>
      </c>
      <c r="N1086" t="str">
        <f>"L200128"</f>
        <v>L200128</v>
      </c>
      <c r="O1086" t="s">
        <v>28</v>
      </c>
      <c r="Q1086" t="s">
        <v>29</v>
      </c>
      <c r="R1086" t="s">
        <v>28</v>
      </c>
      <c r="S1086" t="s">
        <v>4943</v>
      </c>
      <c r="T1086" t="s">
        <v>4944</v>
      </c>
      <c r="U1086" t="s">
        <v>60</v>
      </c>
      <c r="V1086" t="s">
        <v>60</v>
      </c>
      <c r="W1086" t="s">
        <v>4945</v>
      </c>
      <c r="X1086" t="s">
        <v>34</v>
      </c>
      <c r="Y1086" t="str">
        <f>"760925904   "</f>
        <v xml:space="preserve">760925904   </v>
      </c>
    </row>
    <row r="1087" spans="1:25" x14ac:dyDescent="0.25">
      <c r="A1087" t="s">
        <v>4946</v>
      </c>
      <c r="B1087" t="s">
        <v>4947</v>
      </c>
      <c r="C1087">
        <v>2020</v>
      </c>
      <c r="D1087">
        <v>8001</v>
      </c>
      <c r="E1087">
        <v>1</v>
      </c>
      <c r="F1087" t="s">
        <v>4948</v>
      </c>
      <c r="G1087">
        <v>23176740</v>
      </c>
      <c r="J1087">
        <v>49.12</v>
      </c>
      <c r="L1087">
        <v>46280199</v>
      </c>
      <c r="M1087" s="1">
        <v>44221</v>
      </c>
      <c r="N1087" t="str">
        <f>"RC210225"</f>
        <v>RC210225</v>
      </c>
      <c r="O1087" t="s">
        <v>28</v>
      </c>
      <c r="Q1087" t="s">
        <v>29</v>
      </c>
      <c r="R1087" t="s">
        <v>28</v>
      </c>
      <c r="S1087" t="s">
        <v>4949</v>
      </c>
      <c r="T1087" t="s">
        <v>4950</v>
      </c>
      <c r="W1087" t="s">
        <v>81</v>
      </c>
      <c r="X1087" t="s">
        <v>34</v>
      </c>
      <c r="Y1087" t="str">
        <f>"774068605"</f>
        <v>774068605</v>
      </c>
    </row>
    <row r="1088" spans="1:25" x14ac:dyDescent="0.25">
      <c r="A1088" t="s">
        <v>4951</v>
      </c>
      <c r="B1088" t="s">
        <v>4952</v>
      </c>
      <c r="C1088">
        <v>2019</v>
      </c>
      <c r="D1088">
        <v>8001</v>
      </c>
      <c r="E1088">
        <v>1</v>
      </c>
      <c r="F1088" t="s">
        <v>4953</v>
      </c>
      <c r="G1088">
        <v>28387816</v>
      </c>
      <c r="J1088">
        <v>16.079999999999998</v>
      </c>
      <c r="L1088">
        <v>44046383</v>
      </c>
      <c r="M1088" s="1">
        <v>43930</v>
      </c>
      <c r="N1088" t="str">
        <f>"O200409BT1"</f>
        <v>O200409BT1</v>
      </c>
      <c r="O1088" t="s">
        <v>28</v>
      </c>
      <c r="Q1088" t="s">
        <v>29</v>
      </c>
      <c r="R1088" t="s">
        <v>28</v>
      </c>
      <c r="S1088" t="s">
        <v>4954</v>
      </c>
      <c r="T1088" t="s">
        <v>4955</v>
      </c>
      <c r="W1088" t="s">
        <v>154</v>
      </c>
      <c r="X1088" t="s">
        <v>34</v>
      </c>
      <c r="Y1088" t="str">
        <f>"774719762"</f>
        <v>774719762</v>
      </c>
    </row>
    <row r="1089" spans="1:25" x14ac:dyDescent="0.25">
      <c r="A1089" t="s">
        <v>4956</v>
      </c>
      <c r="B1089" t="s">
        <v>4957</v>
      </c>
      <c r="C1089">
        <v>2019</v>
      </c>
      <c r="D1089">
        <v>8001</v>
      </c>
      <c r="E1089">
        <v>1</v>
      </c>
      <c r="F1089" t="s">
        <v>4958</v>
      </c>
      <c r="G1089">
        <v>0</v>
      </c>
      <c r="J1089">
        <v>12.49</v>
      </c>
      <c r="L1089">
        <v>44120843</v>
      </c>
      <c r="M1089" s="1">
        <v>43952</v>
      </c>
      <c r="N1089" t="str">
        <f>"J200501F14"</f>
        <v>J200501F14</v>
      </c>
      <c r="O1089" t="s">
        <v>28</v>
      </c>
      <c r="Q1089" t="s">
        <v>29</v>
      </c>
      <c r="R1089" t="s">
        <v>28</v>
      </c>
      <c r="S1089" t="s">
        <v>4958</v>
      </c>
      <c r="T1089" t="s">
        <v>4959</v>
      </c>
      <c r="U1089" t="s">
        <v>60</v>
      </c>
      <c r="V1089" t="s">
        <v>60</v>
      </c>
      <c r="W1089" t="s">
        <v>296</v>
      </c>
      <c r="X1089" t="s">
        <v>34</v>
      </c>
      <c r="Y1089" t="str">
        <f>"774179487   "</f>
        <v xml:space="preserve">774179487   </v>
      </c>
    </row>
    <row r="1090" spans="1:25" x14ac:dyDescent="0.25">
      <c r="A1090" t="s">
        <v>4960</v>
      </c>
      <c r="B1090" t="s">
        <v>4961</v>
      </c>
      <c r="C1090">
        <v>2021</v>
      </c>
      <c r="D1090">
        <v>8001</v>
      </c>
      <c r="E1090">
        <v>1</v>
      </c>
      <c r="F1090" t="s">
        <v>4962</v>
      </c>
      <c r="G1090">
        <v>31128781</v>
      </c>
      <c r="J1090">
        <v>558.66999999999996</v>
      </c>
      <c r="L1090">
        <v>50091800</v>
      </c>
      <c r="M1090" s="1">
        <v>44600</v>
      </c>
      <c r="N1090" t="str">
        <f>"RC220314"</f>
        <v>RC220314</v>
      </c>
      <c r="O1090" t="s">
        <v>28</v>
      </c>
      <c r="Q1090" t="s">
        <v>29</v>
      </c>
      <c r="R1090" t="s">
        <v>28</v>
      </c>
      <c r="S1090" t="s">
        <v>4963</v>
      </c>
      <c r="T1090" t="s">
        <v>4964</v>
      </c>
      <c r="U1090" t="s">
        <v>4965</v>
      </c>
      <c r="W1090" t="s">
        <v>392</v>
      </c>
      <c r="X1090" t="s">
        <v>34</v>
      </c>
      <c r="Y1090" t="str">
        <f>"774595092"</f>
        <v>774595092</v>
      </c>
    </row>
    <row r="1091" spans="1:25" x14ac:dyDescent="0.25">
      <c r="A1091" t="s">
        <v>4966</v>
      </c>
      <c r="B1091" t="s">
        <v>4967</v>
      </c>
      <c r="C1091">
        <v>2021</v>
      </c>
      <c r="D1091">
        <v>8001</v>
      </c>
      <c r="E1091">
        <v>5</v>
      </c>
      <c r="F1091" t="s">
        <v>4968</v>
      </c>
      <c r="G1091">
        <v>30094011</v>
      </c>
      <c r="J1091">
        <v>11.02</v>
      </c>
      <c r="L1091">
        <v>47972925</v>
      </c>
      <c r="M1091" s="1">
        <v>44504</v>
      </c>
      <c r="N1091" t="str">
        <f>"CC221104"</f>
        <v>CC221104</v>
      </c>
      <c r="O1091" t="s">
        <v>28</v>
      </c>
      <c r="Q1091" t="s">
        <v>29</v>
      </c>
      <c r="R1091" t="s">
        <v>28</v>
      </c>
      <c r="S1091" t="s">
        <v>4969</v>
      </c>
      <c r="T1091" t="s">
        <v>4970</v>
      </c>
      <c r="W1091" t="s">
        <v>81</v>
      </c>
      <c r="X1091" t="s">
        <v>34</v>
      </c>
      <c r="Y1091" t="str">
        <f>"77407"</f>
        <v>77407</v>
      </c>
    </row>
    <row r="1092" spans="1:25" x14ac:dyDescent="0.25">
      <c r="A1092" t="s">
        <v>4971</v>
      </c>
      <c r="B1092" t="s">
        <v>4972</v>
      </c>
      <c r="C1092">
        <v>2019</v>
      </c>
      <c r="D1092">
        <v>8001</v>
      </c>
      <c r="E1092">
        <v>2</v>
      </c>
      <c r="F1092" t="s">
        <v>4973</v>
      </c>
      <c r="G1092">
        <v>28298286</v>
      </c>
      <c r="J1092">
        <v>152.22999999999999</v>
      </c>
      <c r="L1092">
        <v>43864402</v>
      </c>
      <c r="M1092" s="1">
        <v>43893</v>
      </c>
      <c r="N1092" t="str">
        <f>"EK400303"</f>
        <v>EK400303</v>
      </c>
      <c r="O1092" t="s">
        <v>28</v>
      </c>
      <c r="Q1092" t="s">
        <v>29</v>
      </c>
      <c r="R1092" t="s">
        <v>28</v>
      </c>
      <c r="S1092" t="s">
        <v>4974</v>
      </c>
      <c r="T1092" t="s">
        <v>4975</v>
      </c>
      <c r="W1092" t="s">
        <v>40</v>
      </c>
      <c r="X1092" t="s">
        <v>34</v>
      </c>
      <c r="Y1092" t="str">
        <f>"77479"</f>
        <v>77479</v>
      </c>
    </row>
    <row r="1093" spans="1:25" x14ac:dyDescent="0.25">
      <c r="A1093" t="s">
        <v>4976</v>
      </c>
      <c r="B1093" t="s">
        <v>4977</v>
      </c>
      <c r="C1093">
        <v>2019</v>
      </c>
      <c r="D1093">
        <v>8001</v>
      </c>
      <c r="E1093">
        <v>2</v>
      </c>
      <c r="F1093" t="s">
        <v>4978</v>
      </c>
      <c r="G1093">
        <v>28310297</v>
      </c>
      <c r="J1093">
        <v>91.06</v>
      </c>
      <c r="L1093">
        <v>43887118</v>
      </c>
      <c r="M1093" s="1">
        <v>43895</v>
      </c>
      <c r="N1093" t="str">
        <f>"CC200305"</f>
        <v>CC200305</v>
      </c>
      <c r="O1093" t="s">
        <v>28</v>
      </c>
      <c r="Q1093" t="s">
        <v>29</v>
      </c>
      <c r="R1093" t="s">
        <v>28</v>
      </c>
      <c r="S1093" t="s">
        <v>4979</v>
      </c>
      <c r="T1093" t="s">
        <v>4980</v>
      </c>
      <c r="W1093" t="s">
        <v>392</v>
      </c>
      <c r="X1093" t="s">
        <v>1831</v>
      </c>
      <c r="Y1093" t="str">
        <f>"77459"</f>
        <v>77459</v>
      </c>
    </row>
    <row r="1094" spans="1:25" x14ac:dyDescent="0.25">
      <c r="A1094" t="s">
        <v>4981</v>
      </c>
      <c r="B1094" t="s">
        <v>4982</v>
      </c>
      <c r="C1094">
        <v>2019</v>
      </c>
      <c r="D1094">
        <v>8001</v>
      </c>
      <c r="E1094">
        <v>1</v>
      </c>
      <c r="F1094" t="s">
        <v>4983</v>
      </c>
      <c r="G1094">
        <v>0</v>
      </c>
      <c r="J1094" s="2">
        <v>1355.22</v>
      </c>
      <c r="L1094">
        <v>42538009</v>
      </c>
      <c r="M1094" s="1">
        <v>43830</v>
      </c>
      <c r="N1094" t="str">
        <f>"L191231"</f>
        <v>L191231</v>
      </c>
      <c r="O1094" t="s">
        <v>28</v>
      </c>
      <c r="Q1094" t="s">
        <v>29</v>
      </c>
      <c r="R1094" t="s">
        <v>28</v>
      </c>
      <c r="S1094" t="s">
        <v>4984</v>
      </c>
      <c r="T1094" t="s">
        <v>4985</v>
      </c>
      <c r="U1094" t="s">
        <v>60</v>
      </c>
      <c r="V1094" t="s">
        <v>60</v>
      </c>
      <c r="W1094" t="s">
        <v>214</v>
      </c>
      <c r="X1094" t="s">
        <v>34</v>
      </c>
      <c r="Y1094" t="str">
        <f>"774069213   "</f>
        <v xml:space="preserve">774069213   </v>
      </c>
    </row>
    <row r="1095" spans="1:25" x14ac:dyDescent="0.25">
      <c r="A1095" t="s">
        <v>4986</v>
      </c>
      <c r="B1095" t="s">
        <v>4987</v>
      </c>
      <c r="C1095">
        <v>2019</v>
      </c>
      <c r="D1095">
        <v>8001</v>
      </c>
      <c r="E1095">
        <v>1</v>
      </c>
      <c r="F1095" t="s">
        <v>4983</v>
      </c>
      <c r="G1095">
        <v>0</v>
      </c>
      <c r="J1095">
        <v>451.74</v>
      </c>
      <c r="L1095">
        <v>42538010</v>
      </c>
      <c r="M1095" s="1">
        <v>43830</v>
      </c>
      <c r="N1095" t="str">
        <f>"L191231"</f>
        <v>L191231</v>
      </c>
      <c r="O1095" t="s">
        <v>28</v>
      </c>
      <c r="Q1095" t="s">
        <v>29</v>
      </c>
      <c r="R1095" t="s">
        <v>28</v>
      </c>
      <c r="S1095" t="s">
        <v>4984</v>
      </c>
      <c r="T1095" t="s">
        <v>4985</v>
      </c>
      <c r="U1095" t="s">
        <v>60</v>
      </c>
      <c r="V1095" t="s">
        <v>60</v>
      </c>
      <c r="W1095" t="s">
        <v>214</v>
      </c>
      <c r="X1095" t="s">
        <v>34</v>
      </c>
      <c r="Y1095" t="str">
        <f>"774069213   "</f>
        <v xml:space="preserve">774069213   </v>
      </c>
    </row>
    <row r="1096" spans="1:25" x14ac:dyDescent="0.25">
      <c r="A1096" t="s">
        <v>4988</v>
      </c>
      <c r="B1096" t="s">
        <v>4989</v>
      </c>
      <c r="C1096">
        <v>2018</v>
      </c>
      <c r="D1096">
        <v>8001</v>
      </c>
      <c r="E1096">
        <v>2</v>
      </c>
      <c r="F1096" t="s">
        <v>4990</v>
      </c>
      <c r="G1096">
        <v>24513959</v>
      </c>
      <c r="J1096">
        <v>40.770000000000003</v>
      </c>
      <c r="L1096">
        <v>41526970</v>
      </c>
      <c r="M1096" s="1">
        <v>43711</v>
      </c>
      <c r="N1096" t="str">
        <f>"O190903BS1"</f>
        <v>O190903BS1</v>
      </c>
      <c r="O1096" t="s">
        <v>28</v>
      </c>
      <c r="Q1096" t="s">
        <v>29</v>
      </c>
      <c r="R1096" t="s">
        <v>28</v>
      </c>
      <c r="S1096" t="s">
        <v>4991</v>
      </c>
      <c r="T1096" t="s">
        <v>4992</v>
      </c>
      <c r="W1096" t="s">
        <v>40</v>
      </c>
      <c r="X1096" t="s">
        <v>34</v>
      </c>
      <c r="Y1096" t="str">
        <f>"774783628"</f>
        <v>774783628</v>
      </c>
    </row>
    <row r="1097" spans="1:25" x14ac:dyDescent="0.25">
      <c r="A1097" t="s">
        <v>4993</v>
      </c>
      <c r="B1097" t="s">
        <v>4994</v>
      </c>
      <c r="C1097">
        <v>2020</v>
      </c>
      <c r="D1097">
        <v>8001</v>
      </c>
      <c r="E1097">
        <v>1</v>
      </c>
      <c r="F1097" t="s">
        <v>4995</v>
      </c>
      <c r="G1097">
        <v>0</v>
      </c>
      <c r="J1097">
        <v>37.32</v>
      </c>
      <c r="L1097">
        <v>47714646</v>
      </c>
      <c r="M1097" s="1">
        <v>44433</v>
      </c>
      <c r="N1097" t="str">
        <f>"L210825"</f>
        <v>L210825</v>
      </c>
      <c r="O1097" t="s">
        <v>28</v>
      </c>
      <c r="Q1097" t="s">
        <v>29</v>
      </c>
      <c r="R1097" t="s">
        <v>28</v>
      </c>
      <c r="S1097" t="s">
        <v>4996</v>
      </c>
      <c r="T1097" t="s">
        <v>4997</v>
      </c>
      <c r="U1097" t="s">
        <v>60</v>
      </c>
      <c r="V1097" t="s">
        <v>60</v>
      </c>
      <c r="W1097" t="s">
        <v>219</v>
      </c>
      <c r="X1097" t="s">
        <v>34</v>
      </c>
      <c r="Y1097" t="str">
        <f>"774783719   "</f>
        <v xml:space="preserve">774783719   </v>
      </c>
    </row>
    <row r="1098" spans="1:25" x14ac:dyDescent="0.25">
      <c r="A1098" t="s">
        <v>4998</v>
      </c>
      <c r="B1098" t="s">
        <v>4999</v>
      </c>
      <c r="C1098">
        <v>2019</v>
      </c>
      <c r="D1098">
        <v>8001</v>
      </c>
      <c r="E1098">
        <v>1</v>
      </c>
      <c r="F1098" t="s">
        <v>5000</v>
      </c>
      <c r="G1098">
        <v>0</v>
      </c>
      <c r="J1098">
        <v>129.27000000000001</v>
      </c>
      <c r="L1098">
        <v>43915019</v>
      </c>
      <c r="M1098" s="1">
        <v>43900</v>
      </c>
      <c r="N1098" t="str">
        <f>"J200310AW2"</f>
        <v>J200310AW2</v>
      </c>
      <c r="O1098" t="s">
        <v>28</v>
      </c>
      <c r="Q1098" t="s">
        <v>29</v>
      </c>
      <c r="R1098" t="s">
        <v>28</v>
      </c>
      <c r="S1098" t="s">
        <v>5000</v>
      </c>
      <c r="T1098" t="s">
        <v>5001</v>
      </c>
      <c r="U1098" t="s">
        <v>60</v>
      </c>
      <c r="V1098" t="s">
        <v>60</v>
      </c>
      <c r="W1098" t="s">
        <v>219</v>
      </c>
      <c r="X1098" t="s">
        <v>34</v>
      </c>
      <c r="Y1098" t="str">
        <f>"774783656   "</f>
        <v xml:space="preserve">774783656   </v>
      </c>
    </row>
    <row r="1099" spans="1:25" x14ac:dyDescent="0.25">
      <c r="A1099" t="s">
        <v>5002</v>
      </c>
      <c r="B1099" t="s">
        <v>5003</v>
      </c>
      <c r="C1099">
        <v>2020</v>
      </c>
      <c r="D1099">
        <v>8001</v>
      </c>
      <c r="E1099">
        <v>1</v>
      </c>
      <c r="F1099" t="s">
        <v>5004</v>
      </c>
      <c r="G1099">
        <v>29489487</v>
      </c>
      <c r="J1099">
        <v>994.74</v>
      </c>
      <c r="L1099">
        <v>46782186</v>
      </c>
      <c r="M1099" s="1">
        <v>44231</v>
      </c>
      <c r="N1099" t="str">
        <f>"CC210204"</f>
        <v>CC210204</v>
      </c>
      <c r="O1099" t="s">
        <v>28</v>
      </c>
      <c r="Q1099" t="s">
        <v>29</v>
      </c>
      <c r="R1099" t="s">
        <v>28</v>
      </c>
      <c r="S1099" t="s">
        <v>5005</v>
      </c>
      <c r="T1099" t="s">
        <v>5006</v>
      </c>
      <c r="W1099" t="s">
        <v>40</v>
      </c>
      <c r="X1099" t="s">
        <v>34</v>
      </c>
      <c r="Y1099" t="str">
        <f>"77479"</f>
        <v>77479</v>
      </c>
    </row>
    <row r="1100" spans="1:25" x14ac:dyDescent="0.25">
      <c r="A1100" t="s">
        <v>5007</v>
      </c>
      <c r="B1100" t="s">
        <v>5008</v>
      </c>
      <c r="C1100">
        <v>2020</v>
      </c>
      <c r="D1100">
        <v>8001</v>
      </c>
      <c r="E1100">
        <v>2</v>
      </c>
      <c r="F1100" t="s">
        <v>5009</v>
      </c>
      <c r="G1100">
        <v>29952503</v>
      </c>
      <c r="J1100">
        <v>57.43</v>
      </c>
      <c r="L1100">
        <v>47673342</v>
      </c>
      <c r="M1100" s="1">
        <v>44411</v>
      </c>
      <c r="N1100" t="str">
        <f>"EK410803"</f>
        <v>EK410803</v>
      </c>
      <c r="O1100" t="s">
        <v>28</v>
      </c>
      <c r="Q1100" t="s">
        <v>29</v>
      </c>
      <c r="R1100" t="s">
        <v>28</v>
      </c>
      <c r="S1100" t="s">
        <v>5010</v>
      </c>
      <c r="T1100" t="s">
        <v>5011</v>
      </c>
      <c r="W1100" t="s">
        <v>112</v>
      </c>
      <c r="X1100" t="s">
        <v>34</v>
      </c>
      <c r="Y1100" t="str">
        <f>"77478"</f>
        <v>77478</v>
      </c>
    </row>
    <row r="1101" spans="1:25" x14ac:dyDescent="0.25">
      <c r="A1101" t="s">
        <v>5012</v>
      </c>
      <c r="B1101" t="s">
        <v>5013</v>
      </c>
      <c r="C1101">
        <v>2020</v>
      </c>
      <c r="D1101">
        <v>8001</v>
      </c>
      <c r="E1101">
        <v>2</v>
      </c>
      <c r="F1101" t="s">
        <v>5014</v>
      </c>
      <c r="G1101">
        <v>28386426</v>
      </c>
      <c r="J1101">
        <v>144.27000000000001</v>
      </c>
      <c r="L1101">
        <v>44743928</v>
      </c>
      <c r="M1101" s="1">
        <v>44138</v>
      </c>
      <c r="N1101" t="str">
        <f>"O201103AB1"</f>
        <v>O201103AB1</v>
      </c>
      <c r="O1101" t="s">
        <v>28</v>
      </c>
      <c r="Q1101" t="s">
        <v>29</v>
      </c>
      <c r="R1101" t="s">
        <v>28</v>
      </c>
      <c r="S1101" t="s">
        <v>4921</v>
      </c>
      <c r="T1101" t="s">
        <v>2666</v>
      </c>
      <c r="U1101" t="s">
        <v>4922</v>
      </c>
      <c r="W1101" t="s">
        <v>40</v>
      </c>
      <c r="X1101" t="s">
        <v>34</v>
      </c>
      <c r="Y1101" t="str">
        <f>"77478"</f>
        <v>77478</v>
      </c>
    </row>
    <row r="1102" spans="1:25" x14ac:dyDescent="0.25">
      <c r="A1102" t="s">
        <v>5015</v>
      </c>
      <c r="B1102" t="s">
        <v>5016</v>
      </c>
      <c r="C1102">
        <v>2020</v>
      </c>
      <c r="D1102">
        <v>8001</v>
      </c>
      <c r="E1102">
        <v>1</v>
      </c>
      <c r="F1102" t="s">
        <v>5017</v>
      </c>
      <c r="G1102">
        <v>28791789</v>
      </c>
      <c r="J1102">
        <v>68.73</v>
      </c>
      <c r="L1102">
        <v>45124629</v>
      </c>
      <c r="M1102" s="1">
        <v>44172</v>
      </c>
      <c r="N1102" t="str">
        <f>"RC201217"</f>
        <v>RC201217</v>
      </c>
      <c r="O1102" t="s">
        <v>28</v>
      </c>
      <c r="Q1102" t="s">
        <v>29</v>
      </c>
      <c r="R1102" t="s">
        <v>28</v>
      </c>
      <c r="S1102" t="s">
        <v>1393</v>
      </c>
      <c r="T1102" t="s">
        <v>1394</v>
      </c>
      <c r="W1102" t="s">
        <v>1075</v>
      </c>
      <c r="X1102" t="s">
        <v>34</v>
      </c>
      <c r="Y1102" t="str">
        <f>"761771529"</f>
        <v>761771529</v>
      </c>
    </row>
    <row r="1103" spans="1:25" x14ac:dyDescent="0.25">
      <c r="A1103" t="s">
        <v>5018</v>
      </c>
      <c r="B1103" t="s">
        <v>5019</v>
      </c>
      <c r="C1103">
        <v>2019</v>
      </c>
      <c r="D1103">
        <v>8001</v>
      </c>
      <c r="E1103">
        <v>1</v>
      </c>
      <c r="F1103" t="s">
        <v>5020</v>
      </c>
      <c r="G1103">
        <v>28298289</v>
      </c>
      <c r="J1103">
        <v>67.27</v>
      </c>
      <c r="L1103">
        <v>43864405</v>
      </c>
      <c r="M1103" s="1">
        <v>43893</v>
      </c>
      <c r="N1103" t="str">
        <f>"EK400303"</f>
        <v>EK400303</v>
      </c>
      <c r="O1103" t="s">
        <v>28</v>
      </c>
      <c r="Q1103" t="s">
        <v>29</v>
      </c>
      <c r="R1103" t="s">
        <v>28</v>
      </c>
      <c r="S1103" t="s">
        <v>5021</v>
      </c>
      <c r="T1103" t="s">
        <v>5022</v>
      </c>
      <c r="W1103" t="s">
        <v>40</v>
      </c>
      <c r="X1103" t="s">
        <v>34</v>
      </c>
      <c r="Y1103" t="str">
        <f>"77498"</f>
        <v>77498</v>
      </c>
    </row>
    <row r="1104" spans="1:25" x14ac:dyDescent="0.25">
      <c r="A1104" t="s">
        <v>5023</v>
      </c>
      <c r="B1104" t="s">
        <v>5024</v>
      </c>
      <c r="C1104">
        <v>2020</v>
      </c>
      <c r="D1104">
        <v>8001</v>
      </c>
      <c r="E1104">
        <v>1</v>
      </c>
      <c r="F1104" t="s">
        <v>5025</v>
      </c>
      <c r="G1104">
        <v>29461859</v>
      </c>
      <c r="J1104">
        <v>272.12</v>
      </c>
      <c r="L1104">
        <v>46728859</v>
      </c>
      <c r="M1104" s="1">
        <v>44230</v>
      </c>
      <c r="N1104" t="str">
        <f>"EK210203"</f>
        <v>EK210203</v>
      </c>
      <c r="O1104" t="s">
        <v>28</v>
      </c>
      <c r="Q1104" t="s">
        <v>29</v>
      </c>
      <c r="R1104" t="s">
        <v>28</v>
      </c>
      <c r="S1104" t="s">
        <v>5026</v>
      </c>
      <c r="T1104" t="s">
        <v>5027</v>
      </c>
      <c r="W1104" t="s">
        <v>75</v>
      </c>
      <c r="X1104" t="s">
        <v>34</v>
      </c>
      <c r="Y1104" t="str">
        <f>"77098"</f>
        <v>77098</v>
      </c>
    </row>
    <row r="1105" spans="1:25" x14ac:dyDescent="0.25">
      <c r="A1105" t="s">
        <v>5028</v>
      </c>
      <c r="B1105" t="s">
        <v>5029</v>
      </c>
      <c r="C1105">
        <v>2020</v>
      </c>
      <c r="D1105">
        <v>8001</v>
      </c>
      <c r="E1105">
        <v>1</v>
      </c>
      <c r="F1105" t="s">
        <v>5030</v>
      </c>
      <c r="G1105">
        <v>29914610</v>
      </c>
      <c r="J1105" s="2">
        <v>2132.08</v>
      </c>
      <c r="L1105">
        <v>47594767</v>
      </c>
      <c r="M1105" s="1">
        <v>44386</v>
      </c>
      <c r="N1105" t="str">
        <f>"RC210712"</f>
        <v>RC210712</v>
      </c>
      <c r="O1105" t="s">
        <v>28</v>
      </c>
      <c r="Q1105" t="s">
        <v>29</v>
      </c>
      <c r="R1105" t="s">
        <v>28</v>
      </c>
      <c r="S1105" t="s">
        <v>5031</v>
      </c>
      <c r="T1105" t="s">
        <v>5032</v>
      </c>
      <c r="U1105" t="s">
        <v>5033</v>
      </c>
      <c r="W1105" t="s">
        <v>1371</v>
      </c>
      <c r="X1105" t="s">
        <v>34</v>
      </c>
      <c r="Y1105" t="str">
        <f>"75034"</f>
        <v>75034</v>
      </c>
    </row>
    <row r="1106" spans="1:25" x14ac:dyDescent="0.25">
      <c r="A1106" t="s">
        <v>5034</v>
      </c>
      <c r="B1106" t="s">
        <v>5035</v>
      </c>
      <c r="C1106">
        <v>2020</v>
      </c>
      <c r="D1106">
        <v>8001</v>
      </c>
      <c r="E1106">
        <v>2</v>
      </c>
      <c r="F1106" t="s">
        <v>5036</v>
      </c>
      <c r="G1106">
        <v>28692840</v>
      </c>
      <c r="J1106">
        <v>48.74</v>
      </c>
      <c r="L1106">
        <v>47258299</v>
      </c>
      <c r="M1106" s="1">
        <v>44293</v>
      </c>
      <c r="N1106" t="str">
        <f>"RC210414"</f>
        <v>RC210414</v>
      </c>
      <c r="O1106" t="s">
        <v>28</v>
      </c>
      <c r="Q1106" t="s">
        <v>29</v>
      </c>
      <c r="R1106" t="s">
        <v>28</v>
      </c>
      <c r="S1106" t="s">
        <v>1019</v>
      </c>
      <c r="T1106" t="s">
        <v>562</v>
      </c>
      <c r="W1106" t="s">
        <v>563</v>
      </c>
      <c r="X1106" t="s">
        <v>34</v>
      </c>
      <c r="Y1106" t="str">
        <f>"750630156"</f>
        <v>750630156</v>
      </c>
    </row>
    <row r="1107" spans="1:25" x14ac:dyDescent="0.25">
      <c r="A1107" t="s">
        <v>5037</v>
      </c>
      <c r="B1107" t="s">
        <v>5038</v>
      </c>
      <c r="C1107">
        <v>2020</v>
      </c>
      <c r="D1107">
        <v>8001</v>
      </c>
      <c r="E1107">
        <v>1</v>
      </c>
      <c r="F1107" t="s">
        <v>5039</v>
      </c>
      <c r="G1107">
        <v>0</v>
      </c>
      <c r="J1107">
        <v>137.81</v>
      </c>
      <c r="L1107">
        <v>45731219</v>
      </c>
      <c r="M1107" s="1">
        <v>44202</v>
      </c>
      <c r="N1107" t="str">
        <f>"EL210106"</f>
        <v>EL210106</v>
      </c>
      <c r="O1107" t="s">
        <v>28</v>
      </c>
      <c r="Q1107" t="s">
        <v>29</v>
      </c>
      <c r="R1107" t="s">
        <v>28</v>
      </c>
      <c r="S1107" t="s">
        <v>5039</v>
      </c>
      <c r="T1107" t="s">
        <v>5040</v>
      </c>
      <c r="U1107" t="s">
        <v>60</v>
      </c>
      <c r="V1107" t="s">
        <v>60</v>
      </c>
      <c r="W1107" t="s">
        <v>649</v>
      </c>
      <c r="X1107" t="s">
        <v>34</v>
      </c>
      <c r="Y1107" t="str">
        <f>"774691699   "</f>
        <v xml:space="preserve">774691699   </v>
      </c>
    </row>
    <row r="1108" spans="1:25" x14ac:dyDescent="0.25">
      <c r="A1108" t="s">
        <v>5041</v>
      </c>
      <c r="B1108" t="s">
        <v>5042</v>
      </c>
      <c r="C1108">
        <v>2020</v>
      </c>
      <c r="D1108">
        <v>8001</v>
      </c>
      <c r="E1108">
        <v>1</v>
      </c>
      <c r="F1108" t="s">
        <v>5043</v>
      </c>
      <c r="G1108">
        <v>26237607</v>
      </c>
      <c r="J1108">
        <v>470.32</v>
      </c>
      <c r="L1108">
        <v>45882005</v>
      </c>
      <c r="M1108" s="1">
        <v>44207</v>
      </c>
      <c r="N1108" t="str">
        <f>"RC210128"</f>
        <v>RC210128</v>
      </c>
      <c r="O1108" t="s">
        <v>28</v>
      </c>
      <c r="Q1108" t="s">
        <v>29</v>
      </c>
      <c r="R1108" t="s">
        <v>28</v>
      </c>
      <c r="S1108" t="s">
        <v>5044</v>
      </c>
      <c r="T1108" t="s">
        <v>5045</v>
      </c>
      <c r="W1108" t="s">
        <v>154</v>
      </c>
      <c r="X1108" t="s">
        <v>34</v>
      </c>
      <c r="Y1108" t="str">
        <f>"774714665"</f>
        <v>774714665</v>
      </c>
    </row>
    <row r="1109" spans="1:25" x14ac:dyDescent="0.25">
      <c r="A1109" t="s">
        <v>5046</v>
      </c>
      <c r="B1109" t="s">
        <v>5047</v>
      </c>
      <c r="C1109">
        <v>2020</v>
      </c>
      <c r="D1109">
        <v>8001</v>
      </c>
      <c r="E1109">
        <v>23</v>
      </c>
      <c r="F1109" t="s">
        <v>5048</v>
      </c>
      <c r="G1109">
        <v>21284284</v>
      </c>
      <c r="J1109">
        <v>106.41</v>
      </c>
      <c r="L1109">
        <v>44564079</v>
      </c>
      <c r="M1109" s="1">
        <v>44147</v>
      </c>
      <c r="N1109" t="str">
        <f>"TE201112"</f>
        <v>TE201112</v>
      </c>
      <c r="O1109" t="s">
        <v>28</v>
      </c>
      <c r="Q1109" t="s">
        <v>29</v>
      </c>
      <c r="R1109" t="s">
        <v>28</v>
      </c>
      <c r="S1109" t="s">
        <v>5049</v>
      </c>
      <c r="T1109" t="s">
        <v>5050</v>
      </c>
      <c r="W1109" t="s">
        <v>40</v>
      </c>
      <c r="X1109" t="s">
        <v>34</v>
      </c>
      <c r="Y1109" t="str">
        <f>"77498"</f>
        <v>77498</v>
      </c>
    </row>
    <row r="1110" spans="1:25" x14ac:dyDescent="0.25">
      <c r="A1110" t="s">
        <v>5051</v>
      </c>
      <c r="B1110" t="s">
        <v>5052</v>
      </c>
      <c r="C1110">
        <v>2019</v>
      </c>
      <c r="D1110">
        <v>8001</v>
      </c>
      <c r="E1110">
        <v>1</v>
      </c>
      <c r="F1110" t="s">
        <v>5053</v>
      </c>
      <c r="G1110">
        <v>28445107</v>
      </c>
      <c r="J1110">
        <v>522.91999999999996</v>
      </c>
      <c r="L1110">
        <v>44292980</v>
      </c>
      <c r="M1110" s="1">
        <v>43991</v>
      </c>
      <c r="N1110" t="str">
        <f>"J200609K6"</f>
        <v>J200609K6</v>
      </c>
      <c r="O1110" t="s">
        <v>28</v>
      </c>
      <c r="Q1110" t="s">
        <v>29</v>
      </c>
      <c r="R1110" t="s">
        <v>28</v>
      </c>
      <c r="S1110" t="s">
        <v>363</v>
      </c>
      <c r="T1110" t="s">
        <v>5054</v>
      </c>
      <c r="W1110" t="s">
        <v>5055</v>
      </c>
      <c r="X1110" t="s">
        <v>34</v>
      </c>
      <c r="Y1110" t="str">
        <f>"78154"</f>
        <v>78154</v>
      </c>
    </row>
    <row r="1111" spans="1:25" x14ac:dyDescent="0.25">
      <c r="A1111" t="s">
        <v>5056</v>
      </c>
      <c r="B1111" t="s">
        <v>5057</v>
      </c>
      <c r="C1111">
        <v>2019</v>
      </c>
      <c r="D1111">
        <v>8001</v>
      </c>
      <c r="E1111">
        <v>1</v>
      </c>
      <c r="F1111" t="s">
        <v>5058</v>
      </c>
      <c r="G1111">
        <v>0</v>
      </c>
      <c r="J1111">
        <v>22.02</v>
      </c>
      <c r="L1111">
        <v>43146812</v>
      </c>
      <c r="M1111" s="1">
        <v>43854</v>
      </c>
      <c r="N1111" t="str">
        <f>"J200124K3"</f>
        <v>J200124K3</v>
      </c>
      <c r="O1111" t="s">
        <v>28</v>
      </c>
      <c r="Q1111" t="s">
        <v>29</v>
      </c>
      <c r="R1111" t="s">
        <v>28</v>
      </c>
      <c r="S1111" t="s">
        <v>5058</v>
      </c>
      <c r="T1111" t="s">
        <v>5059</v>
      </c>
      <c r="U1111" t="s">
        <v>60</v>
      </c>
      <c r="V1111" t="s">
        <v>60</v>
      </c>
      <c r="W1111" t="s">
        <v>219</v>
      </c>
      <c r="X1111" t="s">
        <v>34</v>
      </c>
      <c r="Y1111" t="str">
        <f>"774982674   "</f>
        <v xml:space="preserve">774982674   </v>
      </c>
    </row>
    <row r="1112" spans="1:25" x14ac:dyDescent="0.25">
      <c r="A1112" t="s">
        <v>5060</v>
      </c>
      <c r="B1112" t="s">
        <v>5061</v>
      </c>
      <c r="C1112">
        <v>2019</v>
      </c>
      <c r="D1112">
        <v>8001</v>
      </c>
      <c r="E1112">
        <v>1</v>
      </c>
      <c r="F1112" t="s">
        <v>5062</v>
      </c>
      <c r="G1112">
        <v>26201591</v>
      </c>
      <c r="J1112">
        <v>318</v>
      </c>
      <c r="L1112">
        <v>43597611</v>
      </c>
      <c r="M1112" s="1">
        <v>43866</v>
      </c>
      <c r="N1112" t="str">
        <f>"O200205BB6"</f>
        <v>O200205BB6</v>
      </c>
      <c r="O1112" t="s">
        <v>28</v>
      </c>
      <c r="Q1112" t="s">
        <v>29</v>
      </c>
      <c r="R1112" t="s">
        <v>28</v>
      </c>
      <c r="S1112" t="s">
        <v>5063</v>
      </c>
      <c r="T1112" t="s">
        <v>5064</v>
      </c>
      <c r="W1112" t="s">
        <v>40</v>
      </c>
      <c r="X1112" t="s">
        <v>34</v>
      </c>
      <c r="Y1112" t="str">
        <f>"77498"</f>
        <v>77498</v>
      </c>
    </row>
    <row r="1113" spans="1:25" x14ac:dyDescent="0.25">
      <c r="A1113" t="s">
        <v>5065</v>
      </c>
      <c r="B1113" t="s">
        <v>5066</v>
      </c>
      <c r="C1113">
        <v>2021</v>
      </c>
      <c r="D1113">
        <v>8001</v>
      </c>
      <c r="E1113">
        <v>1</v>
      </c>
      <c r="F1113" t="s">
        <v>5067</v>
      </c>
      <c r="G1113">
        <v>30077448</v>
      </c>
      <c r="J1113">
        <v>571.54999999999995</v>
      </c>
      <c r="L1113">
        <v>49025276</v>
      </c>
      <c r="M1113" s="1">
        <v>44568</v>
      </c>
      <c r="N1113" t="str">
        <f>"RC220209"</f>
        <v>RC220209</v>
      </c>
      <c r="O1113" t="s">
        <v>28</v>
      </c>
      <c r="Q1113" t="s">
        <v>29</v>
      </c>
      <c r="R1113" t="s">
        <v>28</v>
      </c>
      <c r="S1113" t="s">
        <v>5068</v>
      </c>
      <c r="T1113" t="s">
        <v>5069</v>
      </c>
      <c r="W1113" t="s">
        <v>5070</v>
      </c>
      <c r="X1113" t="s">
        <v>34</v>
      </c>
      <c r="Y1113" t="str">
        <f>"786204508"</f>
        <v>786204508</v>
      </c>
    </row>
    <row r="1114" spans="1:25" x14ac:dyDescent="0.25">
      <c r="A1114" t="s">
        <v>5071</v>
      </c>
      <c r="B1114" t="s">
        <v>5072</v>
      </c>
      <c r="C1114">
        <v>2019</v>
      </c>
      <c r="D1114">
        <v>8001</v>
      </c>
      <c r="E1114">
        <v>12</v>
      </c>
      <c r="F1114" t="s">
        <v>5073</v>
      </c>
      <c r="G1114">
        <v>23941971</v>
      </c>
      <c r="J1114">
        <v>9.11</v>
      </c>
      <c r="L1114">
        <v>43037650</v>
      </c>
      <c r="M1114" s="1">
        <v>43851</v>
      </c>
      <c r="N1114" t="str">
        <f>"O200121AC6"</f>
        <v>O200121AC6</v>
      </c>
      <c r="O1114" t="s">
        <v>28</v>
      </c>
      <c r="Q1114" t="s">
        <v>29</v>
      </c>
      <c r="R1114" t="s">
        <v>28</v>
      </c>
      <c r="S1114" t="s">
        <v>5074</v>
      </c>
      <c r="T1114" t="s">
        <v>5075</v>
      </c>
      <c r="W1114" t="s">
        <v>40</v>
      </c>
      <c r="X1114" t="s">
        <v>34</v>
      </c>
      <c r="Y1114" t="str">
        <f>"774985614"</f>
        <v>774985614</v>
      </c>
    </row>
    <row r="1115" spans="1:25" x14ac:dyDescent="0.25">
      <c r="A1115" t="s">
        <v>5076</v>
      </c>
      <c r="B1115" t="s">
        <v>5077</v>
      </c>
      <c r="C1115">
        <v>2021</v>
      </c>
      <c r="D1115">
        <v>8001</v>
      </c>
      <c r="E1115">
        <v>2</v>
      </c>
      <c r="F1115" t="s">
        <v>5078</v>
      </c>
      <c r="G1115">
        <v>30170275</v>
      </c>
      <c r="J1115">
        <v>16.809999999999999</v>
      </c>
      <c r="L1115">
        <v>48193252</v>
      </c>
      <c r="M1115" s="1">
        <v>44524</v>
      </c>
      <c r="N1115" t="str">
        <f>"EK211124"</f>
        <v>EK211124</v>
      </c>
      <c r="O1115" t="s">
        <v>28</v>
      </c>
      <c r="Q1115" t="s">
        <v>29</v>
      </c>
      <c r="R1115" t="s">
        <v>28</v>
      </c>
      <c r="S1115" t="s">
        <v>5079</v>
      </c>
      <c r="T1115" t="s">
        <v>5080</v>
      </c>
      <c r="W1115" t="s">
        <v>727</v>
      </c>
      <c r="X1115" t="s">
        <v>34</v>
      </c>
      <c r="Y1115" t="str">
        <f>"77583"</f>
        <v>77583</v>
      </c>
    </row>
    <row r="1116" spans="1:25" x14ac:dyDescent="0.25">
      <c r="A1116" t="s">
        <v>5081</v>
      </c>
      <c r="B1116" t="s">
        <v>5082</v>
      </c>
      <c r="C1116">
        <v>2020</v>
      </c>
      <c r="D1116">
        <v>8001</v>
      </c>
      <c r="E1116">
        <v>1</v>
      </c>
      <c r="F1116" t="s">
        <v>5083</v>
      </c>
      <c r="G1116">
        <v>0</v>
      </c>
      <c r="J1116">
        <v>20.59</v>
      </c>
      <c r="L1116">
        <v>46885366</v>
      </c>
      <c r="M1116" s="1">
        <v>44236</v>
      </c>
      <c r="N1116" t="str">
        <f>"J210209BW9"</f>
        <v>J210209BW9</v>
      </c>
      <c r="O1116" t="s">
        <v>28</v>
      </c>
      <c r="Q1116" t="s">
        <v>29</v>
      </c>
      <c r="R1116" t="s">
        <v>28</v>
      </c>
      <c r="S1116" t="s">
        <v>5083</v>
      </c>
      <c r="T1116" t="s">
        <v>5084</v>
      </c>
      <c r="U1116" t="s">
        <v>5085</v>
      </c>
      <c r="V1116" t="s">
        <v>60</v>
      </c>
      <c r="W1116" t="s">
        <v>5086</v>
      </c>
      <c r="X1116" t="s">
        <v>317</v>
      </c>
      <c r="Y1116" t="str">
        <f>"906501301   "</f>
        <v xml:space="preserve">906501301   </v>
      </c>
    </row>
    <row r="1117" spans="1:25" x14ac:dyDescent="0.25">
      <c r="A1117" t="s">
        <v>5087</v>
      </c>
      <c r="B1117" t="s">
        <v>5088</v>
      </c>
      <c r="C1117">
        <v>2020</v>
      </c>
      <c r="D1117">
        <v>8001</v>
      </c>
      <c r="E1117">
        <v>1</v>
      </c>
      <c r="F1117" t="s">
        <v>5089</v>
      </c>
      <c r="G1117">
        <v>29559999</v>
      </c>
      <c r="J1117" s="2">
        <v>1706.78</v>
      </c>
      <c r="L1117">
        <v>46396232</v>
      </c>
      <c r="M1117" s="1">
        <v>44223</v>
      </c>
      <c r="N1117" t="str">
        <f>"RC210225"</f>
        <v>RC210225</v>
      </c>
      <c r="O1117" t="s">
        <v>28</v>
      </c>
      <c r="Q1117" t="s">
        <v>29</v>
      </c>
      <c r="R1117" t="s">
        <v>28</v>
      </c>
      <c r="S1117" t="s">
        <v>5090</v>
      </c>
      <c r="T1117" t="s">
        <v>5091</v>
      </c>
      <c r="U1117" t="s">
        <v>5092</v>
      </c>
      <c r="W1117" t="s">
        <v>75</v>
      </c>
      <c r="X1117" t="s">
        <v>34</v>
      </c>
      <c r="Y1117" t="str">
        <f>"772076715"</f>
        <v>772076715</v>
      </c>
    </row>
    <row r="1118" spans="1:25" x14ac:dyDescent="0.25">
      <c r="A1118" t="s">
        <v>5093</v>
      </c>
      <c r="B1118" t="s">
        <v>5094</v>
      </c>
      <c r="C1118">
        <v>2019</v>
      </c>
      <c r="D1118">
        <v>8001</v>
      </c>
      <c r="E1118">
        <v>2</v>
      </c>
      <c r="F1118" t="s">
        <v>5095</v>
      </c>
      <c r="G1118">
        <v>203200</v>
      </c>
      <c r="J1118">
        <v>12.83</v>
      </c>
      <c r="L1118">
        <v>43907989</v>
      </c>
      <c r="M1118" s="1">
        <v>43899</v>
      </c>
      <c r="N1118" t="str">
        <f>"J200309AW2"</f>
        <v>J200309AW2</v>
      </c>
      <c r="O1118" t="s">
        <v>28</v>
      </c>
      <c r="Q1118" t="s">
        <v>29</v>
      </c>
      <c r="R1118" t="s">
        <v>28</v>
      </c>
      <c r="S1118" t="s">
        <v>1909</v>
      </c>
      <c r="T1118" t="s">
        <v>1910</v>
      </c>
      <c r="W1118" t="s">
        <v>1911</v>
      </c>
      <c r="X1118" t="s">
        <v>317</v>
      </c>
      <c r="Y1118" t="str">
        <f>"900514387"</f>
        <v>900514387</v>
      </c>
    </row>
    <row r="1119" spans="1:25" x14ac:dyDescent="0.25">
      <c r="A1119" t="s">
        <v>5096</v>
      </c>
      <c r="B1119" t="s">
        <v>5097</v>
      </c>
      <c r="C1119">
        <v>2021</v>
      </c>
      <c r="D1119">
        <v>8001</v>
      </c>
      <c r="E1119">
        <v>1</v>
      </c>
      <c r="F1119" t="s">
        <v>5098</v>
      </c>
      <c r="G1119">
        <v>28406245</v>
      </c>
      <c r="J1119">
        <v>131.66</v>
      </c>
      <c r="L1119">
        <v>49478167</v>
      </c>
      <c r="M1119" s="1">
        <v>44586</v>
      </c>
      <c r="N1119" t="str">
        <f>"RC220309"</f>
        <v>RC220309</v>
      </c>
      <c r="O1119" t="s">
        <v>28</v>
      </c>
      <c r="Q1119" t="s">
        <v>29</v>
      </c>
      <c r="R1119" t="s">
        <v>28</v>
      </c>
      <c r="S1119" t="s">
        <v>1474</v>
      </c>
      <c r="T1119" t="s">
        <v>1475</v>
      </c>
      <c r="W1119" t="s">
        <v>33</v>
      </c>
      <c r="X1119" t="s">
        <v>34</v>
      </c>
      <c r="Y1119" t="str">
        <f>"75093"</f>
        <v>75093</v>
      </c>
    </row>
    <row r="1120" spans="1:25" x14ac:dyDescent="0.25">
      <c r="A1120" t="s">
        <v>5099</v>
      </c>
      <c r="B1120" t="s">
        <v>5100</v>
      </c>
      <c r="C1120">
        <v>2020</v>
      </c>
      <c r="D1120">
        <v>8001</v>
      </c>
      <c r="E1120">
        <v>1</v>
      </c>
      <c r="F1120" t="s">
        <v>5101</v>
      </c>
      <c r="G1120">
        <v>29771819</v>
      </c>
      <c r="J1120">
        <v>353.74</v>
      </c>
      <c r="L1120">
        <v>47321103</v>
      </c>
      <c r="M1120" s="1">
        <v>44308</v>
      </c>
      <c r="N1120" t="str">
        <f>"RC210428"</f>
        <v>RC210428</v>
      </c>
      <c r="O1120" t="s">
        <v>28</v>
      </c>
      <c r="Q1120" t="s">
        <v>29</v>
      </c>
      <c r="R1120" t="s">
        <v>28</v>
      </c>
      <c r="S1120" t="s">
        <v>5102</v>
      </c>
      <c r="T1120" t="s">
        <v>5103</v>
      </c>
      <c r="W1120" t="s">
        <v>75</v>
      </c>
      <c r="X1120" t="s">
        <v>34</v>
      </c>
      <c r="Y1120" t="str">
        <f>"7700350403"</f>
        <v>7700350403</v>
      </c>
    </row>
    <row r="1121" spans="1:25" x14ac:dyDescent="0.25">
      <c r="A1121" t="s">
        <v>5104</v>
      </c>
      <c r="B1121" t="s">
        <v>5105</v>
      </c>
      <c r="C1121">
        <v>2019</v>
      </c>
      <c r="D1121">
        <v>8001</v>
      </c>
      <c r="E1121">
        <v>1</v>
      </c>
      <c r="F1121" t="s">
        <v>5106</v>
      </c>
      <c r="G1121">
        <v>28310321</v>
      </c>
      <c r="J1121">
        <v>15.31</v>
      </c>
      <c r="L1121">
        <v>43887142</v>
      </c>
      <c r="M1121" s="1">
        <v>43895</v>
      </c>
      <c r="N1121" t="str">
        <f>"CC200305"</f>
        <v>CC200305</v>
      </c>
      <c r="O1121" t="s">
        <v>28</v>
      </c>
      <c r="Q1121" t="s">
        <v>29</v>
      </c>
      <c r="R1121" t="s">
        <v>28</v>
      </c>
      <c r="S1121" t="s">
        <v>5107</v>
      </c>
      <c r="T1121" t="s">
        <v>5108</v>
      </c>
      <c r="W1121" t="s">
        <v>869</v>
      </c>
      <c r="X1121" t="s">
        <v>34</v>
      </c>
      <c r="Y1121" t="str">
        <f>"77417"</f>
        <v>77417</v>
      </c>
    </row>
    <row r="1122" spans="1:25" x14ac:dyDescent="0.25">
      <c r="A1122" t="s">
        <v>5109</v>
      </c>
      <c r="B1122" t="s">
        <v>5110</v>
      </c>
      <c r="C1122">
        <v>2020</v>
      </c>
      <c r="D1122">
        <v>8001</v>
      </c>
      <c r="E1122">
        <v>5</v>
      </c>
      <c r="F1122" t="s">
        <v>5111</v>
      </c>
      <c r="G1122">
        <v>29999612</v>
      </c>
      <c r="J1122">
        <v>29.91</v>
      </c>
      <c r="L1122">
        <v>47728760</v>
      </c>
      <c r="M1122" s="1">
        <v>44440</v>
      </c>
      <c r="N1122" t="str">
        <f>"RC210915"</f>
        <v>RC210915</v>
      </c>
      <c r="O1122" t="s">
        <v>28</v>
      </c>
      <c r="Q1122" t="s">
        <v>29</v>
      </c>
      <c r="R1122" t="s">
        <v>28</v>
      </c>
      <c r="S1122" t="s">
        <v>561</v>
      </c>
      <c r="T1122" t="s">
        <v>562</v>
      </c>
      <c r="W1122" t="s">
        <v>563</v>
      </c>
      <c r="X1122" t="s">
        <v>34</v>
      </c>
      <c r="Y1122" t="str">
        <f>"75063-0156"</f>
        <v>75063-0156</v>
      </c>
    </row>
    <row r="1123" spans="1:25" x14ac:dyDescent="0.25">
      <c r="A1123" t="s">
        <v>5112</v>
      </c>
      <c r="B1123" t="s">
        <v>5113</v>
      </c>
      <c r="C1123">
        <v>2020</v>
      </c>
      <c r="D1123">
        <v>8001</v>
      </c>
      <c r="E1123">
        <v>1</v>
      </c>
      <c r="F1123" t="s">
        <v>5114</v>
      </c>
      <c r="G1123">
        <v>29860021</v>
      </c>
      <c r="J1123">
        <v>12.21</v>
      </c>
      <c r="L1123">
        <v>47554616</v>
      </c>
      <c r="M1123" s="1">
        <v>44372</v>
      </c>
      <c r="N1123" t="str">
        <f>"O210625V1"</f>
        <v>O210625V1</v>
      </c>
      <c r="O1123" t="s">
        <v>28</v>
      </c>
      <c r="Q1123" t="s">
        <v>29</v>
      </c>
      <c r="R1123" t="s">
        <v>28</v>
      </c>
      <c r="S1123" t="s">
        <v>5115</v>
      </c>
      <c r="T1123" t="s">
        <v>5116</v>
      </c>
      <c r="W1123" t="s">
        <v>75</v>
      </c>
      <c r="X1123" t="s">
        <v>34</v>
      </c>
      <c r="Y1123" t="str">
        <f>"770032510"</f>
        <v>770032510</v>
      </c>
    </row>
    <row r="1124" spans="1:25" x14ac:dyDescent="0.25">
      <c r="A1124" t="s">
        <v>5117</v>
      </c>
      <c r="B1124" t="s">
        <v>5118</v>
      </c>
      <c r="C1124">
        <v>2020</v>
      </c>
      <c r="D1124">
        <v>8001</v>
      </c>
      <c r="E1124">
        <v>8</v>
      </c>
      <c r="F1124" t="s">
        <v>5119</v>
      </c>
      <c r="G1124">
        <v>0</v>
      </c>
      <c r="J1124">
        <v>25.6</v>
      </c>
      <c r="L1124">
        <v>45219336</v>
      </c>
      <c r="M1124" s="1">
        <v>44175</v>
      </c>
      <c r="N1124" t="str">
        <f>"L201210"</f>
        <v>L201210</v>
      </c>
      <c r="O1124" t="s">
        <v>28</v>
      </c>
      <c r="Q1124" t="s">
        <v>29</v>
      </c>
      <c r="R1124" t="s">
        <v>28</v>
      </c>
      <c r="S1124" t="s">
        <v>5119</v>
      </c>
      <c r="T1124" t="s">
        <v>5120</v>
      </c>
      <c r="U1124" t="s">
        <v>60</v>
      </c>
      <c r="V1124" t="s">
        <v>60</v>
      </c>
      <c r="W1124" t="s">
        <v>219</v>
      </c>
      <c r="X1124" t="s">
        <v>34</v>
      </c>
      <c r="Y1124" t="str">
        <f>"774784219   "</f>
        <v xml:space="preserve">774784219   </v>
      </c>
    </row>
    <row r="1125" spans="1:25" x14ac:dyDescent="0.25">
      <c r="A1125" t="s">
        <v>5121</v>
      </c>
      <c r="B1125" t="s">
        <v>5122</v>
      </c>
      <c r="C1125">
        <v>2020</v>
      </c>
      <c r="D1125">
        <v>8001</v>
      </c>
      <c r="E1125">
        <v>1</v>
      </c>
      <c r="F1125" t="s">
        <v>5123</v>
      </c>
      <c r="G1125">
        <v>21608361</v>
      </c>
      <c r="J1125">
        <v>7</v>
      </c>
      <c r="L1125">
        <v>45747665</v>
      </c>
      <c r="M1125" s="1">
        <v>44202</v>
      </c>
      <c r="N1125" t="str">
        <f>"RC210120"</f>
        <v>RC210120</v>
      </c>
      <c r="O1125" t="s">
        <v>28</v>
      </c>
      <c r="Q1125" t="s">
        <v>29</v>
      </c>
      <c r="R1125" t="s">
        <v>28</v>
      </c>
      <c r="S1125" t="s">
        <v>5124</v>
      </c>
      <c r="T1125" t="s">
        <v>5125</v>
      </c>
      <c r="W1125" t="s">
        <v>40</v>
      </c>
      <c r="X1125" t="s">
        <v>34</v>
      </c>
      <c r="Y1125" t="str">
        <f>"774784266"</f>
        <v>774784266</v>
      </c>
    </row>
    <row r="1126" spans="1:25" x14ac:dyDescent="0.25">
      <c r="A1126" t="s">
        <v>5126</v>
      </c>
      <c r="B1126" t="s">
        <v>5127</v>
      </c>
      <c r="C1126">
        <v>2019</v>
      </c>
      <c r="D1126">
        <v>8001</v>
      </c>
      <c r="E1126">
        <v>1</v>
      </c>
      <c r="F1126" t="s">
        <v>5128</v>
      </c>
      <c r="G1126">
        <v>28305499</v>
      </c>
      <c r="J1126">
        <v>304.01</v>
      </c>
      <c r="L1126">
        <v>43875251</v>
      </c>
      <c r="M1126" s="1">
        <v>43894</v>
      </c>
      <c r="N1126" t="str">
        <f>"CC400304"</f>
        <v>CC400304</v>
      </c>
      <c r="O1126" t="s">
        <v>28</v>
      </c>
      <c r="Q1126" t="s">
        <v>29</v>
      </c>
      <c r="R1126" t="s">
        <v>28</v>
      </c>
      <c r="S1126" t="s">
        <v>5129</v>
      </c>
      <c r="T1126" t="s">
        <v>5130</v>
      </c>
      <c r="W1126" t="s">
        <v>40</v>
      </c>
      <c r="X1126" t="s">
        <v>34</v>
      </c>
      <c r="Y1126" t="str">
        <f>"774792288"</f>
        <v>774792288</v>
      </c>
    </row>
    <row r="1127" spans="1:25" x14ac:dyDescent="0.25">
      <c r="A1127" t="s">
        <v>5131</v>
      </c>
      <c r="B1127" t="s">
        <v>5132</v>
      </c>
      <c r="C1127">
        <v>2020</v>
      </c>
      <c r="D1127">
        <v>8001</v>
      </c>
      <c r="E1127">
        <v>3</v>
      </c>
      <c r="F1127" t="s">
        <v>5133</v>
      </c>
      <c r="G1127">
        <v>22809016</v>
      </c>
      <c r="J1127">
        <v>625.11</v>
      </c>
      <c r="L1127">
        <v>47731317</v>
      </c>
      <c r="M1127" s="1">
        <v>44441</v>
      </c>
      <c r="N1127" t="str">
        <f>"RC210915"</f>
        <v>RC210915</v>
      </c>
      <c r="O1127" t="s">
        <v>28</v>
      </c>
      <c r="Q1127" t="s">
        <v>29</v>
      </c>
      <c r="R1127" t="s">
        <v>28</v>
      </c>
      <c r="S1127" t="s">
        <v>5134</v>
      </c>
      <c r="T1127" t="s">
        <v>5135</v>
      </c>
      <c r="W1127" t="s">
        <v>40</v>
      </c>
      <c r="X1127" t="s">
        <v>34</v>
      </c>
      <c r="Y1127" t="str">
        <f>"774791588"</f>
        <v>774791588</v>
      </c>
    </row>
    <row r="1128" spans="1:25" x14ac:dyDescent="0.25">
      <c r="A1128" t="s">
        <v>5136</v>
      </c>
      <c r="B1128" t="s">
        <v>5137</v>
      </c>
      <c r="C1128">
        <v>2018</v>
      </c>
      <c r="D1128">
        <v>8001</v>
      </c>
      <c r="E1128">
        <v>9</v>
      </c>
      <c r="F1128" t="s">
        <v>5138</v>
      </c>
      <c r="G1128">
        <v>27259102</v>
      </c>
      <c r="J1128">
        <v>18.7</v>
      </c>
      <c r="L1128">
        <v>40895434</v>
      </c>
      <c r="M1128" s="1">
        <v>43529</v>
      </c>
      <c r="N1128" t="str">
        <f>"EK390305"</f>
        <v>EK390305</v>
      </c>
      <c r="O1128" t="s">
        <v>28</v>
      </c>
      <c r="Q1128" t="s">
        <v>29</v>
      </c>
      <c r="R1128" t="s">
        <v>28</v>
      </c>
      <c r="S1128" t="s">
        <v>5139</v>
      </c>
      <c r="T1128" t="s">
        <v>5140</v>
      </c>
      <c r="W1128" t="s">
        <v>40</v>
      </c>
      <c r="X1128" t="s">
        <v>34</v>
      </c>
      <c r="Y1128" t="str">
        <f>"77479"</f>
        <v>77479</v>
      </c>
    </row>
    <row r="1129" spans="1:25" x14ac:dyDescent="0.25">
      <c r="A1129" t="s">
        <v>5141</v>
      </c>
      <c r="B1129" t="s">
        <v>5142</v>
      </c>
      <c r="C1129">
        <v>2019</v>
      </c>
      <c r="D1129">
        <v>8001</v>
      </c>
      <c r="E1129">
        <v>1</v>
      </c>
      <c r="F1129" t="s">
        <v>5143</v>
      </c>
      <c r="G1129">
        <v>22993312</v>
      </c>
      <c r="J1129">
        <v>41.93</v>
      </c>
      <c r="L1129">
        <v>44288765</v>
      </c>
      <c r="M1129" s="1">
        <v>43990</v>
      </c>
      <c r="N1129" t="str">
        <f>"J200608K5"</f>
        <v>J200608K5</v>
      </c>
      <c r="O1129" t="s">
        <v>28</v>
      </c>
      <c r="Q1129" t="s">
        <v>29</v>
      </c>
      <c r="R1129" t="s">
        <v>28</v>
      </c>
      <c r="S1129" t="s">
        <v>1794</v>
      </c>
      <c r="T1129" t="s">
        <v>1795</v>
      </c>
      <c r="W1129" t="s">
        <v>1615</v>
      </c>
      <c r="X1129" t="s">
        <v>143</v>
      </c>
      <c r="Y1129" t="str">
        <f>"191156320"</f>
        <v>191156320</v>
      </c>
    </row>
    <row r="1130" spans="1:25" x14ac:dyDescent="0.25">
      <c r="A1130" t="s">
        <v>5144</v>
      </c>
      <c r="B1130" t="s">
        <v>5145</v>
      </c>
      <c r="C1130">
        <v>2020</v>
      </c>
      <c r="D1130">
        <v>8001</v>
      </c>
      <c r="E1130">
        <v>1</v>
      </c>
      <c r="F1130" t="s">
        <v>5146</v>
      </c>
      <c r="G1130">
        <v>29461884</v>
      </c>
      <c r="J1130">
        <v>998.64</v>
      </c>
      <c r="L1130">
        <v>46728884</v>
      </c>
      <c r="M1130" s="1">
        <v>44230</v>
      </c>
      <c r="N1130" t="str">
        <f>"EK210203"</f>
        <v>EK210203</v>
      </c>
      <c r="O1130" t="s">
        <v>28</v>
      </c>
      <c r="Q1130" t="s">
        <v>29</v>
      </c>
      <c r="R1130" t="s">
        <v>28</v>
      </c>
      <c r="S1130" t="s">
        <v>5147</v>
      </c>
      <c r="T1130" t="s">
        <v>5148</v>
      </c>
      <c r="W1130" t="s">
        <v>40</v>
      </c>
      <c r="X1130" t="s">
        <v>34</v>
      </c>
      <c r="Y1130" t="str">
        <f>"77479"</f>
        <v>77479</v>
      </c>
    </row>
    <row r="1131" spans="1:25" x14ac:dyDescent="0.25">
      <c r="A1131" t="s">
        <v>5149</v>
      </c>
      <c r="B1131" t="s">
        <v>5150</v>
      </c>
      <c r="C1131">
        <v>2020</v>
      </c>
      <c r="D1131">
        <v>8001</v>
      </c>
      <c r="E1131">
        <v>1</v>
      </c>
      <c r="F1131" t="s">
        <v>5151</v>
      </c>
      <c r="G1131">
        <v>29461603</v>
      </c>
      <c r="J1131">
        <v>382.03</v>
      </c>
      <c r="L1131">
        <v>46728603</v>
      </c>
      <c r="M1131" s="1">
        <v>44230</v>
      </c>
      <c r="N1131" t="str">
        <f>"EK210203"</f>
        <v>EK210203</v>
      </c>
      <c r="O1131" t="s">
        <v>28</v>
      </c>
      <c r="Q1131" t="s">
        <v>29</v>
      </c>
      <c r="R1131" t="s">
        <v>28</v>
      </c>
      <c r="S1131" t="s">
        <v>5152</v>
      </c>
      <c r="T1131" t="s">
        <v>5153</v>
      </c>
      <c r="W1131" t="s">
        <v>40</v>
      </c>
      <c r="X1131" t="s">
        <v>34</v>
      </c>
      <c r="Y1131" t="str">
        <f>"77479"</f>
        <v>77479</v>
      </c>
    </row>
    <row r="1132" spans="1:25" x14ac:dyDescent="0.25">
      <c r="A1132" t="s">
        <v>5154</v>
      </c>
      <c r="B1132" t="s">
        <v>5155</v>
      </c>
      <c r="C1132">
        <v>2020</v>
      </c>
      <c r="D1132">
        <v>8001</v>
      </c>
      <c r="E1132">
        <v>1</v>
      </c>
      <c r="F1132" t="s">
        <v>5156</v>
      </c>
      <c r="G1132">
        <v>29596059</v>
      </c>
      <c r="J1132">
        <v>12.15</v>
      </c>
      <c r="L1132">
        <v>47018828</v>
      </c>
      <c r="M1132" s="1">
        <v>44258</v>
      </c>
      <c r="N1132" t="str">
        <f>"EK210303"</f>
        <v>EK210303</v>
      </c>
      <c r="O1132" t="s">
        <v>28</v>
      </c>
      <c r="Q1132" t="s">
        <v>29</v>
      </c>
      <c r="R1132" t="s">
        <v>28</v>
      </c>
      <c r="S1132" t="s">
        <v>5157</v>
      </c>
      <c r="T1132" t="s">
        <v>5158</v>
      </c>
      <c r="W1132" t="s">
        <v>154</v>
      </c>
      <c r="X1132" t="s">
        <v>34</v>
      </c>
      <c r="Y1132" t="str">
        <f>"77471"</f>
        <v>77471</v>
      </c>
    </row>
    <row r="1133" spans="1:25" x14ac:dyDescent="0.25">
      <c r="A1133" t="s">
        <v>5159</v>
      </c>
      <c r="B1133" t="s">
        <v>5160</v>
      </c>
      <c r="C1133">
        <v>2019</v>
      </c>
      <c r="D1133">
        <v>8001</v>
      </c>
      <c r="E1133">
        <v>1</v>
      </c>
      <c r="F1133" t="s">
        <v>5161</v>
      </c>
      <c r="G1133">
        <v>27822347</v>
      </c>
      <c r="J1133">
        <v>6.9</v>
      </c>
      <c r="L1133">
        <v>42569998</v>
      </c>
      <c r="M1133" s="1">
        <v>43832</v>
      </c>
      <c r="N1133" t="str">
        <f>"J200102AW7"</f>
        <v>J200102AW7</v>
      </c>
      <c r="O1133" t="s">
        <v>28</v>
      </c>
      <c r="Q1133" t="s">
        <v>29</v>
      </c>
      <c r="R1133" t="s">
        <v>28</v>
      </c>
      <c r="S1133" t="s">
        <v>1816</v>
      </c>
      <c r="T1133" t="s">
        <v>5162</v>
      </c>
      <c r="U1133" t="s">
        <v>5163</v>
      </c>
      <c r="W1133" t="s">
        <v>75</v>
      </c>
      <c r="X1133" t="s">
        <v>34</v>
      </c>
      <c r="Y1133" t="str">
        <f>"770274521"</f>
        <v>770274521</v>
      </c>
    </row>
    <row r="1134" spans="1:25" x14ac:dyDescent="0.25">
      <c r="A1134" t="s">
        <v>5164</v>
      </c>
      <c r="B1134" t="s">
        <v>5165</v>
      </c>
      <c r="C1134">
        <v>2020</v>
      </c>
      <c r="D1134">
        <v>8001</v>
      </c>
      <c r="E1134">
        <v>2</v>
      </c>
      <c r="F1134" t="s">
        <v>5166</v>
      </c>
      <c r="G1134">
        <v>29591322</v>
      </c>
      <c r="J1134">
        <v>110</v>
      </c>
      <c r="L1134">
        <v>47011579</v>
      </c>
      <c r="M1134" s="1">
        <v>44257</v>
      </c>
      <c r="N1134" t="str">
        <f>"EK210302"</f>
        <v>EK210302</v>
      </c>
      <c r="O1134" t="s">
        <v>28</v>
      </c>
      <c r="Q1134" t="s">
        <v>29</v>
      </c>
      <c r="R1134" t="s">
        <v>28</v>
      </c>
      <c r="S1134" t="s">
        <v>5167</v>
      </c>
      <c r="T1134" t="s">
        <v>5168</v>
      </c>
      <c r="W1134" t="s">
        <v>81</v>
      </c>
      <c r="X1134" t="s">
        <v>34</v>
      </c>
      <c r="Y1134" t="str">
        <f>"77469"</f>
        <v>77469</v>
      </c>
    </row>
    <row r="1135" spans="1:25" x14ac:dyDescent="0.25">
      <c r="A1135" t="s">
        <v>5169</v>
      </c>
      <c r="B1135" t="s">
        <v>5170</v>
      </c>
      <c r="C1135">
        <v>2021</v>
      </c>
      <c r="D1135">
        <v>8001</v>
      </c>
      <c r="E1135">
        <v>3</v>
      </c>
      <c r="F1135" t="s">
        <v>5171</v>
      </c>
      <c r="G1135">
        <v>30933535</v>
      </c>
      <c r="J1135">
        <v>70</v>
      </c>
      <c r="L1135">
        <v>49979392</v>
      </c>
      <c r="M1135" s="1">
        <v>44662</v>
      </c>
      <c r="N1135" t="str">
        <f>"T220411AJ1"</f>
        <v>T220411AJ1</v>
      </c>
      <c r="O1135" t="s">
        <v>28</v>
      </c>
      <c r="Q1135" t="s">
        <v>29</v>
      </c>
      <c r="R1135" t="s">
        <v>28</v>
      </c>
      <c r="S1135" t="s">
        <v>5172</v>
      </c>
      <c r="T1135" t="s">
        <v>5173</v>
      </c>
      <c r="W1135" t="s">
        <v>154</v>
      </c>
      <c r="X1135" t="s">
        <v>34</v>
      </c>
      <c r="Y1135" t="str">
        <f>"77471"</f>
        <v>77471</v>
      </c>
    </row>
    <row r="1136" spans="1:25" x14ac:dyDescent="0.25">
      <c r="A1136" t="s">
        <v>5174</v>
      </c>
      <c r="B1136" t="s">
        <v>5175</v>
      </c>
      <c r="C1136">
        <v>2020</v>
      </c>
      <c r="D1136">
        <v>8001</v>
      </c>
      <c r="E1136">
        <v>1</v>
      </c>
      <c r="F1136" t="s">
        <v>5176</v>
      </c>
      <c r="G1136">
        <v>26368145</v>
      </c>
      <c r="J1136">
        <v>294.43</v>
      </c>
      <c r="L1136">
        <v>45301156</v>
      </c>
      <c r="M1136" s="1">
        <v>44181</v>
      </c>
      <c r="N1136" t="str">
        <f>"RC210107"</f>
        <v>RC210107</v>
      </c>
      <c r="O1136" t="s">
        <v>28</v>
      </c>
      <c r="Q1136" t="s">
        <v>29</v>
      </c>
      <c r="R1136" t="s">
        <v>28</v>
      </c>
      <c r="S1136" t="s">
        <v>5177</v>
      </c>
      <c r="T1136" t="s">
        <v>3605</v>
      </c>
      <c r="W1136" t="s">
        <v>1075</v>
      </c>
      <c r="X1136" t="s">
        <v>34</v>
      </c>
      <c r="Y1136" t="str">
        <f>"76102"</f>
        <v>76102</v>
      </c>
    </row>
    <row r="1137" spans="1:25" x14ac:dyDescent="0.25">
      <c r="A1137" t="s">
        <v>5178</v>
      </c>
      <c r="B1137" t="s">
        <v>5179</v>
      </c>
      <c r="C1137">
        <v>2020</v>
      </c>
      <c r="D1137">
        <v>8001</v>
      </c>
      <c r="E1137">
        <v>1</v>
      </c>
      <c r="F1137" t="s">
        <v>5180</v>
      </c>
      <c r="G1137">
        <v>29952499</v>
      </c>
      <c r="J1137">
        <v>43.35</v>
      </c>
      <c r="L1137">
        <v>47673338</v>
      </c>
      <c r="M1137" s="1">
        <v>44411</v>
      </c>
      <c r="N1137" t="str">
        <f>"EK410803"</f>
        <v>EK410803</v>
      </c>
      <c r="O1137" t="s">
        <v>28</v>
      </c>
      <c r="Q1137" t="s">
        <v>29</v>
      </c>
      <c r="R1137" t="s">
        <v>28</v>
      </c>
      <c r="S1137" t="s">
        <v>5181</v>
      </c>
      <c r="T1137" t="s">
        <v>5182</v>
      </c>
      <c r="W1137" t="s">
        <v>107</v>
      </c>
      <c r="X1137" t="s">
        <v>34</v>
      </c>
      <c r="Y1137" t="str">
        <f>"77494"</f>
        <v>77494</v>
      </c>
    </row>
    <row r="1138" spans="1:25" x14ac:dyDescent="0.25">
      <c r="A1138" t="s">
        <v>5183</v>
      </c>
      <c r="B1138" t="s">
        <v>5184</v>
      </c>
      <c r="C1138">
        <v>2019</v>
      </c>
      <c r="D1138">
        <v>8001</v>
      </c>
      <c r="E1138">
        <v>1</v>
      </c>
      <c r="F1138" t="s">
        <v>5185</v>
      </c>
      <c r="G1138">
        <v>27453668</v>
      </c>
      <c r="J1138">
        <v>229.2</v>
      </c>
      <c r="L1138">
        <v>43698269</v>
      </c>
      <c r="M1138" s="1">
        <v>43871</v>
      </c>
      <c r="N1138" t="str">
        <f>"J200210AW7"</f>
        <v>J200210AW7</v>
      </c>
      <c r="O1138" t="s">
        <v>28</v>
      </c>
      <c r="Q1138" t="s">
        <v>29</v>
      </c>
      <c r="R1138" t="s">
        <v>28</v>
      </c>
      <c r="S1138" t="s">
        <v>3112</v>
      </c>
      <c r="T1138" t="s">
        <v>203</v>
      </c>
      <c r="U1138" t="s">
        <v>1475</v>
      </c>
      <c r="W1138" t="s">
        <v>33</v>
      </c>
      <c r="X1138" t="s">
        <v>34</v>
      </c>
      <c r="Y1138" t="str">
        <f>"750938768"</f>
        <v>750938768</v>
      </c>
    </row>
    <row r="1139" spans="1:25" x14ac:dyDescent="0.25">
      <c r="A1139" t="s">
        <v>5186</v>
      </c>
      <c r="B1139" t="s">
        <v>5187</v>
      </c>
      <c r="C1139">
        <v>2020</v>
      </c>
      <c r="D1139">
        <v>8001</v>
      </c>
      <c r="E1139">
        <v>2</v>
      </c>
      <c r="F1139" t="s">
        <v>5188</v>
      </c>
      <c r="G1139">
        <v>0</v>
      </c>
      <c r="J1139">
        <v>50.54</v>
      </c>
      <c r="L1139">
        <v>45096515</v>
      </c>
      <c r="M1139" s="1">
        <v>44168</v>
      </c>
      <c r="N1139" t="str">
        <f>"L201203A"</f>
        <v>L201203A</v>
      </c>
      <c r="O1139" t="s">
        <v>28</v>
      </c>
      <c r="Q1139" t="s">
        <v>29</v>
      </c>
      <c r="R1139" t="s">
        <v>28</v>
      </c>
      <c r="S1139" t="s">
        <v>5188</v>
      </c>
      <c r="T1139" t="s">
        <v>5189</v>
      </c>
      <c r="U1139" t="s">
        <v>60</v>
      </c>
      <c r="V1139" t="s">
        <v>60</v>
      </c>
      <c r="W1139" t="s">
        <v>1137</v>
      </c>
      <c r="X1139" t="s">
        <v>34</v>
      </c>
      <c r="Y1139" t="str">
        <f>"774943870   "</f>
        <v xml:space="preserve">774943870   </v>
      </c>
    </row>
    <row r="1140" spans="1:25" x14ac:dyDescent="0.25">
      <c r="A1140" t="s">
        <v>5190</v>
      </c>
      <c r="B1140" t="s">
        <v>5191</v>
      </c>
      <c r="C1140">
        <v>2020</v>
      </c>
      <c r="D1140">
        <v>8001</v>
      </c>
      <c r="E1140">
        <v>1</v>
      </c>
      <c r="F1140" t="s">
        <v>5192</v>
      </c>
      <c r="G1140">
        <v>29604584</v>
      </c>
      <c r="J1140">
        <v>12.24</v>
      </c>
      <c r="L1140">
        <v>47034766</v>
      </c>
      <c r="M1140" s="1">
        <v>44259</v>
      </c>
      <c r="N1140" t="str">
        <f>"CC210304"</f>
        <v>CC210304</v>
      </c>
      <c r="O1140" t="s">
        <v>28</v>
      </c>
      <c r="Q1140" t="s">
        <v>29</v>
      </c>
      <c r="R1140" t="s">
        <v>28</v>
      </c>
      <c r="S1140" t="s">
        <v>5193</v>
      </c>
      <c r="T1140" t="s">
        <v>5194</v>
      </c>
      <c r="W1140" t="s">
        <v>107</v>
      </c>
      <c r="X1140" t="s">
        <v>34</v>
      </c>
      <c r="Y1140" t="str">
        <f>"774946299"</f>
        <v>774946299</v>
      </c>
    </row>
    <row r="1141" spans="1:25" x14ac:dyDescent="0.25">
      <c r="A1141" t="s">
        <v>5195</v>
      </c>
      <c r="B1141" t="s">
        <v>5196</v>
      </c>
      <c r="C1141">
        <v>2021</v>
      </c>
      <c r="D1141">
        <v>8001</v>
      </c>
      <c r="E1141">
        <v>2</v>
      </c>
      <c r="F1141" t="s">
        <v>5197</v>
      </c>
      <c r="G1141">
        <v>0</v>
      </c>
      <c r="J1141">
        <v>236.01</v>
      </c>
      <c r="L1141">
        <v>48342944</v>
      </c>
      <c r="M1141" s="1">
        <v>44537</v>
      </c>
      <c r="N1141" t="str">
        <f>"O211207AO1"</f>
        <v>O211207AO1</v>
      </c>
      <c r="O1141" t="s">
        <v>28</v>
      </c>
      <c r="Q1141" t="s">
        <v>29</v>
      </c>
      <c r="R1141" t="s">
        <v>28</v>
      </c>
      <c r="S1141" t="s">
        <v>5197</v>
      </c>
      <c r="T1141" t="s">
        <v>5198</v>
      </c>
      <c r="U1141" t="s">
        <v>60</v>
      </c>
      <c r="V1141" t="s">
        <v>60</v>
      </c>
      <c r="W1141" t="s">
        <v>214</v>
      </c>
      <c r="X1141" t="s">
        <v>34</v>
      </c>
      <c r="Y1141" t="str">
        <f>"77469       "</f>
        <v xml:space="preserve">77469       </v>
      </c>
    </row>
    <row r="1142" spans="1:25" x14ac:dyDescent="0.25">
      <c r="A1142" t="s">
        <v>5199</v>
      </c>
      <c r="B1142" t="s">
        <v>5200</v>
      </c>
      <c r="C1142">
        <v>2020</v>
      </c>
      <c r="D1142">
        <v>8001</v>
      </c>
      <c r="E1142">
        <v>1</v>
      </c>
      <c r="F1142" t="s">
        <v>5201</v>
      </c>
      <c r="G1142">
        <v>26739465</v>
      </c>
      <c r="J1142">
        <v>8</v>
      </c>
      <c r="L1142">
        <v>47172494</v>
      </c>
      <c r="M1142" s="1">
        <v>44280</v>
      </c>
      <c r="N1142" t="str">
        <f>"RC210401"</f>
        <v>RC210401</v>
      </c>
      <c r="O1142" t="s">
        <v>28</v>
      </c>
      <c r="Q1142" t="s">
        <v>29</v>
      </c>
      <c r="R1142" t="s">
        <v>28</v>
      </c>
      <c r="S1142" t="s">
        <v>5202</v>
      </c>
      <c r="T1142" t="s">
        <v>5203</v>
      </c>
      <c r="W1142" t="s">
        <v>75</v>
      </c>
      <c r="X1142" t="s">
        <v>34</v>
      </c>
      <c r="Y1142" t="str">
        <f>"77221"</f>
        <v>77221</v>
      </c>
    </row>
    <row r="1143" spans="1:25" x14ac:dyDescent="0.25">
      <c r="A1143" t="s">
        <v>5204</v>
      </c>
      <c r="B1143" t="s">
        <v>5205</v>
      </c>
      <c r="C1143">
        <v>2019</v>
      </c>
      <c r="D1143">
        <v>8001</v>
      </c>
      <c r="E1143">
        <v>1</v>
      </c>
      <c r="F1143" t="s">
        <v>5206</v>
      </c>
      <c r="G1143">
        <v>25511767</v>
      </c>
      <c r="J1143">
        <v>71.5</v>
      </c>
      <c r="L1143">
        <v>43853127</v>
      </c>
      <c r="M1143" s="1">
        <v>43892</v>
      </c>
      <c r="N1143" t="str">
        <f>"O200302BK7"</f>
        <v>O200302BK7</v>
      </c>
      <c r="O1143" t="s">
        <v>28</v>
      </c>
      <c r="Q1143" t="s">
        <v>29</v>
      </c>
      <c r="R1143" t="s">
        <v>28</v>
      </c>
      <c r="S1143" t="s">
        <v>5207</v>
      </c>
      <c r="T1143" t="s">
        <v>5208</v>
      </c>
      <c r="W1143" t="s">
        <v>40</v>
      </c>
      <c r="X1143" t="s">
        <v>34</v>
      </c>
      <c r="Y1143" t="str">
        <f>"774985107"</f>
        <v>774985107</v>
      </c>
    </row>
    <row r="1144" spans="1:25" x14ac:dyDescent="0.25">
      <c r="A1144" t="s">
        <v>5209</v>
      </c>
      <c r="B1144" t="s">
        <v>5210</v>
      </c>
      <c r="C1144">
        <v>2019</v>
      </c>
      <c r="D1144">
        <v>8001</v>
      </c>
      <c r="E1144">
        <v>1</v>
      </c>
      <c r="F1144" t="s">
        <v>5211</v>
      </c>
      <c r="G1144">
        <v>24626171</v>
      </c>
      <c r="J1144">
        <v>571.30999999999995</v>
      </c>
      <c r="L1144">
        <v>43702546</v>
      </c>
      <c r="M1144" s="1">
        <v>43871</v>
      </c>
      <c r="N1144" t="str">
        <f>"O200210AX1"</f>
        <v>O200210AX1</v>
      </c>
      <c r="O1144" t="s">
        <v>28</v>
      </c>
      <c r="Q1144" t="s">
        <v>29</v>
      </c>
      <c r="R1144" t="s">
        <v>28</v>
      </c>
      <c r="S1144" t="s">
        <v>5212</v>
      </c>
      <c r="T1144" t="s">
        <v>1121</v>
      </c>
      <c r="W1144" t="s">
        <v>910</v>
      </c>
      <c r="X1144" t="s">
        <v>34</v>
      </c>
      <c r="Y1144" t="str">
        <f>"782295926"</f>
        <v>782295926</v>
      </c>
    </row>
    <row r="1145" spans="1:25" x14ac:dyDescent="0.25">
      <c r="A1145" t="s">
        <v>5213</v>
      </c>
      <c r="B1145" t="s">
        <v>5214</v>
      </c>
      <c r="C1145">
        <v>2021</v>
      </c>
      <c r="D1145">
        <v>8001</v>
      </c>
      <c r="E1145">
        <v>1</v>
      </c>
      <c r="F1145" t="s">
        <v>5215</v>
      </c>
      <c r="G1145">
        <v>31128798</v>
      </c>
      <c r="J1145">
        <v>13.63</v>
      </c>
      <c r="L1145">
        <v>50091007</v>
      </c>
      <c r="M1145" s="1">
        <v>44600</v>
      </c>
      <c r="N1145" t="str">
        <f>"RC220315"</f>
        <v>RC220315</v>
      </c>
      <c r="O1145" t="s">
        <v>28</v>
      </c>
      <c r="Q1145" t="s">
        <v>29</v>
      </c>
      <c r="R1145" t="s">
        <v>28</v>
      </c>
      <c r="S1145" t="s">
        <v>5216</v>
      </c>
      <c r="T1145" t="s">
        <v>5217</v>
      </c>
      <c r="W1145" t="s">
        <v>75</v>
      </c>
      <c r="X1145" t="s">
        <v>34</v>
      </c>
      <c r="Y1145" t="str">
        <f>"770832938"</f>
        <v>770832938</v>
      </c>
    </row>
    <row r="1146" spans="1:25" x14ac:dyDescent="0.25">
      <c r="A1146" t="s">
        <v>5218</v>
      </c>
      <c r="B1146" t="s">
        <v>5219</v>
      </c>
      <c r="C1146">
        <v>2020</v>
      </c>
      <c r="D1146">
        <v>8001</v>
      </c>
      <c r="E1146">
        <v>1</v>
      </c>
      <c r="F1146" t="s">
        <v>5220</v>
      </c>
      <c r="G1146">
        <v>29461762</v>
      </c>
      <c r="J1146">
        <v>309.07</v>
      </c>
      <c r="L1146">
        <v>46728762</v>
      </c>
      <c r="M1146" s="1">
        <v>44230</v>
      </c>
      <c r="N1146" t="str">
        <f>"EK210203"</f>
        <v>EK210203</v>
      </c>
      <c r="O1146" t="s">
        <v>28</v>
      </c>
      <c r="Q1146" t="s">
        <v>29</v>
      </c>
      <c r="R1146" t="s">
        <v>28</v>
      </c>
      <c r="S1146" t="s">
        <v>5221</v>
      </c>
      <c r="T1146" t="s">
        <v>5222</v>
      </c>
      <c r="W1146" t="s">
        <v>154</v>
      </c>
      <c r="X1146" t="s">
        <v>34</v>
      </c>
      <c r="Y1146" t="str">
        <f>"77471"</f>
        <v>77471</v>
      </c>
    </row>
    <row r="1147" spans="1:25" x14ac:dyDescent="0.25">
      <c r="A1147" t="s">
        <v>5223</v>
      </c>
      <c r="B1147" t="s">
        <v>5224</v>
      </c>
      <c r="C1147">
        <v>2020</v>
      </c>
      <c r="D1147">
        <v>8001</v>
      </c>
      <c r="E1147">
        <v>1</v>
      </c>
      <c r="F1147" t="s">
        <v>5225</v>
      </c>
      <c r="G1147">
        <v>0</v>
      </c>
      <c r="J1147">
        <v>460.16</v>
      </c>
      <c r="L1147">
        <v>46584098</v>
      </c>
      <c r="M1147" s="1">
        <v>44228</v>
      </c>
      <c r="N1147" t="str">
        <f>"O210201AR7"</f>
        <v>O210201AR7</v>
      </c>
      <c r="O1147" t="s">
        <v>28</v>
      </c>
      <c r="Q1147" t="s">
        <v>29</v>
      </c>
      <c r="R1147" t="s">
        <v>28</v>
      </c>
      <c r="S1147" t="s">
        <v>5226</v>
      </c>
      <c r="T1147" t="s">
        <v>5227</v>
      </c>
      <c r="U1147" t="s">
        <v>60</v>
      </c>
      <c r="V1147" t="s">
        <v>60</v>
      </c>
      <c r="W1147" t="s">
        <v>1333</v>
      </c>
      <c r="X1147" t="s">
        <v>34</v>
      </c>
      <c r="Y1147" t="str">
        <f>"774593063   "</f>
        <v xml:space="preserve">774593063   </v>
      </c>
    </row>
    <row r="1148" spans="1:25" x14ac:dyDescent="0.25">
      <c r="A1148" t="s">
        <v>5228</v>
      </c>
      <c r="B1148" t="s">
        <v>5229</v>
      </c>
      <c r="C1148">
        <v>2020</v>
      </c>
      <c r="D1148">
        <v>8001</v>
      </c>
      <c r="E1148">
        <v>2</v>
      </c>
      <c r="F1148" t="s">
        <v>5230</v>
      </c>
      <c r="G1148">
        <v>29794053</v>
      </c>
      <c r="J1148">
        <v>39.36</v>
      </c>
      <c r="L1148">
        <v>47351305</v>
      </c>
      <c r="M1148" s="1">
        <v>44316</v>
      </c>
      <c r="N1148" t="str">
        <f>"RC210505"</f>
        <v>RC210505</v>
      </c>
      <c r="O1148" t="s">
        <v>28</v>
      </c>
      <c r="Q1148" t="s">
        <v>29</v>
      </c>
      <c r="R1148" t="s">
        <v>28</v>
      </c>
      <c r="S1148" t="s">
        <v>1454</v>
      </c>
      <c r="T1148" t="s">
        <v>1455</v>
      </c>
      <c r="W1148" t="s">
        <v>1456</v>
      </c>
      <c r="X1148" t="s">
        <v>1457</v>
      </c>
      <c r="Y1148" t="str">
        <f>"234504968"</f>
        <v>234504968</v>
      </c>
    </row>
    <row r="1149" spans="1:25" x14ac:dyDescent="0.25">
      <c r="A1149" t="s">
        <v>5231</v>
      </c>
      <c r="B1149" t="s">
        <v>5232</v>
      </c>
      <c r="C1149">
        <v>2020</v>
      </c>
      <c r="D1149">
        <v>8001</v>
      </c>
      <c r="E1149">
        <v>1</v>
      </c>
      <c r="F1149" t="s">
        <v>5233</v>
      </c>
      <c r="G1149">
        <v>28479019</v>
      </c>
      <c r="J1149">
        <v>301.11</v>
      </c>
      <c r="L1149">
        <v>45161275</v>
      </c>
      <c r="M1149" s="1">
        <v>44173</v>
      </c>
      <c r="N1149" t="str">
        <f>"RC201217"</f>
        <v>RC201217</v>
      </c>
      <c r="O1149" t="s">
        <v>28</v>
      </c>
      <c r="Q1149" t="s">
        <v>29</v>
      </c>
      <c r="R1149" t="s">
        <v>28</v>
      </c>
      <c r="S1149" t="s">
        <v>127</v>
      </c>
      <c r="T1149" t="s">
        <v>3482</v>
      </c>
      <c r="U1149" t="s">
        <v>3483</v>
      </c>
      <c r="V1149" t="s">
        <v>3484</v>
      </c>
      <c r="W1149" t="s">
        <v>75</v>
      </c>
      <c r="X1149" t="s">
        <v>34</v>
      </c>
      <c r="Y1149" t="str">
        <f>"77042"</f>
        <v>77042</v>
      </c>
    </row>
    <row r="1150" spans="1:25" x14ac:dyDescent="0.25">
      <c r="A1150" t="s">
        <v>5234</v>
      </c>
      <c r="B1150" t="s">
        <v>5235</v>
      </c>
      <c r="C1150">
        <v>2020</v>
      </c>
      <c r="D1150">
        <v>8001</v>
      </c>
      <c r="E1150">
        <v>1</v>
      </c>
      <c r="F1150" t="s">
        <v>5236</v>
      </c>
      <c r="G1150">
        <v>29573198</v>
      </c>
      <c r="J1150">
        <v>9.33</v>
      </c>
      <c r="L1150">
        <v>47374807</v>
      </c>
      <c r="M1150" s="1">
        <v>44322</v>
      </c>
      <c r="N1150" t="str">
        <f>"RC210512"</f>
        <v>RC210512</v>
      </c>
      <c r="O1150" t="s">
        <v>28</v>
      </c>
      <c r="Q1150" t="s">
        <v>29</v>
      </c>
      <c r="R1150" t="s">
        <v>28</v>
      </c>
      <c r="S1150" t="s">
        <v>2818</v>
      </c>
      <c r="T1150" t="s">
        <v>3195</v>
      </c>
      <c r="W1150" t="s">
        <v>75</v>
      </c>
      <c r="X1150" t="s">
        <v>34</v>
      </c>
      <c r="Y1150" t="str">
        <f>"770573132"</f>
        <v>770573132</v>
      </c>
    </row>
    <row r="1151" spans="1:25" x14ac:dyDescent="0.25">
      <c r="A1151" t="s">
        <v>5237</v>
      </c>
      <c r="B1151" t="s">
        <v>5238</v>
      </c>
      <c r="C1151">
        <v>2020</v>
      </c>
      <c r="D1151">
        <v>8001</v>
      </c>
      <c r="E1151">
        <v>1</v>
      </c>
      <c r="F1151" t="s">
        <v>5239</v>
      </c>
      <c r="G1151">
        <v>28672277</v>
      </c>
      <c r="J1151">
        <v>20.51</v>
      </c>
      <c r="L1151">
        <v>45454433</v>
      </c>
      <c r="M1151" s="1">
        <v>44193</v>
      </c>
      <c r="N1151" t="str">
        <f>"RC210115"</f>
        <v>RC210115</v>
      </c>
      <c r="O1151" t="s">
        <v>28</v>
      </c>
      <c r="Q1151" t="s">
        <v>29</v>
      </c>
      <c r="R1151" t="s">
        <v>28</v>
      </c>
      <c r="S1151" t="s">
        <v>5240</v>
      </c>
      <c r="T1151" t="s">
        <v>5241</v>
      </c>
      <c r="W1151" t="s">
        <v>112</v>
      </c>
      <c r="X1151" t="s">
        <v>34</v>
      </c>
      <c r="Y1151" t="str">
        <f>"774791237"</f>
        <v>774791237</v>
      </c>
    </row>
    <row r="1152" spans="1:25" x14ac:dyDescent="0.25">
      <c r="A1152" t="s">
        <v>5242</v>
      </c>
      <c r="B1152" t="s">
        <v>5243</v>
      </c>
      <c r="C1152">
        <v>2021</v>
      </c>
      <c r="D1152">
        <v>8001</v>
      </c>
      <c r="E1152">
        <v>2</v>
      </c>
      <c r="F1152" t="s">
        <v>5244</v>
      </c>
      <c r="G1152">
        <v>28692840</v>
      </c>
      <c r="J1152" s="2">
        <v>1402.75</v>
      </c>
      <c r="L1152">
        <v>48888871</v>
      </c>
      <c r="M1152" s="1">
        <v>44565</v>
      </c>
      <c r="N1152" t="str">
        <f>"CL210001"</f>
        <v>CL210001</v>
      </c>
      <c r="O1152" t="s">
        <v>28</v>
      </c>
      <c r="Q1152" t="s">
        <v>29</v>
      </c>
      <c r="R1152" t="s">
        <v>28</v>
      </c>
      <c r="S1152" t="s">
        <v>1019</v>
      </c>
      <c r="T1152" t="s">
        <v>562</v>
      </c>
      <c r="W1152" t="s">
        <v>563</v>
      </c>
      <c r="X1152" t="s">
        <v>34</v>
      </c>
      <c r="Y1152" t="str">
        <f>"750630156"</f>
        <v>750630156</v>
      </c>
    </row>
    <row r="1153" spans="1:25" x14ac:dyDescent="0.25">
      <c r="A1153" t="s">
        <v>5245</v>
      </c>
      <c r="B1153" t="s">
        <v>5246</v>
      </c>
      <c r="C1153">
        <v>2019</v>
      </c>
      <c r="D1153">
        <v>8001</v>
      </c>
      <c r="E1153">
        <v>1</v>
      </c>
      <c r="F1153" t="s">
        <v>5247</v>
      </c>
      <c r="G1153">
        <v>28305495</v>
      </c>
      <c r="J1153">
        <v>56.38</v>
      </c>
      <c r="L1153">
        <v>43875247</v>
      </c>
      <c r="M1153" s="1">
        <v>43894</v>
      </c>
      <c r="N1153" t="str">
        <f>"CC400304"</f>
        <v>CC400304</v>
      </c>
      <c r="O1153" t="s">
        <v>28</v>
      </c>
      <c r="Q1153" t="s">
        <v>29</v>
      </c>
      <c r="R1153" t="s">
        <v>28</v>
      </c>
      <c r="S1153" t="s">
        <v>5248</v>
      </c>
      <c r="T1153" t="s">
        <v>5249</v>
      </c>
      <c r="W1153" t="s">
        <v>75</v>
      </c>
      <c r="X1153" t="s">
        <v>34</v>
      </c>
      <c r="Y1153" t="str">
        <f>"77099"</f>
        <v>77099</v>
      </c>
    </row>
    <row r="1154" spans="1:25" x14ac:dyDescent="0.25">
      <c r="A1154" t="s">
        <v>5250</v>
      </c>
      <c r="B1154" t="s">
        <v>5251</v>
      </c>
      <c r="C1154">
        <v>2018</v>
      </c>
      <c r="D1154">
        <v>8001</v>
      </c>
      <c r="E1154">
        <v>3</v>
      </c>
      <c r="F1154" t="s">
        <v>5252</v>
      </c>
      <c r="G1154">
        <v>27328714</v>
      </c>
      <c r="J1154">
        <v>18.68</v>
      </c>
      <c r="L1154">
        <v>41063755</v>
      </c>
      <c r="M1154" s="1">
        <v>43558</v>
      </c>
      <c r="N1154" t="str">
        <f>"EK190403"</f>
        <v>EK190403</v>
      </c>
      <c r="O1154" t="s">
        <v>28</v>
      </c>
      <c r="Q1154" t="s">
        <v>29</v>
      </c>
      <c r="R1154" t="s">
        <v>28</v>
      </c>
      <c r="S1154" t="s">
        <v>761</v>
      </c>
      <c r="T1154" t="s">
        <v>762</v>
      </c>
      <c r="W1154" t="s">
        <v>75</v>
      </c>
      <c r="X1154" t="s">
        <v>34</v>
      </c>
      <c r="Y1154" t="str">
        <f>"77084"</f>
        <v>77084</v>
      </c>
    </row>
    <row r="1155" spans="1:25" x14ac:dyDescent="0.25">
      <c r="A1155" t="s">
        <v>5253</v>
      </c>
      <c r="B1155" t="s">
        <v>5254</v>
      </c>
      <c r="C1155">
        <v>2021</v>
      </c>
      <c r="D1155">
        <v>8001</v>
      </c>
      <c r="E1155">
        <v>1</v>
      </c>
      <c r="F1155" t="s">
        <v>5255</v>
      </c>
      <c r="G1155">
        <v>27277529</v>
      </c>
      <c r="J1155">
        <v>835.75</v>
      </c>
      <c r="L1155">
        <v>48444792</v>
      </c>
      <c r="M1155" s="1">
        <v>44543</v>
      </c>
      <c r="N1155" t="str">
        <f>"RC220114"</f>
        <v>RC220114</v>
      </c>
      <c r="O1155" t="s">
        <v>28</v>
      </c>
      <c r="Q1155" t="s">
        <v>29</v>
      </c>
      <c r="R1155" t="s">
        <v>28</v>
      </c>
      <c r="S1155" t="s">
        <v>363</v>
      </c>
      <c r="T1155" t="s">
        <v>5256</v>
      </c>
      <c r="W1155" t="s">
        <v>75</v>
      </c>
      <c r="X1155" t="s">
        <v>34</v>
      </c>
      <c r="Y1155" t="str">
        <f>"770725255"</f>
        <v>770725255</v>
      </c>
    </row>
    <row r="1156" spans="1:25" x14ac:dyDescent="0.25">
      <c r="A1156" t="s">
        <v>5257</v>
      </c>
      <c r="B1156" t="s">
        <v>5258</v>
      </c>
      <c r="C1156">
        <v>2020</v>
      </c>
      <c r="D1156">
        <v>8001</v>
      </c>
      <c r="E1156">
        <v>3</v>
      </c>
      <c r="F1156" t="s">
        <v>5259</v>
      </c>
      <c r="G1156">
        <v>26430554</v>
      </c>
      <c r="J1156">
        <v>10.76</v>
      </c>
      <c r="L1156">
        <v>44772379</v>
      </c>
      <c r="M1156" s="1">
        <v>44140</v>
      </c>
      <c r="N1156" t="str">
        <f>"O201105AB1"</f>
        <v>O201105AB1</v>
      </c>
      <c r="O1156" t="s">
        <v>28</v>
      </c>
      <c r="Q1156" t="s">
        <v>29</v>
      </c>
      <c r="R1156" t="s">
        <v>28</v>
      </c>
      <c r="S1156" t="s">
        <v>2349</v>
      </c>
      <c r="T1156" t="s">
        <v>2350</v>
      </c>
      <c r="W1156" t="s">
        <v>2351</v>
      </c>
      <c r="X1156" t="s">
        <v>2352</v>
      </c>
      <c r="Y1156" t="str">
        <f>"841193284"</f>
        <v>841193284</v>
      </c>
    </row>
    <row r="1157" spans="1:25" x14ac:dyDescent="0.25">
      <c r="A1157" t="s">
        <v>5260</v>
      </c>
      <c r="B1157" t="s">
        <v>5261</v>
      </c>
      <c r="C1157">
        <v>2018</v>
      </c>
      <c r="D1157">
        <v>8001</v>
      </c>
      <c r="E1157">
        <v>1</v>
      </c>
      <c r="F1157" t="s">
        <v>5262</v>
      </c>
      <c r="G1157">
        <v>26230687</v>
      </c>
      <c r="J1157">
        <v>19.27</v>
      </c>
      <c r="L1157">
        <v>41511887</v>
      </c>
      <c r="M1157" s="1">
        <v>43704</v>
      </c>
      <c r="N1157" t="str">
        <f>"O190827Y1"</f>
        <v>O190827Y1</v>
      </c>
      <c r="O1157" t="s">
        <v>28</v>
      </c>
      <c r="Q1157" t="s">
        <v>29</v>
      </c>
      <c r="R1157" t="s">
        <v>28</v>
      </c>
      <c r="S1157" t="s">
        <v>5263</v>
      </c>
      <c r="T1157" t="s">
        <v>5264</v>
      </c>
      <c r="U1157" t="s">
        <v>5265</v>
      </c>
      <c r="W1157" t="s">
        <v>40</v>
      </c>
      <c r="X1157" t="s">
        <v>34</v>
      </c>
      <c r="Y1157" t="str">
        <f>"774981415"</f>
        <v>774981415</v>
      </c>
    </row>
    <row r="1158" spans="1:25" x14ac:dyDescent="0.25">
      <c r="A1158" t="s">
        <v>5266</v>
      </c>
      <c r="B1158" t="s">
        <v>5267</v>
      </c>
      <c r="C1158">
        <v>2018</v>
      </c>
      <c r="D1158">
        <v>8001</v>
      </c>
      <c r="E1158">
        <v>2</v>
      </c>
      <c r="F1158" t="s">
        <v>5268</v>
      </c>
      <c r="G1158">
        <v>27254740</v>
      </c>
      <c r="J1158">
        <v>55.98</v>
      </c>
      <c r="L1158">
        <v>40888042</v>
      </c>
      <c r="M1158" s="1">
        <v>43528</v>
      </c>
      <c r="N1158" t="str">
        <f>"CC290304"</f>
        <v>CC290304</v>
      </c>
      <c r="O1158" t="s">
        <v>28</v>
      </c>
      <c r="Q1158" t="s">
        <v>29</v>
      </c>
      <c r="R1158" t="s">
        <v>28</v>
      </c>
      <c r="S1158" t="s">
        <v>5269</v>
      </c>
      <c r="T1158" t="s">
        <v>5270</v>
      </c>
      <c r="W1158" t="s">
        <v>40</v>
      </c>
      <c r="X1158" t="s">
        <v>34</v>
      </c>
      <c r="Y1158" t="str">
        <f>"77498"</f>
        <v>77498</v>
      </c>
    </row>
    <row r="1159" spans="1:25" x14ac:dyDescent="0.25">
      <c r="A1159" t="s">
        <v>5271</v>
      </c>
      <c r="B1159" t="s">
        <v>5272</v>
      </c>
      <c r="C1159">
        <v>2020</v>
      </c>
      <c r="D1159">
        <v>8001</v>
      </c>
      <c r="E1159">
        <v>2</v>
      </c>
      <c r="F1159" t="s">
        <v>5273</v>
      </c>
      <c r="G1159">
        <v>30037669</v>
      </c>
      <c r="J1159">
        <v>512.05999999999995</v>
      </c>
      <c r="L1159">
        <v>47819581</v>
      </c>
      <c r="M1159" s="1">
        <v>44488</v>
      </c>
      <c r="N1159" t="str">
        <f>"O211019I1"</f>
        <v>O211019I1</v>
      </c>
      <c r="O1159" t="s">
        <v>28</v>
      </c>
      <c r="Q1159" t="s">
        <v>29</v>
      </c>
      <c r="R1159" t="s">
        <v>28</v>
      </c>
      <c r="S1159" t="s">
        <v>5274</v>
      </c>
      <c r="T1159" t="s">
        <v>5275</v>
      </c>
      <c r="U1159" t="s">
        <v>5276</v>
      </c>
      <c r="W1159" t="s">
        <v>40</v>
      </c>
      <c r="X1159" t="s">
        <v>34</v>
      </c>
      <c r="Y1159" t="str">
        <f>"774981461"</f>
        <v>774981461</v>
      </c>
    </row>
    <row r="1160" spans="1:25" x14ac:dyDescent="0.25">
      <c r="A1160" t="s">
        <v>5277</v>
      </c>
      <c r="B1160" t="s">
        <v>5278</v>
      </c>
      <c r="C1160">
        <v>2019</v>
      </c>
      <c r="D1160">
        <v>8001</v>
      </c>
      <c r="E1160">
        <v>2</v>
      </c>
      <c r="F1160" t="s">
        <v>5279</v>
      </c>
      <c r="G1160">
        <v>1528377</v>
      </c>
      <c r="J1160">
        <v>187.29</v>
      </c>
      <c r="L1160">
        <v>43690394</v>
      </c>
      <c r="M1160" s="1">
        <v>43871</v>
      </c>
      <c r="N1160" t="str">
        <f>"O200210AX1"</f>
        <v>O200210AX1</v>
      </c>
      <c r="O1160" t="s">
        <v>28</v>
      </c>
      <c r="Q1160" t="s">
        <v>29</v>
      </c>
      <c r="R1160" t="s">
        <v>28</v>
      </c>
      <c r="S1160" t="s">
        <v>3856</v>
      </c>
      <c r="T1160" t="s">
        <v>3857</v>
      </c>
      <c r="U1160" t="s">
        <v>3858</v>
      </c>
      <c r="W1160" t="s">
        <v>75</v>
      </c>
      <c r="X1160" t="s">
        <v>34</v>
      </c>
      <c r="Y1160" t="str">
        <f>"77231"</f>
        <v>77231</v>
      </c>
    </row>
    <row r="1161" spans="1:25" x14ac:dyDescent="0.25">
      <c r="A1161" t="s">
        <v>5280</v>
      </c>
      <c r="B1161" t="s">
        <v>5281</v>
      </c>
      <c r="C1161">
        <v>2021</v>
      </c>
      <c r="D1161">
        <v>8001</v>
      </c>
      <c r="E1161">
        <v>1</v>
      </c>
      <c r="F1161" t="s">
        <v>5282</v>
      </c>
      <c r="G1161">
        <v>30087441</v>
      </c>
      <c r="J1161">
        <v>16.27</v>
      </c>
      <c r="L1161">
        <v>47956388</v>
      </c>
      <c r="M1161" s="1">
        <v>44516</v>
      </c>
      <c r="N1161" t="str">
        <f>"TE211116"</f>
        <v>TE211116</v>
      </c>
      <c r="O1161" t="s">
        <v>28</v>
      </c>
      <c r="Q1161" t="s">
        <v>29</v>
      </c>
      <c r="R1161" t="s">
        <v>28</v>
      </c>
      <c r="S1161" t="s">
        <v>5283</v>
      </c>
      <c r="T1161" t="s">
        <v>5284</v>
      </c>
      <c r="W1161" t="s">
        <v>75</v>
      </c>
      <c r="X1161" t="s">
        <v>34</v>
      </c>
      <c r="Y1161" t="str">
        <f>"77072"</f>
        <v>77072</v>
      </c>
    </row>
    <row r="1162" spans="1:25" x14ac:dyDescent="0.25">
      <c r="A1162" t="s">
        <v>5285</v>
      </c>
      <c r="B1162" t="s">
        <v>5286</v>
      </c>
      <c r="C1162">
        <v>2020</v>
      </c>
      <c r="D1162">
        <v>8001</v>
      </c>
      <c r="E1162">
        <v>2</v>
      </c>
      <c r="F1162" t="s">
        <v>5287</v>
      </c>
      <c r="G1162">
        <v>28692840</v>
      </c>
      <c r="J1162" s="2">
        <v>1586.45</v>
      </c>
      <c r="L1162">
        <v>45485787</v>
      </c>
      <c r="M1162" s="1">
        <v>44193</v>
      </c>
      <c r="N1162" t="str">
        <f>"CL200001"</f>
        <v>CL200001</v>
      </c>
      <c r="O1162" t="s">
        <v>28</v>
      </c>
      <c r="Q1162" t="s">
        <v>29</v>
      </c>
      <c r="R1162" t="s">
        <v>28</v>
      </c>
      <c r="S1162" t="s">
        <v>1019</v>
      </c>
      <c r="T1162" t="s">
        <v>562</v>
      </c>
      <c r="W1162" t="s">
        <v>563</v>
      </c>
      <c r="X1162" t="s">
        <v>34</v>
      </c>
      <c r="Y1162" t="str">
        <f>"750630156"</f>
        <v>750630156</v>
      </c>
    </row>
    <row r="1163" spans="1:25" x14ac:dyDescent="0.25">
      <c r="A1163" t="s">
        <v>5288</v>
      </c>
      <c r="B1163" t="s">
        <v>5289</v>
      </c>
      <c r="C1163">
        <v>2019</v>
      </c>
      <c r="D1163">
        <v>8001</v>
      </c>
      <c r="E1163">
        <v>24</v>
      </c>
      <c r="F1163" t="s">
        <v>5290</v>
      </c>
      <c r="G1163">
        <v>24929497</v>
      </c>
      <c r="J1163">
        <v>9.4600000000000009</v>
      </c>
      <c r="L1163">
        <v>41563398</v>
      </c>
      <c r="M1163" s="1">
        <v>43766</v>
      </c>
      <c r="N1163" t="str">
        <f>"TE191028"</f>
        <v>TE191028</v>
      </c>
      <c r="O1163" t="s">
        <v>28</v>
      </c>
      <c r="Q1163" t="s">
        <v>29</v>
      </c>
      <c r="R1163" t="s">
        <v>28</v>
      </c>
      <c r="S1163" t="s">
        <v>5291</v>
      </c>
      <c r="T1163" t="s">
        <v>5292</v>
      </c>
      <c r="W1163" t="s">
        <v>40</v>
      </c>
      <c r="X1163" t="s">
        <v>34</v>
      </c>
      <c r="Y1163" t="str">
        <f>"774795086"</f>
        <v>774795086</v>
      </c>
    </row>
    <row r="1164" spans="1:25" x14ac:dyDescent="0.25">
      <c r="A1164" t="s">
        <v>5293</v>
      </c>
      <c r="B1164" t="s">
        <v>5294</v>
      </c>
      <c r="C1164">
        <v>2019</v>
      </c>
      <c r="D1164">
        <v>8001</v>
      </c>
      <c r="E1164">
        <v>1</v>
      </c>
      <c r="F1164" t="s">
        <v>5295</v>
      </c>
      <c r="G1164">
        <v>1444604</v>
      </c>
      <c r="J1164">
        <v>559.62</v>
      </c>
      <c r="L1164">
        <v>44538272</v>
      </c>
      <c r="M1164" s="1">
        <v>44085</v>
      </c>
      <c r="N1164" t="str">
        <f>"J200911AE1"</f>
        <v>J200911AE1</v>
      </c>
      <c r="O1164" t="s">
        <v>28</v>
      </c>
      <c r="Q1164" t="s">
        <v>29</v>
      </c>
      <c r="R1164" t="s">
        <v>28</v>
      </c>
      <c r="S1164" t="s">
        <v>1436</v>
      </c>
      <c r="T1164" t="s">
        <v>5296</v>
      </c>
      <c r="W1164" t="s">
        <v>75</v>
      </c>
      <c r="X1164" t="s">
        <v>34</v>
      </c>
      <c r="Y1164" t="str">
        <f>"77014"</f>
        <v>77014</v>
      </c>
    </row>
    <row r="1165" spans="1:25" x14ac:dyDescent="0.25">
      <c r="A1165" t="s">
        <v>5297</v>
      </c>
      <c r="B1165" t="s">
        <v>5298</v>
      </c>
      <c r="C1165">
        <v>2020</v>
      </c>
      <c r="D1165">
        <v>8001</v>
      </c>
      <c r="E1165">
        <v>1</v>
      </c>
      <c r="F1165" t="s">
        <v>5299</v>
      </c>
      <c r="G1165">
        <v>29461708</v>
      </c>
      <c r="J1165">
        <v>174.83</v>
      </c>
      <c r="L1165">
        <v>46728708</v>
      </c>
      <c r="M1165" s="1">
        <v>44230</v>
      </c>
      <c r="N1165" t="str">
        <f>"EK210203"</f>
        <v>EK210203</v>
      </c>
      <c r="O1165" t="s">
        <v>28</v>
      </c>
      <c r="Q1165" t="s">
        <v>29</v>
      </c>
      <c r="R1165" t="s">
        <v>28</v>
      </c>
      <c r="S1165" t="s">
        <v>5300</v>
      </c>
      <c r="T1165" t="s">
        <v>5301</v>
      </c>
      <c r="W1165" t="s">
        <v>75</v>
      </c>
      <c r="X1165" t="s">
        <v>34</v>
      </c>
      <c r="Y1165" t="str">
        <f>"77027"</f>
        <v>77027</v>
      </c>
    </row>
    <row r="1166" spans="1:25" x14ac:dyDescent="0.25">
      <c r="A1166" t="s">
        <v>5302</v>
      </c>
      <c r="B1166" t="s">
        <v>5303</v>
      </c>
      <c r="C1166">
        <v>2021</v>
      </c>
      <c r="D1166">
        <v>8001</v>
      </c>
      <c r="E1166">
        <v>1</v>
      </c>
      <c r="F1166" t="s">
        <v>5304</v>
      </c>
      <c r="G1166">
        <v>0</v>
      </c>
      <c r="J1166">
        <v>211.23</v>
      </c>
      <c r="L1166">
        <v>49493283</v>
      </c>
      <c r="M1166" s="1">
        <v>44586</v>
      </c>
      <c r="N1166" t="str">
        <f>"L220125"</f>
        <v>L220125</v>
      </c>
      <c r="O1166" t="s">
        <v>28</v>
      </c>
      <c r="Q1166" t="s">
        <v>29</v>
      </c>
      <c r="R1166" t="s">
        <v>28</v>
      </c>
      <c r="S1166" t="s">
        <v>5304</v>
      </c>
      <c r="T1166" t="s">
        <v>5305</v>
      </c>
      <c r="U1166" t="s">
        <v>60</v>
      </c>
      <c r="V1166" t="s">
        <v>60</v>
      </c>
      <c r="W1166" t="s">
        <v>214</v>
      </c>
      <c r="X1166" t="s">
        <v>34</v>
      </c>
      <c r="Y1166" t="str">
        <f>"774071590   "</f>
        <v xml:space="preserve">774071590   </v>
      </c>
    </row>
    <row r="1167" spans="1:25" x14ac:dyDescent="0.25">
      <c r="A1167" t="s">
        <v>5306</v>
      </c>
      <c r="B1167" t="s">
        <v>5307</v>
      </c>
      <c r="C1167">
        <v>2018</v>
      </c>
      <c r="D1167">
        <v>8001</v>
      </c>
      <c r="E1167">
        <v>3</v>
      </c>
      <c r="F1167" t="s">
        <v>5308</v>
      </c>
      <c r="G1167">
        <v>0</v>
      </c>
      <c r="J1167">
        <v>9.8699999999999992</v>
      </c>
      <c r="L1167">
        <v>41556892</v>
      </c>
      <c r="M1167" s="1">
        <v>43728</v>
      </c>
      <c r="N1167" t="str">
        <f>"J190920AW2"</f>
        <v>J190920AW2</v>
      </c>
      <c r="O1167" t="s">
        <v>28</v>
      </c>
      <c r="Q1167" t="s">
        <v>29</v>
      </c>
      <c r="R1167" t="s">
        <v>28</v>
      </c>
      <c r="S1167" t="s">
        <v>5308</v>
      </c>
      <c r="T1167" t="s">
        <v>5309</v>
      </c>
      <c r="U1167" t="s">
        <v>60</v>
      </c>
      <c r="V1167" t="s">
        <v>60</v>
      </c>
      <c r="W1167" t="s">
        <v>214</v>
      </c>
      <c r="X1167" t="s">
        <v>34</v>
      </c>
      <c r="Y1167" t="str">
        <f>"774071974   "</f>
        <v xml:space="preserve">774071974   </v>
      </c>
    </row>
    <row r="1168" spans="1:25" x14ac:dyDescent="0.25">
      <c r="A1168" t="s">
        <v>5310</v>
      </c>
      <c r="B1168" t="s">
        <v>5311</v>
      </c>
      <c r="C1168">
        <v>2020</v>
      </c>
      <c r="D1168">
        <v>8001</v>
      </c>
      <c r="E1168">
        <v>2</v>
      </c>
      <c r="F1168" t="s">
        <v>5312</v>
      </c>
      <c r="G1168">
        <v>28350642</v>
      </c>
      <c r="J1168">
        <v>35.659999999999997</v>
      </c>
      <c r="L1168">
        <v>47046489</v>
      </c>
      <c r="M1168" s="1">
        <v>44260</v>
      </c>
      <c r="N1168" t="str">
        <f>"RC210310"</f>
        <v>RC210310</v>
      </c>
      <c r="O1168" t="s">
        <v>28</v>
      </c>
      <c r="Q1168" t="s">
        <v>29</v>
      </c>
      <c r="R1168" t="s">
        <v>28</v>
      </c>
      <c r="S1168" t="s">
        <v>1699</v>
      </c>
      <c r="T1168" t="s">
        <v>1685</v>
      </c>
      <c r="U1168" t="s">
        <v>562</v>
      </c>
      <c r="W1168" t="s">
        <v>563</v>
      </c>
      <c r="X1168" t="s">
        <v>34</v>
      </c>
      <c r="Y1168" t="str">
        <f>"750630156"</f>
        <v>750630156</v>
      </c>
    </row>
    <row r="1169" spans="1:25" x14ac:dyDescent="0.25">
      <c r="A1169" t="s">
        <v>5313</v>
      </c>
      <c r="B1169" t="s">
        <v>5314</v>
      </c>
      <c r="C1169">
        <v>2021</v>
      </c>
      <c r="D1169">
        <v>8001</v>
      </c>
      <c r="E1169">
        <v>1</v>
      </c>
      <c r="F1169" t="s">
        <v>5315</v>
      </c>
      <c r="G1169">
        <v>0</v>
      </c>
      <c r="J1169">
        <v>425.67</v>
      </c>
      <c r="L1169">
        <v>49452044</v>
      </c>
      <c r="M1169" s="1">
        <v>44585</v>
      </c>
      <c r="N1169" t="str">
        <f>"J220124K5"</f>
        <v>J220124K5</v>
      </c>
      <c r="O1169" t="s">
        <v>28</v>
      </c>
      <c r="Q1169" t="s">
        <v>29</v>
      </c>
      <c r="R1169" t="s">
        <v>28</v>
      </c>
      <c r="S1169" t="s">
        <v>5315</v>
      </c>
      <c r="T1169" t="s">
        <v>5316</v>
      </c>
      <c r="U1169" t="s">
        <v>60</v>
      </c>
      <c r="V1169" t="s">
        <v>60</v>
      </c>
      <c r="W1169" t="s">
        <v>214</v>
      </c>
      <c r="X1169" t="s">
        <v>34</v>
      </c>
      <c r="Y1169" t="str">
        <f>"774072282   "</f>
        <v xml:space="preserve">774072282   </v>
      </c>
    </row>
    <row r="1170" spans="1:25" x14ac:dyDescent="0.25">
      <c r="A1170" t="s">
        <v>5317</v>
      </c>
      <c r="B1170" t="s">
        <v>5318</v>
      </c>
      <c r="C1170">
        <v>2020</v>
      </c>
      <c r="D1170">
        <v>8001</v>
      </c>
      <c r="E1170">
        <v>1</v>
      </c>
      <c r="F1170" t="s">
        <v>5319</v>
      </c>
      <c r="G1170">
        <v>28791789</v>
      </c>
      <c r="J1170">
        <v>137.6</v>
      </c>
      <c r="L1170">
        <v>44951827</v>
      </c>
      <c r="M1170" s="1">
        <v>44155</v>
      </c>
      <c r="N1170" t="str">
        <f>"O201120BS1"</f>
        <v>O201120BS1</v>
      </c>
      <c r="O1170" t="s">
        <v>28</v>
      </c>
      <c r="Q1170" t="s">
        <v>29</v>
      </c>
      <c r="R1170" t="s">
        <v>28</v>
      </c>
      <c r="S1170" t="s">
        <v>1393</v>
      </c>
      <c r="T1170" t="s">
        <v>1394</v>
      </c>
      <c r="W1170" t="s">
        <v>1075</v>
      </c>
      <c r="X1170" t="s">
        <v>34</v>
      </c>
      <c r="Y1170" t="str">
        <f>"761771529"</f>
        <v>761771529</v>
      </c>
    </row>
    <row r="1171" spans="1:25" x14ac:dyDescent="0.25">
      <c r="A1171" t="s">
        <v>5320</v>
      </c>
      <c r="B1171" t="s">
        <v>5321</v>
      </c>
      <c r="C1171">
        <v>2020</v>
      </c>
      <c r="D1171">
        <v>8001</v>
      </c>
      <c r="E1171">
        <v>1</v>
      </c>
      <c r="F1171" t="s">
        <v>5322</v>
      </c>
      <c r="G1171">
        <v>28687867</v>
      </c>
      <c r="J1171">
        <v>26.53</v>
      </c>
      <c r="L1171">
        <v>44591726</v>
      </c>
      <c r="M1171" s="1">
        <v>44147</v>
      </c>
      <c r="N1171" t="str">
        <f>"TE201112"</f>
        <v>TE201112</v>
      </c>
      <c r="O1171" t="s">
        <v>28</v>
      </c>
      <c r="Q1171" t="s">
        <v>29</v>
      </c>
      <c r="R1171" t="s">
        <v>28</v>
      </c>
      <c r="S1171" t="s">
        <v>5323</v>
      </c>
      <c r="T1171" t="s">
        <v>5324</v>
      </c>
      <c r="W1171" t="s">
        <v>1075</v>
      </c>
      <c r="X1171" t="s">
        <v>34</v>
      </c>
      <c r="Y1171" t="str">
        <f>"761315341"</f>
        <v>761315341</v>
      </c>
    </row>
    <row r="1172" spans="1:25" x14ac:dyDescent="0.25">
      <c r="A1172" t="s">
        <v>5325</v>
      </c>
      <c r="B1172" t="s">
        <v>5326</v>
      </c>
      <c r="C1172">
        <v>2019</v>
      </c>
      <c r="D1172">
        <v>8001</v>
      </c>
      <c r="E1172">
        <v>3</v>
      </c>
      <c r="F1172" t="s">
        <v>5327</v>
      </c>
      <c r="G1172">
        <v>26479108</v>
      </c>
      <c r="J1172">
        <v>967.73</v>
      </c>
      <c r="L1172">
        <v>44179716</v>
      </c>
      <c r="M1172" s="1">
        <v>43970</v>
      </c>
      <c r="N1172" t="str">
        <f>"J200519AW7"</f>
        <v>J200519AW7</v>
      </c>
      <c r="O1172" t="s">
        <v>28</v>
      </c>
      <c r="Q1172" t="s">
        <v>29</v>
      </c>
      <c r="R1172" t="s">
        <v>28</v>
      </c>
      <c r="S1172" t="s">
        <v>1033</v>
      </c>
      <c r="T1172" t="s">
        <v>1560</v>
      </c>
      <c r="W1172" t="s">
        <v>1729</v>
      </c>
      <c r="X1172" t="s">
        <v>169</v>
      </c>
      <c r="Y1172" t="str">
        <f>"80129"</f>
        <v>80129</v>
      </c>
    </row>
    <row r="1173" spans="1:25" x14ac:dyDescent="0.25">
      <c r="A1173" t="s">
        <v>5328</v>
      </c>
      <c r="B1173" t="s">
        <v>5329</v>
      </c>
      <c r="C1173">
        <v>2020</v>
      </c>
      <c r="D1173">
        <v>8001</v>
      </c>
      <c r="E1173">
        <v>1</v>
      </c>
      <c r="F1173" t="s">
        <v>5330</v>
      </c>
      <c r="G1173">
        <v>0</v>
      </c>
      <c r="J1173">
        <v>117.77</v>
      </c>
      <c r="L1173">
        <v>44987375</v>
      </c>
      <c r="M1173" s="1">
        <v>44160</v>
      </c>
      <c r="N1173" t="str">
        <f>"J201125AE1"</f>
        <v>J201125AE1</v>
      </c>
      <c r="O1173" t="s">
        <v>28</v>
      </c>
      <c r="Q1173" t="s">
        <v>29</v>
      </c>
      <c r="R1173" t="s">
        <v>28</v>
      </c>
      <c r="S1173" t="s">
        <v>5330</v>
      </c>
      <c r="T1173" t="s">
        <v>5331</v>
      </c>
      <c r="U1173" t="s">
        <v>60</v>
      </c>
      <c r="V1173" t="s">
        <v>60</v>
      </c>
      <c r="W1173" t="s">
        <v>1137</v>
      </c>
      <c r="X1173" t="s">
        <v>34</v>
      </c>
      <c r="Y1173" t="str">
        <f>"774947415   "</f>
        <v xml:space="preserve">774947415   </v>
      </c>
    </row>
    <row r="1174" spans="1:25" x14ac:dyDescent="0.25">
      <c r="A1174" t="s">
        <v>5332</v>
      </c>
      <c r="B1174" t="s">
        <v>5333</v>
      </c>
      <c r="C1174">
        <v>2020</v>
      </c>
      <c r="D1174">
        <v>8001</v>
      </c>
      <c r="E1174">
        <v>1</v>
      </c>
      <c r="F1174" t="s">
        <v>1919</v>
      </c>
      <c r="G1174">
        <v>0</v>
      </c>
      <c r="J1174">
        <v>431.76</v>
      </c>
      <c r="L1174">
        <v>46885387</v>
      </c>
      <c r="M1174" s="1">
        <v>44236</v>
      </c>
      <c r="N1174" t="str">
        <f>"J210209BW9"</f>
        <v>J210209BW9</v>
      </c>
      <c r="O1174" t="s">
        <v>28</v>
      </c>
      <c r="Q1174" t="s">
        <v>29</v>
      </c>
      <c r="R1174" t="s">
        <v>28</v>
      </c>
      <c r="S1174" t="s">
        <v>1919</v>
      </c>
      <c r="T1174" t="s">
        <v>1920</v>
      </c>
      <c r="U1174" t="s">
        <v>60</v>
      </c>
      <c r="V1174" t="s">
        <v>60</v>
      </c>
      <c r="W1174" t="s">
        <v>1137</v>
      </c>
      <c r="X1174" t="s">
        <v>34</v>
      </c>
      <c r="Y1174" t="str">
        <f>"774945298   "</f>
        <v xml:space="preserve">774945298   </v>
      </c>
    </row>
    <row r="1175" spans="1:25" x14ac:dyDescent="0.25">
      <c r="A1175" t="s">
        <v>5334</v>
      </c>
      <c r="B1175" t="s">
        <v>5335</v>
      </c>
      <c r="C1175">
        <v>2020</v>
      </c>
      <c r="D1175">
        <v>8001</v>
      </c>
      <c r="E1175">
        <v>1</v>
      </c>
      <c r="F1175" t="s">
        <v>1919</v>
      </c>
      <c r="G1175">
        <v>0</v>
      </c>
      <c r="J1175">
        <v>401.03</v>
      </c>
      <c r="L1175">
        <v>46885389</v>
      </c>
      <c r="M1175" s="1">
        <v>44236</v>
      </c>
      <c r="N1175" t="str">
        <f>"J210209BW9"</f>
        <v>J210209BW9</v>
      </c>
      <c r="O1175" t="s">
        <v>28</v>
      </c>
      <c r="Q1175" t="s">
        <v>29</v>
      </c>
      <c r="R1175" t="s">
        <v>28</v>
      </c>
      <c r="S1175" t="s">
        <v>1919</v>
      </c>
      <c r="T1175" t="s">
        <v>5336</v>
      </c>
      <c r="U1175" t="s">
        <v>60</v>
      </c>
      <c r="V1175" t="s">
        <v>60</v>
      </c>
      <c r="W1175" t="s">
        <v>1137</v>
      </c>
      <c r="X1175" t="s">
        <v>34</v>
      </c>
      <c r="Y1175" t="str">
        <f>"774941509   "</f>
        <v xml:space="preserve">774941509   </v>
      </c>
    </row>
    <row r="1176" spans="1:25" x14ac:dyDescent="0.25">
      <c r="A1176" t="s">
        <v>5337</v>
      </c>
      <c r="B1176" t="s">
        <v>5338</v>
      </c>
      <c r="C1176">
        <v>2019</v>
      </c>
      <c r="D1176">
        <v>8001</v>
      </c>
      <c r="E1176">
        <v>2</v>
      </c>
      <c r="F1176" t="s">
        <v>5339</v>
      </c>
      <c r="G1176">
        <v>27787080</v>
      </c>
      <c r="J1176">
        <v>659.92</v>
      </c>
      <c r="L1176">
        <v>42456196</v>
      </c>
      <c r="M1176" s="1">
        <v>43826</v>
      </c>
      <c r="N1176" t="str">
        <f>"J191227AW12"</f>
        <v>J191227AW12</v>
      </c>
      <c r="O1176" t="s">
        <v>28</v>
      </c>
      <c r="Q1176" t="s">
        <v>29</v>
      </c>
      <c r="R1176" t="s">
        <v>28</v>
      </c>
      <c r="S1176" t="s">
        <v>5340</v>
      </c>
      <c r="T1176" t="s">
        <v>5341</v>
      </c>
      <c r="U1176" t="s">
        <v>5342</v>
      </c>
      <c r="V1176" t="s">
        <v>5343</v>
      </c>
      <c r="W1176" t="s">
        <v>75</v>
      </c>
      <c r="X1176" t="s">
        <v>34</v>
      </c>
      <c r="Y1176" t="str">
        <f>"770628010"</f>
        <v>770628010</v>
      </c>
    </row>
    <row r="1177" spans="1:25" x14ac:dyDescent="0.25">
      <c r="A1177" t="s">
        <v>5344</v>
      </c>
      <c r="B1177" t="s">
        <v>5345</v>
      </c>
      <c r="C1177">
        <v>2019</v>
      </c>
      <c r="D1177">
        <v>8001</v>
      </c>
      <c r="E1177">
        <v>2</v>
      </c>
      <c r="F1177" t="s">
        <v>5346</v>
      </c>
      <c r="G1177">
        <v>26243303</v>
      </c>
      <c r="J1177">
        <v>62.62</v>
      </c>
      <c r="L1177">
        <v>43894795</v>
      </c>
      <c r="M1177" s="1">
        <v>43896</v>
      </c>
      <c r="N1177" t="str">
        <f>"J200306K1"</f>
        <v>J200306K1</v>
      </c>
      <c r="O1177" t="s">
        <v>28</v>
      </c>
      <c r="Q1177" t="s">
        <v>29</v>
      </c>
      <c r="R1177" t="s">
        <v>28</v>
      </c>
      <c r="S1177" t="s">
        <v>79</v>
      </c>
      <c r="T1177" t="s">
        <v>203</v>
      </c>
      <c r="U1177" t="s">
        <v>3308</v>
      </c>
      <c r="W1177" t="s">
        <v>392</v>
      </c>
      <c r="X1177" t="s">
        <v>34</v>
      </c>
      <c r="Y1177" t="str">
        <f>"77459"</f>
        <v>77459</v>
      </c>
    </row>
    <row r="1178" spans="1:25" x14ac:dyDescent="0.25">
      <c r="A1178" t="s">
        <v>5344</v>
      </c>
      <c r="B1178" t="s">
        <v>5345</v>
      </c>
      <c r="C1178">
        <v>2020</v>
      </c>
      <c r="D1178">
        <v>8001</v>
      </c>
      <c r="E1178">
        <v>3</v>
      </c>
      <c r="F1178" t="s">
        <v>5346</v>
      </c>
      <c r="G1178">
        <v>25612575</v>
      </c>
      <c r="J1178">
        <v>14.02</v>
      </c>
      <c r="L1178">
        <v>47784464</v>
      </c>
      <c r="M1178" s="1">
        <v>44476</v>
      </c>
      <c r="N1178" t="str">
        <f>"RC211018"</f>
        <v>RC211018</v>
      </c>
      <c r="O1178" t="s">
        <v>28</v>
      </c>
      <c r="Q1178" t="s">
        <v>29</v>
      </c>
      <c r="R1178" t="s">
        <v>28</v>
      </c>
      <c r="S1178" t="s">
        <v>1068</v>
      </c>
      <c r="T1178" t="s">
        <v>5347</v>
      </c>
      <c r="U1178" t="s">
        <v>1015</v>
      </c>
      <c r="W1178" t="s">
        <v>563</v>
      </c>
      <c r="X1178" t="s">
        <v>34</v>
      </c>
      <c r="Y1178" t="str">
        <f>"750630156"</f>
        <v>750630156</v>
      </c>
    </row>
    <row r="1179" spans="1:25" x14ac:dyDescent="0.25">
      <c r="A1179" t="s">
        <v>5348</v>
      </c>
      <c r="B1179" t="s">
        <v>5349</v>
      </c>
      <c r="C1179">
        <v>2021</v>
      </c>
      <c r="D1179">
        <v>8001</v>
      </c>
      <c r="E1179">
        <v>3</v>
      </c>
      <c r="F1179" t="s">
        <v>5350</v>
      </c>
      <c r="G1179">
        <v>0</v>
      </c>
      <c r="J1179">
        <v>119.77</v>
      </c>
      <c r="L1179">
        <v>47909672</v>
      </c>
      <c r="M1179" s="1">
        <v>44516</v>
      </c>
      <c r="N1179" t="str">
        <f>"TE211116"</f>
        <v>TE211116</v>
      </c>
      <c r="O1179" t="s">
        <v>28</v>
      </c>
      <c r="Q1179" t="s">
        <v>29</v>
      </c>
      <c r="R1179" t="s">
        <v>28</v>
      </c>
      <c r="S1179" t="s">
        <v>5350</v>
      </c>
      <c r="T1179" t="s">
        <v>5351</v>
      </c>
      <c r="U1179" t="s">
        <v>60</v>
      </c>
      <c r="V1179" t="s">
        <v>60</v>
      </c>
      <c r="W1179" t="s">
        <v>1333</v>
      </c>
      <c r="X1179" t="s">
        <v>34</v>
      </c>
      <c r="Y1179" t="str">
        <f>"774596212   "</f>
        <v xml:space="preserve">774596212   </v>
      </c>
    </row>
    <row r="1180" spans="1:25" x14ac:dyDescent="0.25">
      <c r="A1180" t="s">
        <v>5352</v>
      </c>
      <c r="B1180" t="s">
        <v>5353</v>
      </c>
      <c r="C1180">
        <v>2021</v>
      </c>
      <c r="D1180">
        <v>8001</v>
      </c>
      <c r="E1180">
        <v>1</v>
      </c>
      <c r="F1180" t="s">
        <v>5354</v>
      </c>
      <c r="G1180">
        <v>26677969</v>
      </c>
      <c r="J1180">
        <v>204.82</v>
      </c>
      <c r="L1180">
        <v>48209725</v>
      </c>
      <c r="M1180" s="1">
        <v>44529</v>
      </c>
      <c r="N1180" t="str">
        <f>"RC211222"</f>
        <v>RC211222</v>
      </c>
      <c r="O1180" t="s">
        <v>28</v>
      </c>
      <c r="Q1180" t="s">
        <v>29</v>
      </c>
      <c r="R1180" t="s">
        <v>28</v>
      </c>
      <c r="S1180" t="s">
        <v>3865</v>
      </c>
      <c r="T1180" t="s">
        <v>3866</v>
      </c>
      <c r="W1180" t="s">
        <v>563</v>
      </c>
      <c r="X1180" t="s">
        <v>34</v>
      </c>
      <c r="Y1180" t="str">
        <f>"75063"</f>
        <v>75063</v>
      </c>
    </row>
    <row r="1181" spans="1:25" x14ac:dyDescent="0.25">
      <c r="A1181" t="s">
        <v>5355</v>
      </c>
      <c r="B1181" t="s">
        <v>5356</v>
      </c>
      <c r="C1181">
        <v>2020</v>
      </c>
      <c r="D1181">
        <v>8001</v>
      </c>
      <c r="E1181">
        <v>3</v>
      </c>
      <c r="F1181" t="s">
        <v>5357</v>
      </c>
      <c r="G1181">
        <v>0</v>
      </c>
      <c r="J1181">
        <v>97.11</v>
      </c>
      <c r="L1181">
        <v>47557324</v>
      </c>
      <c r="M1181" s="1">
        <v>44375</v>
      </c>
      <c r="N1181" t="str">
        <f>"J210628BW1"</f>
        <v>J210628BW1</v>
      </c>
      <c r="O1181" t="s">
        <v>28</v>
      </c>
      <c r="Q1181" t="s">
        <v>29</v>
      </c>
      <c r="R1181" t="s">
        <v>28</v>
      </c>
      <c r="S1181" t="s">
        <v>5357</v>
      </c>
      <c r="T1181" t="s">
        <v>5358</v>
      </c>
      <c r="U1181" t="s">
        <v>60</v>
      </c>
      <c r="V1181" t="s">
        <v>60</v>
      </c>
      <c r="W1181" t="s">
        <v>1333</v>
      </c>
      <c r="X1181" t="s">
        <v>34</v>
      </c>
      <c r="Y1181" t="str">
        <f>"774596260   "</f>
        <v xml:space="preserve">774596260   </v>
      </c>
    </row>
    <row r="1182" spans="1:25" x14ac:dyDescent="0.25">
      <c r="A1182" t="s">
        <v>5359</v>
      </c>
      <c r="B1182" t="s">
        <v>5360</v>
      </c>
      <c r="C1182">
        <v>2019</v>
      </c>
      <c r="D1182">
        <v>8001</v>
      </c>
      <c r="E1182">
        <v>1</v>
      </c>
      <c r="F1182" t="s">
        <v>5361</v>
      </c>
      <c r="G1182">
        <v>0</v>
      </c>
      <c r="J1182">
        <v>304.5</v>
      </c>
      <c r="L1182">
        <v>42587012</v>
      </c>
      <c r="M1182" s="1">
        <v>43832</v>
      </c>
      <c r="N1182" t="str">
        <f>"J200102AW13"</f>
        <v>J200102AW13</v>
      </c>
      <c r="O1182" t="s">
        <v>28</v>
      </c>
      <c r="Q1182" t="s">
        <v>29</v>
      </c>
      <c r="R1182" t="s">
        <v>28</v>
      </c>
      <c r="S1182" t="s">
        <v>5361</v>
      </c>
      <c r="T1182" t="s">
        <v>5362</v>
      </c>
      <c r="U1182" t="s">
        <v>60</v>
      </c>
      <c r="V1182" t="s">
        <v>60</v>
      </c>
      <c r="W1182" t="s">
        <v>1333</v>
      </c>
      <c r="X1182" t="s">
        <v>34</v>
      </c>
      <c r="Y1182" t="str">
        <f>"774596912   "</f>
        <v xml:space="preserve">774596912   </v>
      </c>
    </row>
    <row r="1183" spans="1:25" x14ac:dyDescent="0.25">
      <c r="A1183" t="s">
        <v>5363</v>
      </c>
      <c r="B1183" t="s">
        <v>5364</v>
      </c>
      <c r="C1183">
        <v>2019</v>
      </c>
      <c r="D1183">
        <v>8001</v>
      </c>
      <c r="E1183">
        <v>6</v>
      </c>
      <c r="F1183" t="s">
        <v>5365</v>
      </c>
      <c r="G1183">
        <v>27437556</v>
      </c>
      <c r="J1183">
        <v>65.63</v>
      </c>
      <c r="L1183">
        <v>44094749</v>
      </c>
      <c r="M1183" s="1">
        <v>43945</v>
      </c>
      <c r="N1183" t="str">
        <f>"RC200428"</f>
        <v>RC200428</v>
      </c>
      <c r="O1183" t="s">
        <v>28</v>
      </c>
      <c r="Q1183" t="s">
        <v>29</v>
      </c>
      <c r="R1183" t="s">
        <v>28</v>
      </c>
      <c r="S1183" t="s">
        <v>3650</v>
      </c>
      <c r="T1183" t="s">
        <v>3651</v>
      </c>
      <c r="W1183" t="s">
        <v>75</v>
      </c>
      <c r="X1183" t="s">
        <v>34</v>
      </c>
      <c r="Y1183" t="str">
        <f>"770141345"</f>
        <v>770141345</v>
      </c>
    </row>
    <row r="1184" spans="1:25" x14ac:dyDescent="0.25">
      <c r="A1184" t="s">
        <v>5366</v>
      </c>
      <c r="B1184" t="s">
        <v>5367</v>
      </c>
      <c r="C1184">
        <v>2020</v>
      </c>
      <c r="D1184">
        <v>8001</v>
      </c>
      <c r="E1184">
        <v>1</v>
      </c>
      <c r="F1184" t="s">
        <v>5368</v>
      </c>
      <c r="G1184">
        <v>0</v>
      </c>
      <c r="J1184">
        <v>11.25</v>
      </c>
      <c r="L1184">
        <v>46987432</v>
      </c>
      <c r="M1184" s="1">
        <v>44253</v>
      </c>
      <c r="N1184" t="str">
        <f>"L210226"</f>
        <v>L210226</v>
      </c>
      <c r="O1184" t="s">
        <v>28</v>
      </c>
      <c r="Q1184" t="s">
        <v>29</v>
      </c>
      <c r="R1184" t="s">
        <v>28</v>
      </c>
      <c r="S1184" t="s">
        <v>5368</v>
      </c>
      <c r="T1184" t="s">
        <v>5369</v>
      </c>
      <c r="U1184" t="s">
        <v>60</v>
      </c>
      <c r="V1184" t="s">
        <v>60</v>
      </c>
      <c r="W1184" t="s">
        <v>1333</v>
      </c>
      <c r="X1184" t="s">
        <v>34</v>
      </c>
      <c r="Y1184" t="str">
        <f>"774592039   "</f>
        <v xml:space="preserve">774592039   </v>
      </c>
    </row>
    <row r="1185" spans="1:25" x14ac:dyDescent="0.25">
      <c r="A1185" t="s">
        <v>5370</v>
      </c>
      <c r="B1185" t="s">
        <v>5371</v>
      </c>
      <c r="C1185">
        <v>2019</v>
      </c>
      <c r="D1185">
        <v>8001</v>
      </c>
      <c r="E1185">
        <v>1</v>
      </c>
      <c r="F1185" t="s">
        <v>5372</v>
      </c>
      <c r="G1185">
        <v>0</v>
      </c>
      <c r="J1185">
        <v>15.09</v>
      </c>
      <c r="L1185">
        <v>44120836</v>
      </c>
      <c r="M1185" s="1">
        <v>43952</v>
      </c>
      <c r="N1185" t="str">
        <f>"J200501F14"</f>
        <v>J200501F14</v>
      </c>
      <c r="O1185" t="s">
        <v>28</v>
      </c>
      <c r="Q1185" t="s">
        <v>29</v>
      </c>
      <c r="R1185" t="s">
        <v>28</v>
      </c>
      <c r="S1185" t="s">
        <v>5372</v>
      </c>
      <c r="T1185" t="s">
        <v>5373</v>
      </c>
      <c r="U1185" t="s">
        <v>60</v>
      </c>
      <c r="V1185" t="s">
        <v>60</v>
      </c>
      <c r="W1185" t="s">
        <v>1333</v>
      </c>
      <c r="X1185" t="s">
        <v>34</v>
      </c>
      <c r="Y1185" t="str">
        <f>"774591756   "</f>
        <v xml:space="preserve">774591756   </v>
      </c>
    </row>
    <row r="1186" spans="1:25" x14ac:dyDescent="0.25">
      <c r="A1186" t="s">
        <v>5374</v>
      </c>
      <c r="B1186" t="s">
        <v>5375</v>
      </c>
      <c r="C1186">
        <v>2021</v>
      </c>
      <c r="D1186">
        <v>8001</v>
      </c>
      <c r="E1186">
        <v>1</v>
      </c>
      <c r="F1186" t="s">
        <v>5376</v>
      </c>
      <c r="G1186">
        <v>28862757</v>
      </c>
      <c r="J1186">
        <v>671.84</v>
      </c>
      <c r="L1186">
        <v>48541267</v>
      </c>
      <c r="M1186" s="1">
        <v>44547</v>
      </c>
      <c r="N1186" t="str">
        <f>"RC220114"</f>
        <v>RC220114</v>
      </c>
      <c r="O1186" t="s">
        <v>28</v>
      </c>
      <c r="Q1186" t="s">
        <v>29</v>
      </c>
      <c r="R1186" t="s">
        <v>28</v>
      </c>
      <c r="S1186" t="s">
        <v>5377</v>
      </c>
      <c r="T1186" t="s">
        <v>5378</v>
      </c>
      <c r="W1186" t="s">
        <v>5379</v>
      </c>
      <c r="X1186" t="s">
        <v>162</v>
      </c>
      <c r="Y1186" t="str">
        <f>"087537629"</f>
        <v>087537629</v>
      </c>
    </row>
    <row r="1187" spans="1:25" x14ac:dyDescent="0.25">
      <c r="A1187" t="s">
        <v>5380</v>
      </c>
      <c r="B1187" t="s">
        <v>5381</v>
      </c>
      <c r="C1187">
        <v>2019</v>
      </c>
      <c r="D1187">
        <v>8001</v>
      </c>
      <c r="E1187">
        <v>2</v>
      </c>
      <c r="F1187" t="s">
        <v>5382</v>
      </c>
      <c r="G1187">
        <v>25106988</v>
      </c>
      <c r="J1187">
        <v>33.840000000000003</v>
      </c>
      <c r="L1187">
        <v>44478898</v>
      </c>
      <c r="M1187" s="1">
        <v>44050</v>
      </c>
      <c r="N1187" t="str">
        <f>"J200807K13"</f>
        <v>J200807K13</v>
      </c>
      <c r="O1187" t="s">
        <v>28</v>
      </c>
      <c r="Q1187" t="s">
        <v>29</v>
      </c>
      <c r="R1187" t="s">
        <v>28</v>
      </c>
      <c r="S1187" t="s">
        <v>1326</v>
      </c>
      <c r="T1187" t="s">
        <v>3805</v>
      </c>
      <c r="W1187" t="s">
        <v>1328</v>
      </c>
      <c r="X1187" t="s">
        <v>162</v>
      </c>
      <c r="Y1187" t="str">
        <f>"06054"</f>
        <v>06054</v>
      </c>
    </row>
    <row r="1188" spans="1:25" x14ac:dyDescent="0.25">
      <c r="A1188" t="s">
        <v>5383</v>
      </c>
      <c r="B1188" t="s">
        <v>5384</v>
      </c>
      <c r="C1188">
        <v>2020</v>
      </c>
      <c r="D1188">
        <v>8001</v>
      </c>
      <c r="E1188">
        <v>2</v>
      </c>
      <c r="F1188" t="s">
        <v>5385</v>
      </c>
      <c r="G1188">
        <v>28692840</v>
      </c>
      <c r="J1188" s="2">
        <v>6515.17</v>
      </c>
      <c r="L1188">
        <v>45485787</v>
      </c>
      <c r="M1188" s="1">
        <v>44193</v>
      </c>
      <c r="N1188" t="str">
        <f>"CL200001"</f>
        <v>CL200001</v>
      </c>
      <c r="O1188" t="s">
        <v>28</v>
      </c>
      <c r="Q1188" t="s">
        <v>29</v>
      </c>
      <c r="R1188" t="s">
        <v>28</v>
      </c>
      <c r="S1188" t="s">
        <v>1019</v>
      </c>
      <c r="T1188" t="s">
        <v>562</v>
      </c>
      <c r="W1188" t="s">
        <v>563</v>
      </c>
      <c r="X1188" t="s">
        <v>34</v>
      </c>
      <c r="Y1188" t="str">
        <f>"750630156"</f>
        <v>750630156</v>
      </c>
    </row>
    <row r="1189" spans="1:25" x14ac:dyDescent="0.25">
      <c r="A1189" t="s">
        <v>5386</v>
      </c>
      <c r="B1189" t="s">
        <v>5387</v>
      </c>
      <c r="C1189">
        <v>2019</v>
      </c>
      <c r="D1189">
        <v>8001</v>
      </c>
      <c r="E1189">
        <v>1</v>
      </c>
      <c r="F1189" t="s">
        <v>5388</v>
      </c>
      <c r="G1189">
        <v>0</v>
      </c>
      <c r="J1189">
        <v>548.63</v>
      </c>
      <c r="L1189">
        <v>42700699</v>
      </c>
      <c r="M1189" s="1">
        <v>43837</v>
      </c>
      <c r="N1189" t="str">
        <f>"J200107AW12"</f>
        <v>J200107AW12</v>
      </c>
      <c r="O1189" t="s">
        <v>28</v>
      </c>
      <c r="Q1189" t="s">
        <v>29</v>
      </c>
      <c r="R1189" t="s">
        <v>28</v>
      </c>
      <c r="S1189" t="s">
        <v>5388</v>
      </c>
      <c r="T1189" t="s">
        <v>5389</v>
      </c>
      <c r="U1189" t="s">
        <v>60</v>
      </c>
      <c r="V1189" t="s">
        <v>60</v>
      </c>
      <c r="W1189" t="s">
        <v>1333</v>
      </c>
      <c r="X1189" t="s">
        <v>34</v>
      </c>
      <c r="Y1189" t="str">
        <f>"774596534   "</f>
        <v xml:space="preserve">774596534   </v>
      </c>
    </row>
    <row r="1190" spans="1:25" x14ac:dyDescent="0.25">
      <c r="A1190" t="s">
        <v>5390</v>
      </c>
      <c r="B1190" t="s">
        <v>5391</v>
      </c>
      <c r="C1190">
        <v>2020</v>
      </c>
      <c r="D1190">
        <v>8001</v>
      </c>
      <c r="E1190">
        <v>25</v>
      </c>
      <c r="F1190" t="s">
        <v>5392</v>
      </c>
      <c r="G1190">
        <v>29084848</v>
      </c>
      <c r="J1190">
        <v>338.9</v>
      </c>
      <c r="L1190">
        <v>47068789</v>
      </c>
      <c r="M1190" s="1">
        <v>44265</v>
      </c>
      <c r="N1190" t="str">
        <f>"E210310G1"</f>
        <v>E210310G1</v>
      </c>
      <c r="O1190" t="s">
        <v>260</v>
      </c>
      <c r="Q1190" t="s">
        <v>29</v>
      </c>
      <c r="R1190" t="s">
        <v>260</v>
      </c>
      <c r="S1190" t="s">
        <v>5393</v>
      </c>
      <c r="T1190" t="s">
        <v>5394</v>
      </c>
      <c r="U1190" t="s">
        <v>5395</v>
      </c>
      <c r="W1190" t="s">
        <v>392</v>
      </c>
      <c r="X1190" t="s">
        <v>34</v>
      </c>
      <c r="Y1190" t="str">
        <f>"774596399"</f>
        <v>774596399</v>
      </c>
    </row>
    <row r="1191" spans="1:25" x14ac:dyDescent="0.25">
      <c r="A1191" t="s">
        <v>5396</v>
      </c>
      <c r="B1191" t="s">
        <v>5397</v>
      </c>
      <c r="C1191">
        <v>2020</v>
      </c>
      <c r="D1191">
        <v>8001</v>
      </c>
      <c r="E1191">
        <v>4</v>
      </c>
      <c r="F1191" t="s">
        <v>5398</v>
      </c>
      <c r="G1191">
        <v>0</v>
      </c>
      <c r="J1191">
        <v>10.62</v>
      </c>
      <c r="L1191">
        <v>47519895</v>
      </c>
      <c r="M1191" s="1">
        <v>44357</v>
      </c>
      <c r="N1191" t="str">
        <f>"J210610BW2"</f>
        <v>J210610BW2</v>
      </c>
      <c r="O1191" t="s">
        <v>28</v>
      </c>
      <c r="Q1191" t="s">
        <v>29</v>
      </c>
      <c r="R1191" t="s">
        <v>28</v>
      </c>
      <c r="S1191" t="s">
        <v>5398</v>
      </c>
      <c r="T1191" t="s">
        <v>5399</v>
      </c>
      <c r="U1191" t="s">
        <v>60</v>
      </c>
      <c r="V1191" t="s">
        <v>60</v>
      </c>
      <c r="W1191" t="s">
        <v>1333</v>
      </c>
      <c r="X1191" t="s">
        <v>34</v>
      </c>
      <c r="Y1191" t="str">
        <f>"774596394   "</f>
        <v xml:space="preserve">774596394   </v>
      </c>
    </row>
    <row r="1192" spans="1:25" x14ac:dyDescent="0.25">
      <c r="A1192" t="s">
        <v>5400</v>
      </c>
      <c r="B1192" t="s">
        <v>5401</v>
      </c>
      <c r="C1192">
        <v>2019</v>
      </c>
      <c r="D1192">
        <v>8001</v>
      </c>
      <c r="E1192">
        <v>1</v>
      </c>
      <c r="F1192" t="s">
        <v>5402</v>
      </c>
      <c r="G1192">
        <v>0</v>
      </c>
      <c r="J1192">
        <v>10</v>
      </c>
      <c r="L1192">
        <v>42427108</v>
      </c>
      <c r="M1192" s="1">
        <v>43825</v>
      </c>
      <c r="N1192" t="str">
        <f>"J191226AW14"</f>
        <v>J191226AW14</v>
      </c>
      <c r="O1192" t="s">
        <v>28</v>
      </c>
      <c r="Q1192" t="s">
        <v>29</v>
      </c>
      <c r="R1192" t="s">
        <v>28</v>
      </c>
      <c r="S1192" t="s">
        <v>5402</v>
      </c>
      <c r="T1192" t="s">
        <v>5403</v>
      </c>
      <c r="U1192" t="s">
        <v>60</v>
      </c>
      <c r="V1192" t="s">
        <v>60</v>
      </c>
      <c r="W1192" t="s">
        <v>1333</v>
      </c>
      <c r="X1192" t="s">
        <v>34</v>
      </c>
      <c r="Y1192" t="str">
        <f>"774592625   "</f>
        <v xml:space="preserve">774592625   </v>
      </c>
    </row>
    <row r="1193" spans="1:25" x14ac:dyDescent="0.25">
      <c r="A1193" t="s">
        <v>5404</v>
      </c>
      <c r="B1193" t="s">
        <v>5405</v>
      </c>
      <c r="C1193">
        <v>2021</v>
      </c>
      <c r="D1193">
        <v>8001</v>
      </c>
      <c r="E1193">
        <v>1</v>
      </c>
      <c r="F1193" t="s">
        <v>5406</v>
      </c>
      <c r="G1193">
        <v>0</v>
      </c>
      <c r="J1193">
        <v>20</v>
      </c>
      <c r="L1193">
        <v>48464134</v>
      </c>
      <c r="M1193" s="1">
        <v>44544</v>
      </c>
      <c r="N1193" t="str">
        <f>"L211214"</f>
        <v>L211214</v>
      </c>
      <c r="O1193" t="s">
        <v>28</v>
      </c>
      <c r="Q1193" t="s">
        <v>29</v>
      </c>
      <c r="R1193" t="s">
        <v>28</v>
      </c>
      <c r="S1193" t="s">
        <v>5406</v>
      </c>
      <c r="T1193" t="s">
        <v>5407</v>
      </c>
      <c r="U1193" t="s">
        <v>60</v>
      </c>
      <c r="V1193" t="s">
        <v>60</v>
      </c>
      <c r="W1193" t="s">
        <v>1333</v>
      </c>
      <c r="X1193" t="s">
        <v>34</v>
      </c>
      <c r="Y1193" t="str">
        <f>"774592468   "</f>
        <v xml:space="preserve">774592468   </v>
      </c>
    </row>
    <row r="1194" spans="1:25" x14ac:dyDescent="0.25">
      <c r="A1194" t="s">
        <v>5408</v>
      </c>
      <c r="B1194" t="s">
        <v>5409</v>
      </c>
      <c r="C1194">
        <v>2020</v>
      </c>
      <c r="D1194">
        <v>8001</v>
      </c>
      <c r="E1194">
        <v>5</v>
      </c>
      <c r="F1194" t="s">
        <v>5410</v>
      </c>
      <c r="G1194">
        <v>26962220</v>
      </c>
      <c r="J1194" s="2">
        <v>1000.01</v>
      </c>
      <c r="L1194">
        <v>47820407</v>
      </c>
      <c r="M1194" s="1">
        <v>44488</v>
      </c>
      <c r="N1194" t="str">
        <f>"RC211105"</f>
        <v>RC211105</v>
      </c>
      <c r="O1194" t="s">
        <v>28</v>
      </c>
      <c r="Q1194" t="s">
        <v>29</v>
      </c>
      <c r="R1194" t="s">
        <v>28</v>
      </c>
      <c r="S1194" t="s">
        <v>561</v>
      </c>
      <c r="T1194" t="s">
        <v>1015</v>
      </c>
      <c r="W1194" t="s">
        <v>563</v>
      </c>
      <c r="X1194" t="s">
        <v>34</v>
      </c>
      <c r="Y1194" t="str">
        <f>"750630156"</f>
        <v>750630156</v>
      </c>
    </row>
    <row r="1195" spans="1:25" x14ac:dyDescent="0.25">
      <c r="A1195" t="s">
        <v>5411</v>
      </c>
      <c r="B1195" t="s">
        <v>5412</v>
      </c>
      <c r="C1195">
        <v>2020</v>
      </c>
      <c r="D1195">
        <v>8001</v>
      </c>
      <c r="E1195">
        <v>2</v>
      </c>
      <c r="F1195" t="s">
        <v>5413</v>
      </c>
      <c r="G1195">
        <v>29624383</v>
      </c>
      <c r="J1195">
        <v>45.74</v>
      </c>
      <c r="L1195">
        <v>47258305</v>
      </c>
      <c r="M1195" s="1">
        <v>44293</v>
      </c>
      <c r="N1195" t="str">
        <f>"RC210414"</f>
        <v>RC210414</v>
      </c>
      <c r="O1195" t="s">
        <v>28</v>
      </c>
      <c r="Q1195" t="s">
        <v>29</v>
      </c>
      <c r="R1195" t="s">
        <v>28</v>
      </c>
      <c r="S1195" t="s">
        <v>1068</v>
      </c>
      <c r="T1195" t="s">
        <v>5414</v>
      </c>
      <c r="U1195" t="s">
        <v>562</v>
      </c>
      <c r="W1195" t="s">
        <v>563</v>
      </c>
      <c r="X1195" t="s">
        <v>34</v>
      </c>
      <c r="Y1195" t="str">
        <f>"750630156"</f>
        <v>750630156</v>
      </c>
    </row>
    <row r="1196" spans="1:25" x14ac:dyDescent="0.25">
      <c r="A1196" t="s">
        <v>5415</v>
      </c>
      <c r="B1196" t="s">
        <v>5416</v>
      </c>
      <c r="C1196">
        <v>2020</v>
      </c>
      <c r="D1196">
        <v>8001</v>
      </c>
      <c r="E1196">
        <v>1</v>
      </c>
      <c r="F1196" t="s">
        <v>5417</v>
      </c>
      <c r="G1196">
        <v>0</v>
      </c>
      <c r="J1196">
        <v>82.8</v>
      </c>
      <c r="L1196">
        <v>47046536</v>
      </c>
      <c r="M1196" s="1">
        <v>44260</v>
      </c>
      <c r="N1196" t="str">
        <f>"J210305BW5"</f>
        <v>J210305BW5</v>
      </c>
      <c r="O1196" t="s">
        <v>28</v>
      </c>
      <c r="Q1196" t="s">
        <v>29</v>
      </c>
      <c r="R1196" t="s">
        <v>28</v>
      </c>
      <c r="S1196" t="s">
        <v>5418</v>
      </c>
      <c r="T1196" t="s">
        <v>5419</v>
      </c>
      <c r="U1196" t="s">
        <v>60</v>
      </c>
      <c r="V1196" t="s">
        <v>60</v>
      </c>
      <c r="W1196" t="s">
        <v>5420</v>
      </c>
      <c r="X1196" t="s">
        <v>34</v>
      </c>
      <c r="Y1196" t="str">
        <f>"774333476   "</f>
        <v xml:space="preserve">774333476   </v>
      </c>
    </row>
    <row r="1197" spans="1:25" x14ac:dyDescent="0.25">
      <c r="A1197" t="s">
        <v>5421</v>
      </c>
      <c r="B1197" t="s">
        <v>5422</v>
      </c>
      <c r="C1197">
        <v>2019</v>
      </c>
      <c r="D1197">
        <v>8001</v>
      </c>
      <c r="E1197">
        <v>3</v>
      </c>
      <c r="F1197" t="s">
        <v>5423</v>
      </c>
      <c r="G1197">
        <v>28449425</v>
      </c>
      <c r="J1197">
        <v>507.51</v>
      </c>
      <c r="L1197">
        <v>44315074</v>
      </c>
      <c r="M1197" s="1">
        <v>43999</v>
      </c>
      <c r="N1197" t="str">
        <f>"J200617AW2"</f>
        <v>J200617AW2</v>
      </c>
      <c r="O1197" t="s">
        <v>28</v>
      </c>
      <c r="Q1197" t="s">
        <v>29</v>
      </c>
      <c r="R1197" t="s">
        <v>28</v>
      </c>
      <c r="S1197" t="s">
        <v>2906</v>
      </c>
      <c r="T1197" t="s">
        <v>2907</v>
      </c>
      <c r="U1197" t="s">
        <v>2908</v>
      </c>
      <c r="V1197" t="s">
        <v>2909</v>
      </c>
      <c r="W1197" t="s">
        <v>2910</v>
      </c>
      <c r="X1197" t="s">
        <v>317</v>
      </c>
      <c r="Y1197" t="str">
        <f>"91768"</f>
        <v>91768</v>
      </c>
    </row>
    <row r="1198" spans="1:25" x14ac:dyDescent="0.25">
      <c r="A1198" t="s">
        <v>5424</v>
      </c>
      <c r="B1198" t="s">
        <v>5425</v>
      </c>
      <c r="C1198">
        <v>2020</v>
      </c>
      <c r="D1198">
        <v>8001</v>
      </c>
      <c r="E1198">
        <v>1</v>
      </c>
      <c r="F1198" t="s">
        <v>5426</v>
      </c>
      <c r="G1198">
        <v>28791789</v>
      </c>
      <c r="J1198">
        <v>876</v>
      </c>
      <c r="L1198">
        <v>44917200</v>
      </c>
      <c r="M1198" s="1">
        <v>44153</v>
      </c>
      <c r="N1198" t="str">
        <f>"O201118W1"</f>
        <v>O201118W1</v>
      </c>
      <c r="O1198" t="s">
        <v>28</v>
      </c>
      <c r="Q1198" t="s">
        <v>29</v>
      </c>
      <c r="R1198" t="s">
        <v>28</v>
      </c>
      <c r="S1198" t="s">
        <v>1393</v>
      </c>
      <c r="T1198" t="s">
        <v>1394</v>
      </c>
      <c r="W1198" t="s">
        <v>1075</v>
      </c>
      <c r="X1198" t="s">
        <v>34</v>
      </c>
      <c r="Y1198" t="str">
        <f>"761771529"</f>
        <v>761771529</v>
      </c>
    </row>
    <row r="1199" spans="1:25" x14ac:dyDescent="0.25">
      <c r="A1199" t="s">
        <v>5427</v>
      </c>
      <c r="B1199" t="s">
        <v>5428</v>
      </c>
      <c r="C1199">
        <v>2020</v>
      </c>
      <c r="D1199">
        <v>8001</v>
      </c>
      <c r="E1199">
        <v>1</v>
      </c>
      <c r="F1199" t="s">
        <v>5429</v>
      </c>
      <c r="G1199">
        <v>29461701</v>
      </c>
      <c r="J1199">
        <v>495.98</v>
      </c>
      <c r="L1199">
        <v>46728701</v>
      </c>
      <c r="M1199" s="1">
        <v>44230</v>
      </c>
      <c r="N1199" t="str">
        <f>"EK210203"</f>
        <v>EK210203</v>
      </c>
      <c r="O1199" t="s">
        <v>28</v>
      </c>
      <c r="Q1199" t="s">
        <v>29</v>
      </c>
      <c r="R1199" t="s">
        <v>28</v>
      </c>
      <c r="S1199" t="s">
        <v>5430</v>
      </c>
      <c r="T1199" t="s">
        <v>5431</v>
      </c>
      <c r="W1199" t="s">
        <v>392</v>
      </c>
      <c r="X1199" t="s">
        <v>34</v>
      </c>
      <c r="Y1199" t="str">
        <f>"77459"</f>
        <v>77459</v>
      </c>
    </row>
    <row r="1200" spans="1:25" x14ac:dyDescent="0.25">
      <c r="A1200" t="s">
        <v>5432</v>
      </c>
      <c r="B1200" t="s">
        <v>5433</v>
      </c>
      <c r="C1200">
        <v>2019</v>
      </c>
      <c r="D1200">
        <v>8001</v>
      </c>
      <c r="E1200">
        <v>1</v>
      </c>
      <c r="F1200" t="s">
        <v>5434</v>
      </c>
      <c r="G1200">
        <v>28074382</v>
      </c>
      <c r="J1200">
        <v>238.07</v>
      </c>
      <c r="L1200">
        <v>43362477</v>
      </c>
      <c r="M1200" s="1">
        <v>43860</v>
      </c>
      <c r="N1200" t="str">
        <f>"O200130F1"</f>
        <v>O200130F1</v>
      </c>
      <c r="O1200" t="s">
        <v>28</v>
      </c>
      <c r="Q1200" t="s">
        <v>29</v>
      </c>
      <c r="R1200" t="s">
        <v>28</v>
      </c>
      <c r="S1200" t="s">
        <v>5435</v>
      </c>
      <c r="T1200" t="s">
        <v>5436</v>
      </c>
      <c r="W1200" t="s">
        <v>392</v>
      </c>
      <c r="X1200" t="s">
        <v>34</v>
      </c>
      <c r="Y1200" t="str">
        <f>"774597086"</f>
        <v>774597086</v>
      </c>
    </row>
    <row r="1201" spans="1:25" x14ac:dyDescent="0.25">
      <c r="A1201" t="s">
        <v>5437</v>
      </c>
      <c r="B1201" t="s">
        <v>5438</v>
      </c>
      <c r="C1201">
        <v>2019</v>
      </c>
      <c r="D1201">
        <v>8001</v>
      </c>
      <c r="E1201">
        <v>2</v>
      </c>
      <c r="F1201" t="s">
        <v>5439</v>
      </c>
      <c r="G1201">
        <v>0</v>
      </c>
      <c r="J1201">
        <v>101.57</v>
      </c>
      <c r="L1201">
        <v>43915132</v>
      </c>
      <c r="M1201" s="1">
        <v>43900</v>
      </c>
      <c r="N1201" t="str">
        <f>"J200310AW3"</f>
        <v>J200310AW3</v>
      </c>
      <c r="O1201" t="s">
        <v>28</v>
      </c>
      <c r="Q1201" t="s">
        <v>29</v>
      </c>
      <c r="R1201" t="s">
        <v>28</v>
      </c>
      <c r="S1201" t="s">
        <v>5439</v>
      </c>
      <c r="T1201" t="s">
        <v>5440</v>
      </c>
      <c r="U1201" t="s">
        <v>60</v>
      </c>
      <c r="V1201" t="s">
        <v>60</v>
      </c>
      <c r="W1201" t="s">
        <v>1333</v>
      </c>
      <c r="X1201" t="s">
        <v>34</v>
      </c>
      <c r="Y1201" t="str">
        <f>"774593542   "</f>
        <v xml:space="preserve">774593542   </v>
      </c>
    </row>
    <row r="1202" spans="1:25" x14ac:dyDescent="0.25">
      <c r="A1202" t="s">
        <v>5441</v>
      </c>
      <c r="B1202" t="s">
        <v>5442</v>
      </c>
      <c r="C1202">
        <v>2020</v>
      </c>
      <c r="D1202">
        <v>8001</v>
      </c>
      <c r="E1202">
        <v>1</v>
      </c>
      <c r="F1202" t="s">
        <v>5443</v>
      </c>
      <c r="G1202">
        <v>26419208</v>
      </c>
      <c r="J1202">
        <v>478.46</v>
      </c>
      <c r="L1202">
        <v>46899408</v>
      </c>
      <c r="M1202" s="1">
        <v>44237</v>
      </c>
      <c r="N1202" t="str">
        <f>"RC210304"</f>
        <v>RC210304</v>
      </c>
      <c r="O1202" t="s">
        <v>28</v>
      </c>
      <c r="Q1202" t="s">
        <v>29</v>
      </c>
      <c r="R1202" t="s">
        <v>28</v>
      </c>
      <c r="S1202" t="s">
        <v>1073</v>
      </c>
      <c r="T1202" t="s">
        <v>1074</v>
      </c>
      <c r="W1202" t="s">
        <v>1075</v>
      </c>
      <c r="X1202" t="s">
        <v>34</v>
      </c>
      <c r="Y1202" t="str">
        <f>"76177"</f>
        <v>76177</v>
      </c>
    </row>
    <row r="1203" spans="1:25" x14ac:dyDescent="0.25">
      <c r="A1203" t="s">
        <v>5444</v>
      </c>
      <c r="B1203" t="s">
        <v>5445</v>
      </c>
      <c r="C1203">
        <v>2021</v>
      </c>
      <c r="D1203">
        <v>8001</v>
      </c>
      <c r="E1203">
        <v>1</v>
      </c>
      <c r="F1203" t="s">
        <v>5446</v>
      </c>
      <c r="G1203">
        <v>22971682</v>
      </c>
      <c r="J1203">
        <v>673.95</v>
      </c>
      <c r="L1203">
        <v>50092249</v>
      </c>
      <c r="M1203" s="1">
        <v>44600</v>
      </c>
      <c r="N1203" t="str">
        <f>"RC220315"</f>
        <v>RC220315</v>
      </c>
      <c r="O1203" t="s">
        <v>28</v>
      </c>
      <c r="Q1203" t="s">
        <v>29</v>
      </c>
      <c r="R1203" t="s">
        <v>28</v>
      </c>
      <c r="S1203" t="s">
        <v>549</v>
      </c>
      <c r="T1203" t="s">
        <v>550</v>
      </c>
      <c r="W1203" t="s">
        <v>392</v>
      </c>
      <c r="X1203" t="s">
        <v>34</v>
      </c>
      <c r="Y1203" t="str">
        <f>"774592990"</f>
        <v>774592990</v>
      </c>
    </row>
    <row r="1204" spans="1:25" x14ac:dyDescent="0.25">
      <c r="A1204" t="s">
        <v>5447</v>
      </c>
      <c r="B1204" t="s">
        <v>5448</v>
      </c>
      <c r="C1204">
        <v>2020</v>
      </c>
      <c r="D1204">
        <v>8001</v>
      </c>
      <c r="E1204">
        <v>2</v>
      </c>
      <c r="F1204" t="s">
        <v>5449</v>
      </c>
      <c r="G1204">
        <v>27388269</v>
      </c>
      <c r="J1204">
        <v>63.8</v>
      </c>
      <c r="L1204">
        <v>47213200</v>
      </c>
      <c r="M1204" s="1">
        <v>44286</v>
      </c>
      <c r="N1204" t="str">
        <f>"RC210414"</f>
        <v>RC210414</v>
      </c>
      <c r="O1204" t="s">
        <v>28</v>
      </c>
      <c r="Q1204" t="s">
        <v>29</v>
      </c>
      <c r="R1204" t="s">
        <v>28</v>
      </c>
      <c r="S1204" t="s">
        <v>5450</v>
      </c>
      <c r="T1204" t="s">
        <v>5451</v>
      </c>
      <c r="W1204" t="s">
        <v>2981</v>
      </c>
      <c r="X1204" t="s">
        <v>34</v>
      </c>
      <c r="Y1204" t="str">
        <f>"752346451"</f>
        <v>752346451</v>
      </c>
    </row>
    <row r="1205" spans="1:25" x14ac:dyDescent="0.25">
      <c r="A1205" t="s">
        <v>5452</v>
      </c>
      <c r="B1205" t="s">
        <v>5453</v>
      </c>
      <c r="C1205">
        <v>2020</v>
      </c>
      <c r="D1205">
        <v>8001</v>
      </c>
      <c r="E1205">
        <v>5</v>
      </c>
      <c r="F1205" t="s">
        <v>5454</v>
      </c>
      <c r="G1205">
        <v>0</v>
      </c>
      <c r="J1205">
        <v>17.559999999999999</v>
      </c>
      <c r="L1205">
        <v>47243098</v>
      </c>
      <c r="M1205" s="1">
        <v>44291</v>
      </c>
      <c r="N1205" t="str">
        <f>"EL210405A"</f>
        <v>EL210405A</v>
      </c>
      <c r="O1205" t="s">
        <v>28</v>
      </c>
      <c r="Q1205" t="s">
        <v>29</v>
      </c>
      <c r="R1205" t="s">
        <v>28</v>
      </c>
      <c r="S1205" t="s">
        <v>5454</v>
      </c>
      <c r="T1205" t="s">
        <v>5455</v>
      </c>
      <c r="U1205" t="s">
        <v>60</v>
      </c>
      <c r="V1205" t="s">
        <v>60</v>
      </c>
      <c r="W1205" t="s">
        <v>5456</v>
      </c>
      <c r="X1205" t="s">
        <v>34</v>
      </c>
      <c r="Y1205" t="str">
        <f>"77459       "</f>
        <v xml:space="preserve">77459       </v>
      </c>
    </row>
    <row r="1206" spans="1:25" x14ac:dyDescent="0.25">
      <c r="A1206" t="s">
        <v>5457</v>
      </c>
      <c r="B1206" t="s">
        <v>5458</v>
      </c>
      <c r="C1206">
        <v>2020</v>
      </c>
      <c r="D1206">
        <v>8001</v>
      </c>
      <c r="E1206">
        <v>2</v>
      </c>
      <c r="F1206" t="s">
        <v>5459</v>
      </c>
      <c r="G1206">
        <v>21532327</v>
      </c>
      <c r="J1206">
        <v>34.32</v>
      </c>
      <c r="L1206">
        <v>47046544</v>
      </c>
      <c r="M1206" s="1">
        <v>44260</v>
      </c>
      <c r="N1206" t="str">
        <f>"RC210310"</f>
        <v>RC210310</v>
      </c>
      <c r="O1206" t="s">
        <v>28</v>
      </c>
      <c r="Q1206" t="s">
        <v>29</v>
      </c>
      <c r="R1206" t="s">
        <v>28</v>
      </c>
      <c r="S1206" t="s">
        <v>904</v>
      </c>
      <c r="T1206" t="s">
        <v>243</v>
      </c>
      <c r="W1206" t="s">
        <v>244</v>
      </c>
      <c r="X1206" t="s">
        <v>245</v>
      </c>
      <c r="Y1206" t="str">
        <f>"48226"</f>
        <v>48226</v>
      </c>
    </row>
    <row r="1207" spans="1:25" x14ac:dyDescent="0.25">
      <c r="A1207" t="s">
        <v>5460</v>
      </c>
      <c r="B1207" t="s">
        <v>5461</v>
      </c>
      <c r="C1207">
        <v>2019</v>
      </c>
      <c r="D1207">
        <v>8001</v>
      </c>
      <c r="E1207">
        <v>4</v>
      </c>
      <c r="F1207" t="s">
        <v>5462</v>
      </c>
      <c r="G1207">
        <v>28511997</v>
      </c>
      <c r="J1207">
        <v>67.33</v>
      </c>
      <c r="L1207">
        <v>44277821</v>
      </c>
      <c r="M1207" s="1">
        <v>43986</v>
      </c>
      <c r="N1207" t="str">
        <f>"CC300604"</f>
        <v>CC300604</v>
      </c>
      <c r="O1207" t="s">
        <v>28</v>
      </c>
      <c r="Q1207" t="s">
        <v>29</v>
      </c>
      <c r="R1207" t="s">
        <v>28</v>
      </c>
      <c r="S1207" t="s">
        <v>5463</v>
      </c>
      <c r="T1207" t="s">
        <v>5464</v>
      </c>
      <c r="W1207" t="s">
        <v>392</v>
      </c>
      <c r="X1207" t="s">
        <v>34</v>
      </c>
      <c r="Y1207" t="str">
        <f>"77459"</f>
        <v>77459</v>
      </c>
    </row>
    <row r="1208" spans="1:25" x14ac:dyDescent="0.25">
      <c r="A1208" t="s">
        <v>5465</v>
      </c>
      <c r="B1208" t="s">
        <v>5466</v>
      </c>
      <c r="C1208">
        <v>2020</v>
      </c>
      <c r="D1208">
        <v>8001</v>
      </c>
      <c r="E1208">
        <v>1</v>
      </c>
      <c r="F1208" t="s">
        <v>5467</v>
      </c>
      <c r="G1208">
        <v>27569253</v>
      </c>
      <c r="J1208">
        <v>124.37</v>
      </c>
      <c r="L1208">
        <v>45124721</v>
      </c>
      <c r="M1208" s="1">
        <v>44172</v>
      </c>
      <c r="N1208" t="str">
        <f>"RC201217"</f>
        <v>RC201217</v>
      </c>
      <c r="O1208" t="s">
        <v>28</v>
      </c>
      <c r="Q1208" t="s">
        <v>29</v>
      </c>
      <c r="R1208" t="s">
        <v>28</v>
      </c>
      <c r="S1208" t="s">
        <v>79</v>
      </c>
      <c r="T1208" t="s">
        <v>203</v>
      </c>
      <c r="U1208" t="s">
        <v>3308</v>
      </c>
      <c r="W1208" t="s">
        <v>392</v>
      </c>
      <c r="X1208" t="s">
        <v>34</v>
      </c>
      <c r="Y1208" t="str">
        <f>"774592200"</f>
        <v>774592200</v>
      </c>
    </row>
    <row r="1209" spans="1:25" x14ac:dyDescent="0.25">
      <c r="A1209" t="s">
        <v>5468</v>
      </c>
      <c r="B1209" t="s">
        <v>5469</v>
      </c>
      <c r="C1209">
        <v>2021</v>
      </c>
      <c r="D1209">
        <v>8001</v>
      </c>
      <c r="E1209">
        <v>1</v>
      </c>
      <c r="F1209" t="s">
        <v>5470</v>
      </c>
      <c r="G1209">
        <v>21060754</v>
      </c>
      <c r="J1209">
        <v>229.3</v>
      </c>
      <c r="L1209">
        <v>48886010</v>
      </c>
      <c r="M1209" s="1">
        <v>44565</v>
      </c>
      <c r="N1209" t="str">
        <f>"RC220209"</f>
        <v>RC220209</v>
      </c>
      <c r="O1209" t="s">
        <v>28</v>
      </c>
      <c r="Q1209" t="s">
        <v>29</v>
      </c>
      <c r="R1209" t="s">
        <v>28</v>
      </c>
      <c r="S1209" t="s">
        <v>561</v>
      </c>
      <c r="T1209" t="s">
        <v>5471</v>
      </c>
      <c r="U1209" t="s">
        <v>5472</v>
      </c>
      <c r="W1209" t="s">
        <v>1075</v>
      </c>
      <c r="X1209" t="s">
        <v>34</v>
      </c>
      <c r="Y1209" t="str">
        <f>"761610232"</f>
        <v>761610232</v>
      </c>
    </row>
    <row r="1210" spans="1:25" x14ac:dyDescent="0.25">
      <c r="A1210" t="s">
        <v>5473</v>
      </c>
      <c r="B1210" t="s">
        <v>5474</v>
      </c>
      <c r="C1210">
        <v>2020</v>
      </c>
      <c r="D1210">
        <v>8001</v>
      </c>
      <c r="E1210">
        <v>3</v>
      </c>
      <c r="F1210" t="s">
        <v>5475</v>
      </c>
      <c r="G1210">
        <v>0</v>
      </c>
      <c r="J1210">
        <v>7.94</v>
      </c>
      <c r="L1210">
        <v>45334161</v>
      </c>
      <c r="M1210" s="1">
        <v>44182</v>
      </c>
      <c r="N1210" t="str">
        <f>"L201217"</f>
        <v>L201217</v>
      </c>
      <c r="O1210" t="s">
        <v>28</v>
      </c>
      <c r="Q1210" t="s">
        <v>29</v>
      </c>
      <c r="R1210" t="s">
        <v>28</v>
      </c>
      <c r="S1210" t="s">
        <v>5475</v>
      </c>
      <c r="T1210" t="s">
        <v>5476</v>
      </c>
      <c r="U1210" t="s">
        <v>5477</v>
      </c>
      <c r="V1210" t="s">
        <v>60</v>
      </c>
      <c r="W1210" t="s">
        <v>198</v>
      </c>
      <c r="X1210" t="s">
        <v>34</v>
      </c>
      <c r="Y1210" t="str">
        <f>"753702438   "</f>
        <v xml:space="preserve">753702438   </v>
      </c>
    </row>
    <row r="1211" spans="1:25" x14ac:dyDescent="0.25">
      <c r="A1211" t="s">
        <v>5478</v>
      </c>
      <c r="B1211" t="s">
        <v>5479</v>
      </c>
      <c r="C1211">
        <v>2020</v>
      </c>
      <c r="D1211">
        <v>8001</v>
      </c>
      <c r="E1211">
        <v>1</v>
      </c>
      <c r="F1211" t="s">
        <v>5480</v>
      </c>
      <c r="G1211">
        <v>29135659</v>
      </c>
      <c r="J1211">
        <v>159.09</v>
      </c>
      <c r="L1211">
        <v>45749002</v>
      </c>
      <c r="M1211" s="1">
        <v>44202</v>
      </c>
      <c r="N1211" t="str">
        <f>"RC210120"</f>
        <v>RC210120</v>
      </c>
      <c r="O1211" t="s">
        <v>28</v>
      </c>
      <c r="Q1211" t="s">
        <v>29</v>
      </c>
      <c r="R1211" t="s">
        <v>28</v>
      </c>
      <c r="S1211" t="s">
        <v>5481</v>
      </c>
      <c r="T1211" t="s">
        <v>5482</v>
      </c>
      <c r="W1211" t="s">
        <v>5483</v>
      </c>
      <c r="X1211" t="s">
        <v>443</v>
      </c>
      <c r="Y1211" t="str">
        <f>"44131"</f>
        <v>44131</v>
      </c>
    </row>
    <row r="1212" spans="1:25" x14ac:dyDescent="0.25">
      <c r="A1212" t="s">
        <v>5484</v>
      </c>
      <c r="B1212" t="s">
        <v>5485</v>
      </c>
      <c r="C1212">
        <v>2021</v>
      </c>
      <c r="D1212">
        <v>8001</v>
      </c>
      <c r="E1212">
        <v>1</v>
      </c>
      <c r="F1212" t="s">
        <v>5486</v>
      </c>
      <c r="G1212">
        <v>1357257</v>
      </c>
      <c r="J1212">
        <v>50</v>
      </c>
      <c r="L1212">
        <v>48461732</v>
      </c>
      <c r="M1212" s="1">
        <v>44544</v>
      </c>
      <c r="N1212" t="str">
        <f>"RC220114"</f>
        <v>RC220114</v>
      </c>
      <c r="O1212" t="s">
        <v>28</v>
      </c>
      <c r="Q1212" t="s">
        <v>29</v>
      </c>
      <c r="R1212" t="s">
        <v>28</v>
      </c>
      <c r="S1212" t="s">
        <v>5487</v>
      </c>
      <c r="T1212" t="s">
        <v>5488</v>
      </c>
      <c r="W1212" t="s">
        <v>154</v>
      </c>
      <c r="X1212" t="s">
        <v>34</v>
      </c>
      <c r="Y1212" t="str">
        <f>"77471"</f>
        <v>77471</v>
      </c>
    </row>
    <row r="1213" spans="1:25" x14ac:dyDescent="0.25">
      <c r="A1213" t="s">
        <v>5489</v>
      </c>
      <c r="B1213" t="s">
        <v>5490</v>
      </c>
      <c r="C1213">
        <v>2020</v>
      </c>
      <c r="D1213">
        <v>8001</v>
      </c>
      <c r="E1213">
        <v>3</v>
      </c>
      <c r="F1213" t="s">
        <v>5491</v>
      </c>
      <c r="G1213">
        <v>30087212</v>
      </c>
      <c r="J1213">
        <v>30.28</v>
      </c>
      <c r="L1213">
        <v>47955628</v>
      </c>
      <c r="M1213" s="1">
        <v>44503</v>
      </c>
      <c r="N1213" t="str">
        <f>"EK211103"</f>
        <v>EK211103</v>
      </c>
      <c r="O1213" t="s">
        <v>28</v>
      </c>
      <c r="Q1213" t="s">
        <v>29</v>
      </c>
      <c r="R1213" t="s">
        <v>28</v>
      </c>
      <c r="S1213" t="s">
        <v>5492</v>
      </c>
      <c r="T1213" t="s">
        <v>5493</v>
      </c>
      <c r="W1213" t="s">
        <v>154</v>
      </c>
      <c r="X1213" t="s">
        <v>34</v>
      </c>
      <c r="Y1213" t="str">
        <f>"77471"</f>
        <v>77471</v>
      </c>
    </row>
    <row r="1214" spans="1:25" x14ac:dyDescent="0.25">
      <c r="A1214" t="s">
        <v>5494</v>
      </c>
      <c r="B1214" t="s">
        <v>5495</v>
      </c>
      <c r="C1214">
        <v>2020</v>
      </c>
      <c r="D1214">
        <v>8001</v>
      </c>
      <c r="E1214">
        <v>1</v>
      </c>
      <c r="F1214" t="s">
        <v>5496</v>
      </c>
      <c r="G1214">
        <v>0</v>
      </c>
      <c r="J1214">
        <v>119.43</v>
      </c>
      <c r="L1214">
        <v>46672817</v>
      </c>
      <c r="M1214" s="1">
        <v>44229</v>
      </c>
      <c r="N1214" t="str">
        <f>"L210202"</f>
        <v>L210202</v>
      </c>
      <c r="O1214" t="s">
        <v>28</v>
      </c>
      <c r="Q1214" t="s">
        <v>29</v>
      </c>
      <c r="R1214" t="s">
        <v>28</v>
      </c>
      <c r="S1214" t="s">
        <v>5496</v>
      </c>
      <c r="T1214" t="s">
        <v>5497</v>
      </c>
      <c r="U1214" t="s">
        <v>60</v>
      </c>
      <c r="V1214" t="s">
        <v>60</v>
      </c>
      <c r="W1214" t="s">
        <v>649</v>
      </c>
      <c r="X1214" t="s">
        <v>34</v>
      </c>
      <c r="Y1214" t="str">
        <f>"774714248   "</f>
        <v xml:space="preserve">774714248   </v>
      </c>
    </row>
    <row r="1215" spans="1:25" x14ac:dyDescent="0.25">
      <c r="A1215" t="s">
        <v>5498</v>
      </c>
      <c r="B1215" t="s">
        <v>5499</v>
      </c>
      <c r="C1215">
        <v>2020</v>
      </c>
      <c r="D1215">
        <v>8001</v>
      </c>
      <c r="E1215">
        <v>2</v>
      </c>
      <c r="F1215" t="s">
        <v>5500</v>
      </c>
      <c r="G1215">
        <v>0</v>
      </c>
      <c r="J1215">
        <v>6.97</v>
      </c>
      <c r="L1215">
        <v>47707427</v>
      </c>
      <c r="M1215" s="1">
        <v>44427</v>
      </c>
      <c r="N1215" t="str">
        <f>"J210819BW1"</f>
        <v>J210819BW1</v>
      </c>
      <c r="O1215" t="s">
        <v>28</v>
      </c>
      <c r="Q1215" t="s">
        <v>29</v>
      </c>
      <c r="R1215" t="s">
        <v>28</v>
      </c>
      <c r="S1215" t="s">
        <v>5500</v>
      </c>
      <c r="T1215" t="s">
        <v>5501</v>
      </c>
      <c r="U1215" t="s">
        <v>60</v>
      </c>
      <c r="V1215" t="s">
        <v>60</v>
      </c>
      <c r="W1215" t="s">
        <v>214</v>
      </c>
      <c r="X1215" t="s">
        <v>34</v>
      </c>
      <c r="Y1215" t="str">
        <f>"774693369   "</f>
        <v xml:space="preserve">774693369   </v>
      </c>
    </row>
    <row r="1216" spans="1:25" x14ac:dyDescent="0.25">
      <c r="A1216" t="s">
        <v>5502</v>
      </c>
      <c r="B1216" t="s">
        <v>5503</v>
      </c>
      <c r="C1216">
        <v>2020</v>
      </c>
      <c r="D1216">
        <v>8001</v>
      </c>
      <c r="E1216">
        <v>2</v>
      </c>
      <c r="F1216" t="s">
        <v>5504</v>
      </c>
      <c r="G1216">
        <v>28692840</v>
      </c>
      <c r="J1216">
        <v>11.62</v>
      </c>
      <c r="L1216">
        <v>47267071</v>
      </c>
      <c r="M1216" s="1">
        <v>44294</v>
      </c>
      <c r="N1216" t="str">
        <f>"RC210414"</f>
        <v>RC210414</v>
      </c>
      <c r="O1216" t="s">
        <v>28</v>
      </c>
      <c r="Q1216" t="s">
        <v>29</v>
      </c>
      <c r="R1216" t="s">
        <v>28</v>
      </c>
      <c r="S1216" t="s">
        <v>1019</v>
      </c>
      <c r="T1216" t="s">
        <v>562</v>
      </c>
      <c r="W1216" t="s">
        <v>563</v>
      </c>
      <c r="X1216" t="s">
        <v>34</v>
      </c>
      <c r="Y1216" t="str">
        <f>"750630156"</f>
        <v>750630156</v>
      </c>
    </row>
    <row r="1217" spans="1:25" x14ac:dyDescent="0.25">
      <c r="A1217" t="s">
        <v>5505</v>
      </c>
      <c r="B1217" t="s">
        <v>5506</v>
      </c>
      <c r="C1217">
        <v>2019</v>
      </c>
      <c r="D1217">
        <v>8001</v>
      </c>
      <c r="E1217">
        <v>1</v>
      </c>
      <c r="F1217" t="s">
        <v>5507</v>
      </c>
      <c r="G1217">
        <v>21805565</v>
      </c>
      <c r="J1217">
        <v>46.59</v>
      </c>
      <c r="L1217">
        <v>44231767</v>
      </c>
      <c r="M1217" s="1">
        <v>43980</v>
      </c>
      <c r="N1217" t="str">
        <f>"J200529AW3"</f>
        <v>J200529AW3</v>
      </c>
      <c r="O1217" t="s">
        <v>28</v>
      </c>
      <c r="Q1217" t="s">
        <v>29</v>
      </c>
      <c r="R1217" t="s">
        <v>28</v>
      </c>
      <c r="S1217" t="s">
        <v>561</v>
      </c>
      <c r="T1217" t="s">
        <v>5471</v>
      </c>
      <c r="U1217" t="s">
        <v>562</v>
      </c>
      <c r="W1217" t="s">
        <v>563</v>
      </c>
      <c r="X1217" t="s">
        <v>34</v>
      </c>
      <c r="Y1217" t="str">
        <f>"750630156"</f>
        <v>750630156</v>
      </c>
    </row>
    <row r="1218" spans="1:25" x14ac:dyDescent="0.25">
      <c r="A1218" t="s">
        <v>5508</v>
      </c>
      <c r="B1218" t="s">
        <v>5509</v>
      </c>
      <c r="C1218">
        <v>2020</v>
      </c>
      <c r="D1218">
        <v>8001</v>
      </c>
      <c r="E1218">
        <v>1</v>
      </c>
      <c r="F1218" t="s">
        <v>5510</v>
      </c>
      <c r="G1218">
        <v>27672948</v>
      </c>
      <c r="J1218">
        <v>115.21</v>
      </c>
      <c r="L1218">
        <v>44871403</v>
      </c>
      <c r="M1218" s="1">
        <v>44148</v>
      </c>
      <c r="N1218" t="str">
        <f>"O201113R7"</f>
        <v>O201113R7</v>
      </c>
      <c r="O1218" t="s">
        <v>28</v>
      </c>
      <c r="Q1218" t="s">
        <v>29</v>
      </c>
      <c r="R1218" t="s">
        <v>28</v>
      </c>
      <c r="S1218" t="s">
        <v>5511</v>
      </c>
      <c r="T1218" t="s">
        <v>5512</v>
      </c>
      <c r="U1218" t="s">
        <v>5513</v>
      </c>
      <c r="W1218" t="s">
        <v>75</v>
      </c>
      <c r="X1218" t="s">
        <v>34</v>
      </c>
      <c r="Y1218" t="str">
        <f>"77067"</f>
        <v>77067</v>
      </c>
    </row>
    <row r="1219" spans="1:25" x14ac:dyDescent="0.25">
      <c r="A1219" t="s">
        <v>5514</v>
      </c>
      <c r="B1219" t="s">
        <v>5515</v>
      </c>
      <c r="C1219">
        <v>2020</v>
      </c>
      <c r="D1219">
        <v>8001</v>
      </c>
      <c r="E1219">
        <v>1</v>
      </c>
      <c r="F1219" t="s">
        <v>5516</v>
      </c>
      <c r="G1219">
        <v>27842564</v>
      </c>
      <c r="J1219">
        <v>837.08</v>
      </c>
      <c r="L1219">
        <v>45712810</v>
      </c>
      <c r="M1219" s="1">
        <v>44201</v>
      </c>
      <c r="N1219" t="str">
        <f>"RC210120"</f>
        <v>RC210120</v>
      </c>
      <c r="O1219" t="s">
        <v>28</v>
      </c>
      <c r="Q1219" t="s">
        <v>29</v>
      </c>
      <c r="R1219" t="s">
        <v>28</v>
      </c>
      <c r="S1219" t="s">
        <v>231</v>
      </c>
      <c r="T1219" t="s">
        <v>203</v>
      </c>
      <c r="U1219" t="s">
        <v>232</v>
      </c>
      <c r="W1219" t="s">
        <v>233</v>
      </c>
      <c r="X1219" t="s">
        <v>34</v>
      </c>
      <c r="Y1219" t="str">
        <f>"76092"</f>
        <v>76092</v>
      </c>
    </row>
    <row r="1220" spans="1:25" x14ac:dyDescent="0.25">
      <c r="A1220" t="s">
        <v>5517</v>
      </c>
      <c r="B1220" t="s">
        <v>5518</v>
      </c>
      <c r="C1220">
        <v>2019</v>
      </c>
      <c r="D1220">
        <v>8001</v>
      </c>
      <c r="E1220">
        <v>1</v>
      </c>
      <c r="F1220" t="s">
        <v>5519</v>
      </c>
      <c r="G1220">
        <v>27434323</v>
      </c>
      <c r="J1220">
        <v>53.71</v>
      </c>
      <c r="L1220">
        <v>43915437</v>
      </c>
      <c r="M1220" s="1">
        <v>43900</v>
      </c>
      <c r="N1220" t="str">
        <f>"J200310AW6"</f>
        <v>J200310AW6</v>
      </c>
      <c r="O1220" t="s">
        <v>28</v>
      </c>
      <c r="Q1220" t="s">
        <v>29</v>
      </c>
      <c r="R1220" t="s">
        <v>28</v>
      </c>
      <c r="S1220" t="s">
        <v>1326</v>
      </c>
      <c r="T1220" t="s">
        <v>1327</v>
      </c>
      <c r="W1220" t="s">
        <v>1328</v>
      </c>
      <c r="X1220" t="s">
        <v>162</v>
      </c>
      <c r="Y1220" t="str">
        <f>"080541210"</f>
        <v>080541210</v>
      </c>
    </row>
    <row r="1221" spans="1:25" x14ac:dyDescent="0.25">
      <c r="A1221" t="s">
        <v>5520</v>
      </c>
      <c r="B1221" t="s">
        <v>5521</v>
      </c>
      <c r="C1221">
        <v>2020</v>
      </c>
      <c r="D1221">
        <v>8001</v>
      </c>
      <c r="E1221">
        <v>2</v>
      </c>
      <c r="F1221" t="s">
        <v>5522</v>
      </c>
      <c r="G1221">
        <v>28692840</v>
      </c>
      <c r="J1221">
        <v>48.32</v>
      </c>
      <c r="L1221">
        <v>47203662</v>
      </c>
      <c r="M1221" s="1">
        <v>44285</v>
      </c>
      <c r="N1221" t="str">
        <f>"RC210414"</f>
        <v>RC210414</v>
      </c>
      <c r="O1221" t="s">
        <v>28</v>
      </c>
      <c r="Q1221" t="s">
        <v>29</v>
      </c>
      <c r="R1221" t="s">
        <v>28</v>
      </c>
      <c r="S1221" t="s">
        <v>1019</v>
      </c>
      <c r="T1221" t="s">
        <v>562</v>
      </c>
      <c r="W1221" t="s">
        <v>563</v>
      </c>
      <c r="X1221" t="s">
        <v>34</v>
      </c>
      <c r="Y1221" t="str">
        <f>"750630156"</f>
        <v>750630156</v>
      </c>
    </row>
    <row r="1222" spans="1:25" x14ac:dyDescent="0.25">
      <c r="A1222" t="s">
        <v>5523</v>
      </c>
      <c r="B1222" t="s">
        <v>5524</v>
      </c>
      <c r="C1222">
        <v>2020</v>
      </c>
      <c r="D1222">
        <v>8001</v>
      </c>
      <c r="E1222">
        <v>2</v>
      </c>
      <c r="F1222" t="s">
        <v>5525</v>
      </c>
      <c r="G1222">
        <v>29624226</v>
      </c>
      <c r="J1222">
        <v>15</v>
      </c>
      <c r="L1222">
        <v>47068292</v>
      </c>
      <c r="M1222" s="1">
        <v>44265</v>
      </c>
      <c r="N1222" t="str">
        <f>"O210310BE1"</f>
        <v>O210310BE1</v>
      </c>
      <c r="O1222" t="s">
        <v>28</v>
      </c>
      <c r="Q1222" t="s">
        <v>29</v>
      </c>
      <c r="R1222" t="s">
        <v>28</v>
      </c>
      <c r="S1222" t="s">
        <v>1068</v>
      </c>
      <c r="T1222" t="s">
        <v>1685</v>
      </c>
      <c r="U1222" t="s">
        <v>562</v>
      </c>
      <c r="W1222" t="s">
        <v>563</v>
      </c>
      <c r="X1222" t="s">
        <v>34</v>
      </c>
      <c r="Y1222" t="str">
        <f>"750630156"</f>
        <v>750630156</v>
      </c>
    </row>
    <row r="1223" spans="1:25" x14ac:dyDescent="0.25">
      <c r="A1223" t="s">
        <v>5526</v>
      </c>
      <c r="B1223" t="s">
        <v>5527</v>
      </c>
      <c r="C1223">
        <v>2020</v>
      </c>
      <c r="D1223">
        <v>8001</v>
      </c>
      <c r="E1223">
        <v>1</v>
      </c>
      <c r="F1223" t="s">
        <v>5528</v>
      </c>
      <c r="G1223">
        <v>29489522</v>
      </c>
      <c r="J1223">
        <v>42.19</v>
      </c>
      <c r="L1223">
        <v>46782221</v>
      </c>
      <c r="M1223" s="1">
        <v>44231</v>
      </c>
      <c r="N1223" t="str">
        <f>"CC210204"</f>
        <v>CC210204</v>
      </c>
      <c r="O1223" t="s">
        <v>28</v>
      </c>
      <c r="Q1223" t="s">
        <v>29</v>
      </c>
      <c r="R1223" t="s">
        <v>28</v>
      </c>
      <c r="S1223" t="s">
        <v>5529</v>
      </c>
      <c r="T1223" t="s">
        <v>5530</v>
      </c>
      <c r="W1223" t="s">
        <v>81</v>
      </c>
      <c r="X1223" t="s">
        <v>34</v>
      </c>
      <c r="Y1223" t="str">
        <f>"77469"</f>
        <v>77469</v>
      </c>
    </row>
    <row r="1224" spans="1:25" x14ac:dyDescent="0.25">
      <c r="A1224" t="s">
        <v>5531</v>
      </c>
      <c r="B1224" t="s">
        <v>5532</v>
      </c>
      <c r="C1224">
        <v>2021</v>
      </c>
      <c r="D1224">
        <v>8001</v>
      </c>
      <c r="E1224">
        <v>1</v>
      </c>
      <c r="F1224" t="s">
        <v>5533</v>
      </c>
      <c r="G1224">
        <v>28872854</v>
      </c>
      <c r="J1224">
        <v>467.78</v>
      </c>
      <c r="L1224">
        <v>49165181</v>
      </c>
      <c r="M1224" s="1">
        <v>44574</v>
      </c>
      <c r="N1224" t="str">
        <f>"RC220221"</f>
        <v>RC220221</v>
      </c>
      <c r="O1224" t="s">
        <v>28</v>
      </c>
      <c r="Q1224" t="s">
        <v>29</v>
      </c>
      <c r="R1224" t="s">
        <v>28</v>
      </c>
      <c r="S1224" t="s">
        <v>5534</v>
      </c>
      <c r="T1224" t="s">
        <v>3145</v>
      </c>
      <c r="U1224" t="s">
        <v>3146</v>
      </c>
      <c r="W1224" t="s">
        <v>75</v>
      </c>
      <c r="X1224" t="s">
        <v>34</v>
      </c>
      <c r="Y1224" t="str">
        <f>"770643588"</f>
        <v>770643588</v>
      </c>
    </row>
    <row r="1225" spans="1:25" x14ac:dyDescent="0.25">
      <c r="A1225" t="s">
        <v>5535</v>
      </c>
      <c r="B1225" t="s">
        <v>5536</v>
      </c>
      <c r="C1225">
        <v>2019</v>
      </c>
      <c r="D1225">
        <v>8001</v>
      </c>
      <c r="E1225">
        <v>2</v>
      </c>
      <c r="F1225" t="s">
        <v>5537</v>
      </c>
      <c r="G1225">
        <v>0</v>
      </c>
      <c r="J1225">
        <v>156.03</v>
      </c>
      <c r="L1225">
        <v>43915148</v>
      </c>
      <c r="M1225" s="1">
        <v>43900</v>
      </c>
      <c r="N1225" t="str">
        <f>"J200310AW3"</f>
        <v>J200310AW3</v>
      </c>
      <c r="O1225" t="s">
        <v>28</v>
      </c>
      <c r="Q1225" t="s">
        <v>29</v>
      </c>
      <c r="R1225" t="s">
        <v>28</v>
      </c>
      <c r="S1225" t="s">
        <v>5537</v>
      </c>
      <c r="T1225" t="s">
        <v>5538</v>
      </c>
      <c r="U1225" t="s">
        <v>60</v>
      </c>
      <c r="V1225" t="s">
        <v>60</v>
      </c>
      <c r="W1225" t="s">
        <v>219</v>
      </c>
      <c r="X1225" t="s">
        <v>34</v>
      </c>
      <c r="Y1225" t="str">
        <f>"774987125   "</f>
        <v xml:space="preserve">774987125   </v>
      </c>
    </row>
    <row r="1226" spans="1:25" x14ac:dyDescent="0.25">
      <c r="A1226" t="s">
        <v>5539</v>
      </c>
      <c r="B1226" t="s">
        <v>5540</v>
      </c>
      <c r="C1226">
        <v>2021</v>
      </c>
      <c r="D1226">
        <v>8001</v>
      </c>
      <c r="E1226">
        <v>1</v>
      </c>
      <c r="F1226" t="s">
        <v>5541</v>
      </c>
      <c r="G1226">
        <v>30037419</v>
      </c>
      <c r="J1226">
        <v>49.3</v>
      </c>
      <c r="L1226">
        <v>48959702</v>
      </c>
      <c r="M1226" s="1">
        <v>44567</v>
      </c>
      <c r="N1226" t="str">
        <f>"RC220209"</f>
        <v>RC220209</v>
      </c>
      <c r="O1226" t="s">
        <v>28</v>
      </c>
      <c r="Q1226" t="s">
        <v>29</v>
      </c>
      <c r="R1226" t="s">
        <v>28</v>
      </c>
      <c r="S1226" t="s">
        <v>5542</v>
      </c>
      <c r="T1226" t="s">
        <v>5543</v>
      </c>
      <c r="U1226" t="s">
        <v>5544</v>
      </c>
      <c r="W1226" t="s">
        <v>586</v>
      </c>
      <c r="X1226" t="s">
        <v>34</v>
      </c>
      <c r="Y1226" t="str">
        <f>"770891138"</f>
        <v>770891138</v>
      </c>
    </row>
    <row r="1227" spans="1:25" x14ac:dyDescent="0.25">
      <c r="A1227" t="s">
        <v>5545</v>
      </c>
      <c r="B1227" t="s">
        <v>5546</v>
      </c>
      <c r="C1227">
        <v>2020</v>
      </c>
      <c r="D1227">
        <v>8001</v>
      </c>
      <c r="E1227">
        <v>3</v>
      </c>
      <c r="F1227" t="s">
        <v>5547</v>
      </c>
      <c r="G1227">
        <v>0</v>
      </c>
      <c r="J1227">
        <v>315</v>
      </c>
      <c r="L1227">
        <v>47779161</v>
      </c>
      <c r="M1227" s="1">
        <v>44474</v>
      </c>
      <c r="N1227" t="str">
        <f>"J211005K3"</f>
        <v>J211005K3</v>
      </c>
      <c r="O1227" t="s">
        <v>28</v>
      </c>
      <c r="Q1227" t="s">
        <v>29</v>
      </c>
      <c r="R1227" t="s">
        <v>28</v>
      </c>
      <c r="S1227" t="s">
        <v>5547</v>
      </c>
      <c r="T1227" t="s">
        <v>5548</v>
      </c>
      <c r="U1227" t="s">
        <v>60</v>
      </c>
      <c r="V1227" t="s">
        <v>60</v>
      </c>
      <c r="W1227" t="s">
        <v>219</v>
      </c>
      <c r="X1227" t="s">
        <v>34</v>
      </c>
      <c r="Y1227" t="str">
        <f>"774987171   "</f>
        <v xml:space="preserve">774987171   </v>
      </c>
    </row>
    <row r="1228" spans="1:25" x14ac:dyDescent="0.25">
      <c r="A1228" t="s">
        <v>5549</v>
      </c>
      <c r="B1228" t="s">
        <v>5550</v>
      </c>
      <c r="C1228">
        <v>2020</v>
      </c>
      <c r="D1228">
        <v>8001</v>
      </c>
      <c r="E1228">
        <v>3</v>
      </c>
      <c r="F1228" t="s">
        <v>5551</v>
      </c>
      <c r="G1228">
        <v>28858633</v>
      </c>
      <c r="J1228">
        <v>258.37</v>
      </c>
      <c r="L1228">
        <v>47530558</v>
      </c>
      <c r="M1228" s="1">
        <v>44362</v>
      </c>
      <c r="N1228" t="str">
        <f>"RC210622"</f>
        <v>RC210622</v>
      </c>
      <c r="O1228" t="s">
        <v>28</v>
      </c>
      <c r="Q1228" t="s">
        <v>29</v>
      </c>
      <c r="R1228" t="s">
        <v>28</v>
      </c>
      <c r="S1228" t="s">
        <v>1941</v>
      </c>
      <c r="T1228" t="s">
        <v>1942</v>
      </c>
      <c r="U1228" t="s">
        <v>4742</v>
      </c>
      <c r="W1228" t="s">
        <v>4743</v>
      </c>
      <c r="X1228" t="s">
        <v>34</v>
      </c>
      <c r="Y1228" t="str">
        <f>"750194786"</f>
        <v>750194786</v>
      </c>
    </row>
    <row r="1229" spans="1:25" x14ac:dyDescent="0.25">
      <c r="A1229" t="s">
        <v>5552</v>
      </c>
      <c r="B1229" t="s">
        <v>5553</v>
      </c>
      <c r="C1229">
        <v>2020</v>
      </c>
      <c r="D1229">
        <v>8001</v>
      </c>
      <c r="E1229">
        <v>1</v>
      </c>
      <c r="F1229" t="s">
        <v>5554</v>
      </c>
      <c r="G1229">
        <v>28479019</v>
      </c>
      <c r="J1229">
        <v>139.32</v>
      </c>
      <c r="L1229">
        <v>47213293</v>
      </c>
      <c r="M1229" s="1">
        <v>44286</v>
      </c>
      <c r="N1229" t="str">
        <f>"RC210414"</f>
        <v>RC210414</v>
      </c>
      <c r="O1229" t="s">
        <v>28</v>
      </c>
      <c r="Q1229" t="s">
        <v>29</v>
      </c>
      <c r="R1229" t="s">
        <v>28</v>
      </c>
      <c r="S1229" t="s">
        <v>127</v>
      </c>
      <c r="T1229" t="s">
        <v>3482</v>
      </c>
      <c r="U1229" t="s">
        <v>3483</v>
      </c>
      <c r="V1229" t="s">
        <v>3484</v>
      </c>
      <c r="W1229" t="s">
        <v>75</v>
      </c>
      <c r="X1229" t="s">
        <v>34</v>
      </c>
      <c r="Y1229" t="str">
        <f>"77042"</f>
        <v>77042</v>
      </c>
    </row>
    <row r="1230" spans="1:25" x14ac:dyDescent="0.25">
      <c r="A1230" t="s">
        <v>5555</v>
      </c>
      <c r="B1230" t="s">
        <v>5556</v>
      </c>
      <c r="C1230">
        <v>2019</v>
      </c>
      <c r="D1230">
        <v>8001</v>
      </c>
      <c r="E1230">
        <v>12</v>
      </c>
      <c r="F1230" t="s">
        <v>5557</v>
      </c>
      <c r="G1230">
        <v>25965021</v>
      </c>
      <c r="J1230">
        <v>26.5</v>
      </c>
      <c r="L1230">
        <v>41574430</v>
      </c>
      <c r="M1230" s="1">
        <v>43766</v>
      </c>
      <c r="N1230" t="str">
        <f>"TE191028"</f>
        <v>TE191028</v>
      </c>
      <c r="O1230" t="s">
        <v>28</v>
      </c>
      <c r="Q1230" t="s">
        <v>29</v>
      </c>
      <c r="R1230" t="s">
        <v>28</v>
      </c>
      <c r="S1230" t="s">
        <v>5558</v>
      </c>
      <c r="T1230" t="s">
        <v>5559</v>
      </c>
      <c r="W1230" t="s">
        <v>40</v>
      </c>
      <c r="X1230" t="s">
        <v>34</v>
      </c>
      <c r="Y1230" t="str">
        <f>"77498"</f>
        <v>77498</v>
      </c>
    </row>
    <row r="1231" spans="1:25" x14ac:dyDescent="0.25">
      <c r="A1231" t="s">
        <v>5560</v>
      </c>
      <c r="B1231" t="s">
        <v>5561</v>
      </c>
      <c r="C1231">
        <v>2020</v>
      </c>
      <c r="D1231">
        <v>8001</v>
      </c>
      <c r="E1231">
        <v>2</v>
      </c>
      <c r="F1231" t="s">
        <v>5562</v>
      </c>
      <c r="G1231">
        <v>26210979</v>
      </c>
      <c r="J1231">
        <v>35.89</v>
      </c>
      <c r="L1231">
        <v>43785408</v>
      </c>
      <c r="M1231" s="1">
        <v>44147</v>
      </c>
      <c r="N1231" t="str">
        <f>"TE201112"</f>
        <v>TE201112</v>
      </c>
      <c r="O1231" t="s">
        <v>28</v>
      </c>
      <c r="Q1231" t="s">
        <v>29</v>
      </c>
      <c r="R1231" t="s">
        <v>28</v>
      </c>
      <c r="S1231" t="s">
        <v>5563</v>
      </c>
      <c r="T1231" t="s">
        <v>5564</v>
      </c>
      <c r="W1231" t="s">
        <v>154</v>
      </c>
      <c r="X1231" t="s">
        <v>34</v>
      </c>
      <c r="Y1231" t="str">
        <f>"77471"</f>
        <v>77471</v>
      </c>
    </row>
    <row r="1232" spans="1:25" x14ac:dyDescent="0.25">
      <c r="A1232" t="s">
        <v>5565</v>
      </c>
      <c r="B1232" t="s">
        <v>5566</v>
      </c>
      <c r="C1232">
        <v>2019</v>
      </c>
      <c r="D1232">
        <v>8001</v>
      </c>
      <c r="E1232">
        <v>4</v>
      </c>
      <c r="F1232" t="s">
        <v>5567</v>
      </c>
      <c r="G1232">
        <v>28512010</v>
      </c>
      <c r="J1232">
        <v>5.0599999999999996</v>
      </c>
      <c r="L1232">
        <v>44277834</v>
      </c>
      <c r="M1232" s="1">
        <v>43986</v>
      </c>
      <c r="N1232" t="str">
        <f>"CC300604"</f>
        <v>CC300604</v>
      </c>
      <c r="O1232" t="s">
        <v>28</v>
      </c>
      <c r="Q1232" t="s">
        <v>29</v>
      </c>
      <c r="R1232" t="s">
        <v>28</v>
      </c>
      <c r="S1232" t="s">
        <v>5568</v>
      </c>
      <c r="T1232" t="s">
        <v>5569</v>
      </c>
      <c r="W1232" t="s">
        <v>154</v>
      </c>
      <c r="X1232" t="s">
        <v>34</v>
      </c>
      <c r="Y1232" t="str">
        <f>"77471"</f>
        <v>77471</v>
      </c>
    </row>
    <row r="1233" spans="1:25" x14ac:dyDescent="0.25">
      <c r="A1233" t="s">
        <v>5570</v>
      </c>
      <c r="B1233" t="s">
        <v>5571</v>
      </c>
      <c r="C1233">
        <v>2021</v>
      </c>
      <c r="D1233">
        <v>8001</v>
      </c>
      <c r="E1233">
        <v>2</v>
      </c>
      <c r="F1233" t="s">
        <v>5572</v>
      </c>
      <c r="G1233">
        <v>31140764</v>
      </c>
      <c r="J1233">
        <v>200</v>
      </c>
      <c r="L1233">
        <v>50173131</v>
      </c>
      <c r="M1233" s="1">
        <v>44607</v>
      </c>
      <c r="N1233" t="str">
        <f>"RC220317"</f>
        <v>RC220317</v>
      </c>
      <c r="O1233" t="s">
        <v>28</v>
      </c>
      <c r="Q1233" t="s">
        <v>29</v>
      </c>
      <c r="R1233" t="s">
        <v>28</v>
      </c>
      <c r="S1233" t="s">
        <v>5573</v>
      </c>
      <c r="T1233" t="s">
        <v>5574</v>
      </c>
      <c r="W1233" t="s">
        <v>5575</v>
      </c>
      <c r="X1233" t="s">
        <v>5576</v>
      </c>
      <c r="Y1233" t="str">
        <f>"372012256"</f>
        <v>372012256</v>
      </c>
    </row>
    <row r="1234" spans="1:25" x14ac:dyDescent="0.25">
      <c r="A1234" t="s">
        <v>5577</v>
      </c>
      <c r="B1234" t="s">
        <v>5578</v>
      </c>
      <c r="C1234">
        <v>2019</v>
      </c>
      <c r="D1234">
        <v>8001</v>
      </c>
      <c r="E1234">
        <v>2</v>
      </c>
      <c r="F1234" t="s">
        <v>5579</v>
      </c>
      <c r="G1234">
        <v>0</v>
      </c>
      <c r="J1234">
        <v>9.85</v>
      </c>
      <c r="L1234">
        <v>44094769</v>
      </c>
      <c r="M1234" s="1">
        <v>43945</v>
      </c>
      <c r="N1234" t="str">
        <f>"J200424AW1"</f>
        <v>J200424AW1</v>
      </c>
      <c r="O1234" t="s">
        <v>28</v>
      </c>
      <c r="Q1234" t="s">
        <v>29</v>
      </c>
      <c r="R1234" t="s">
        <v>28</v>
      </c>
      <c r="S1234" t="s">
        <v>5579</v>
      </c>
      <c r="T1234" t="s">
        <v>5580</v>
      </c>
      <c r="U1234" t="s">
        <v>60</v>
      </c>
      <c r="V1234" t="s">
        <v>60</v>
      </c>
      <c r="W1234" t="s">
        <v>214</v>
      </c>
      <c r="X1234" t="s">
        <v>34</v>
      </c>
      <c r="Y1234" t="str">
        <f>"774062565   "</f>
        <v xml:space="preserve">774062565   </v>
      </c>
    </row>
    <row r="1235" spans="1:25" x14ac:dyDescent="0.25">
      <c r="A1235" t="s">
        <v>5581</v>
      </c>
      <c r="B1235" t="s">
        <v>5582</v>
      </c>
      <c r="C1235">
        <v>2019</v>
      </c>
      <c r="D1235">
        <v>8001</v>
      </c>
      <c r="E1235">
        <v>3</v>
      </c>
      <c r="F1235" t="s">
        <v>5583</v>
      </c>
      <c r="G1235">
        <v>28525506</v>
      </c>
      <c r="J1235">
        <v>9.7899999999999991</v>
      </c>
      <c r="L1235">
        <v>44305326</v>
      </c>
      <c r="M1235" s="1">
        <v>43997</v>
      </c>
      <c r="N1235" t="str">
        <f>"O200615U1"</f>
        <v>O200615U1</v>
      </c>
      <c r="O1235" t="s">
        <v>28</v>
      </c>
      <c r="Q1235" t="s">
        <v>29</v>
      </c>
      <c r="R1235" t="s">
        <v>28</v>
      </c>
      <c r="S1235" t="s">
        <v>5584</v>
      </c>
      <c r="T1235" t="s">
        <v>5585</v>
      </c>
      <c r="W1235" t="s">
        <v>618</v>
      </c>
      <c r="X1235" t="s">
        <v>34</v>
      </c>
      <c r="Y1235" t="str">
        <f>"774611221"</f>
        <v>774611221</v>
      </c>
    </row>
    <row r="1236" spans="1:25" x14ac:dyDescent="0.25">
      <c r="A1236" t="s">
        <v>5586</v>
      </c>
      <c r="B1236" t="s">
        <v>5587</v>
      </c>
      <c r="C1236">
        <v>2020</v>
      </c>
      <c r="D1236">
        <v>8001</v>
      </c>
      <c r="E1236">
        <v>2</v>
      </c>
      <c r="F1236" t="s">
        <v>5588</v>
      </c>
      <c r="G1236">
        <v>29859267</v>
      </c>
      <c r="J1236">
        <v>55.95</v>
      </c>
      <c r="L1236">
        <v>47500766</v>
      </c>
      <c r="M1236" s="1">
        <v>44351</v>
      </c>
      <c r="N1236" t="str">
        <f>"CC210604"</f>
        <v>CC210604</v>
      </c>
      <c r="O1236" t="s">
        <v>28</v>
      </c>
      <c r="Q1236" t="s">
        <v>29</v>
      </c>
      <c r="R1236" t="s">
        <v>28</v>
      </c>
      <c r="S1236" t="s">
        <v>5589</v>
      </c>
      <c r="T1236" t="s">
        <v>5590</v>
      </c>
      <c r="W1236" t="s">
        <v>81</v>
      </c>
      <c r="X1236" t="s">
        <v>34</v>
      </c>
      <c r="Y1236" t="str">
        <f>"77469"</f>
        <v>77469</v>
      </c>
    </row>
    <row r="1237" spans="1:25" x14ac:dyDescent="0.25">
      <c r="A1237" t="s">
        <v>5591</v>
      </c>
      <c r="B1237" t="s">
        <v>5592</v>
      </c>
      <c r="C1237">
        <v>2019</v>
      </c>
      <c r="D1237">
        <v>8001</v>
      </c>
      <c r="E1237">
        <v>3</v>
      </c>
      <c r="F1237" t="s">
        <v>5593</v>
      </c>
      <c r="G1237">
        <v>27687617</v>
      </c>
      <c r="J1237">
        <v>15.51</v>
      </c>
      <c r="L1237">
        <v>44293014</v>
      </c>
      <c r="M1237" s="1">
        <v>43991</v>
      </c>
      <c r="N1237" t="str">
        <f>"J200609AW2"</f>
        <v>J200609AW2</v>
      </c>
      <c r="O1237" t="s">
        <v>28</v>
      </c>
      <c r="Q1237" t="s">
        <v>29</v>
      </c>
      <c r="R1237" t="s">
        <v>28</v>
      </c>
      <c r="S1237" t="s">
        <v>561</v>
      </c>
      <c r="T1237" t="s">
        <v>562</v>
      </c>
      <c r="W1237" t="s">
        <v>563</v>
      </c>
      <c r="X1237" t="s">
        <v>34</v>
      </c>
      <c r="Y1237" t="str">
        <f>"750630156"</f>
        <v>750630156</v>
      </c>
    </row>
    <row r="1238" spans="1:25" x14ac:dyDescent="0.25">
      <c r="A1238" t="s">
        <v>5594</v>
      </c>
      <c r="B1238" t="s">
        <v>5595</v>
      </c>
      <c r="C1238">
        <v>2020</v>
      </c>
      <c r="D1238">
        <v>8001</v>
      </c>
      <c r="E1238">
        <v>1</v>
      </c>
      <c r="F1238" t="s">
        <v>5596</v>
      </c>
      <c r="G1238">
        <v>0</v>
      </c>
      <c r="J1238">
        <v>201.73</v>
      </c>
      <c r="L1238">
        <v>46673519</v>
      </c>
      <c r="M1238" s="1">
        <v>44229</v>
      </c>
      <c r="N1238" t="str">
        <f>"L210202"</f>
        <v>L210202</v>
      </c>
      <c r="O1238" t="s">
        <v>28</v>
      </c>
      <c r="Q1238" t="s">
        <v>29</v>
      </c>
      <c r="R1238" t="s">
        <v>28</v>
      </c>
      <c r="S1238" t="s">
        <v>5596</v>
      </c>
      <c r="T1238" t="s">
        <v>5597</v>
      </c>
      <c r="U1238" t="s">
        <v>60</v>
      </c>
      <c r="V1238" t="s">
        <v>60</v>
      </c>
      <c r="W1238" t="s">
        <v>214</v>
      </c>
      <c r="X1238" t="s">
        <v>34</v>
      </c>
      <c r="Y1238" t="str">
        <f>"774696026   "</f>
        <v xml:space="preserve">774696026   </v>
      </c>
    </row>
    <row r="1239" spans="1:25" x14ac:dyDescent="0.25">
      <c r="A1239" t="s">
        <v>5598</v>
      </c>
      <c r="B1239" t="s">
        <v>5599</v>
      </c>
      <c r="C1239">
        <v>2020</v>
      </c>
      <c r="D1239">
        <v>8001</v>
      </c>
      <c r="E1239">
        <v>2</v>
      </c>
      <c r="F1239" t="s">
        <v>5600</v>
      </c>
      <c r="G1239">
        <v>26962220</v>
      </c>
      <c r="J1239">
        <v>20.34</v>
      </c>
      <c r="L1239">
        <v>45757094</v>
      </c>
      <c r="M1239" s="1">
        <v>44202</v>
      </c>
      <c r="N1239" t="str">
        <f>"RC210120"</f>
        <v>RC210120</v>
      </c>
      <c r="O1239" t="s">
        <v>28</v>
      </c>
      <c r="Q1239" t="s">
        <v>29</v>
      </c>
      <c r="R1239" t="s">
        <v>28</v>
      </c>
      <c r="S1239" t="s">
        <v>561</v>
      </c>
      <c r="T1239" t="s">
        <v>1015</v>
      </c>
      <c r="W1239" t="s">
        <v>563</v>
      </c>
      <c r="X1239" t="s">
        <v>34</v>
      </c>
      <c r="Y1239" t="str">
        <f>"750630156"</f>
        <v>750630156</v>
      </c>
    </row>
    <row r="1240" spans="1:25" x14ac:dyDescent="0.25">
      <c r="A1240" t="s">
        <v>5601</v>
      </c>
      <c r="B1240" t="s">
        <v>5602</v>
      </c>
      <c r="C1240">
        <v>2018</v>
      </c>
      <c r="D1240">
        <v>8001</v>
      </c>
      <c r="E1240">
        <v>5</v>
      </c>
      <c r="F1240" t="s">
        <v>5603</v>
      </c>
      <c r="G1240">
        <v>27545216</v>
      </c>
      <c r="J1240">
        <v>65.849999999999994</v>
      </c>
      <c r="L1240">
        <v>41542785</v>
      </c>
      <c r="M1240" s="1">
        <v>43719</v>
      </c>
      <c r="N1240" t="str">
        <f>"J190911AW1"</f>
        <v>J190911AW1</v>
      </c>
      <c r="O1240" t="s">
        <v>28</v>
      </c>
      <c r="Q1240" t="s">
        <v>29</v>
      </c>
      <c r="R1240" t="s">
        <v>28</v>
      </c>
      <c r="S1240" t="s">
        <v>363</v>
      </c>
      <c r="T1240" t="s">
        <v>5604</v>
      </c>
      <c r="W1240" t="s">
        <v>563</v>
      </c>
      <c r="X1240" t="s">
        <v>34</v>
      </c>
      <c r="Y1240" t="str">
        <f>"750632466"</f>
        <v>750632466</v>
      </c>
    </row>
    <row r="1241" spans="1:25" x14ac:dyDescent="0.25">
      <c r="A1241" t="s">
        <v>5605</v>
      </c>
      <c r="B1241" t="s">
        <v>5606</v>
      </c>
      <c r="C1241">
        <v>2021</v>
      </c>
      <c r="D1241">
        <v>8001</v>
      </c>
      <c r="E1241">
        <v>1</v>
      </c>
      <c r="F1241" t="s">
        <v>5607</v>
      </c>
      <c r="G1241">
        <v>0</v>
      </c>
      <c r="J1241" s="2">
        <v>1067</v>
      </c>
      <c r="L1241">
        <v>50103143</v>
      </c>
      <c r="M1241" s="1">
        <v>44600</v>
      </c>
      <c r="N1241" t="str">
        <f>"J220208BW10"</f>
        <v>J220208BW10</v>
      </c>
      <c r="O1241" t="s">
        <v>28</v>
      </c>
      <c r="Q1241" t="s">
        <v>29</v>
      </c>
      <c r="R1241" t="s">
        <v>28</v>
      </c>
      <c r="S1241" t="s">
        <v>5607</v>
      </c>
      <c r="T1241" t="s">
        <v>5608</v>
      </c>
      <c r="U1241" t="s">
        <v>60</v>
      </c>
      <c r="V1241" t="s">
        <v>60</v>
      </c>
      <c r="W1241" t="s">
        <v>214</v>
      </c>
      <c r="X1241" t="s">
        <v>34</v>
      </c>
      <c r="Y1241" t="str">
        <f>"774696076   "</f>
        <v xml:space="preserve">774696076   </v>
      </c>
    </row>
    <row r="1242" spans="1:25" x14ac:dyDescent="0.25">
      <c r="A1242" t="s">
        <v>5609</v>
      </c>
      <c r="B1242" t="s">
        <v>5610</v>
      </c>
      <c r="C1242">
        <v>2019</v>
      </c>
      <c r="D1242">
        <v>8001</v>
      </c>
      <c r="E1242">
        <v>2</v>
      </c>
      <c r="F1242" t="s">
        <v>5611</v>
      </c>
      <c r="G1242">
        <v>0</v>
      </c>
      <c r="J1242">
        <v>47.77</v>
      </c>
      <c r="L1242">
        <v>44329947</v>
      </c>
      <c r="M1242" s="1">
        <v>44006</v>
      </c>
      <c r="N1242" t="str">
        <f>"J200624K1"</f>
        <v>J200624K1</v>
      </c>
      <c r="O1242" t="s">
        <v>28</v>
      </c>
      <c r="Q1242" t="s">
        <v>29</v>
      </c>
      <c r="R1242" t="s">
        <v>28</v>
      </c>
      <c r="S1242" t="s">
        <v>5611</v>
      </c>
      <c r="T1242" t="s">
        <v>5612</v>
      </c>
      <c r="U1242" t="s">
        <v>60</v>
      </c>
      <c r="V1242" t="s">
        <v>60</v>
      </c>
      <c r="W1242" t="s">
        <v>214</v>
      </c>
      <c r="X1242" t="s">
        <v>34</v>
      </c>
      <c r="Y1242" t="str">
        <f>"774696077   "</f>
        <v xml:space="preserve">774696077   </v>
      </c>
    </row>
    <row r="1243" spans="1:25" x14ac:dyDescent="0.25">
      <c r="A1243" t="s">
        <v>5613</v>
      </c>
      <c r="B1243" t="s">
        <v>5614</v>
      </c>
      <c r="C1243">
        <v>2019</v>
      </c>
      <c r="D1243">
        <v>8001</v>
      </c>
      <c r="E1243">
        <v>10</v>
      </c>
      <c r="F1243" t="s">
        <v>5615</v>
      </c>
      <c r="G1243">
        <v>0</v>
      </c>
      <c r="J1243">
        <v>37.07</v>
      </c>
      <c r="L1243">
        <v>41569564</v>
      </c>
      <c r="M1243" s="1">
        <v>43766</v>
      </c>
      <c r="N1243" t="str">
        <f>"TE191028"</f>
        <v>TE191028</v>
      </c>
      <c r="O1243" t="s">
        <v>28</v>
      </c>
      <c r="Q1243" t="s">
        <v>29</v>
      </c>
      <c r="R1243" t="s">
        <v>28</v>
      </c>
      <c r="S1243" t="s">
        <v>5615</v>
      </c>
      <c r="T1243" t="s">
        <v>5616</v>
      </c>
      <c r="U1243" t="s">
        <v>60</v>
      </c>
      <c r="V1243" t="s">
        <v>60</v>
      </c>
      <c r="W1243" t="s">
        <v>214</v>
      </c>
      <c r="X1243" t="s">
        <v>34</v>
      </c>
      <c r="Y1243" t="str">
        <f>"774696077   "</f>
        <v xml:space="preserve">774696077   </v>
      </c>
    </row>
    <row r="1244" spans="1:25" x14ac:dyDescent="0.25">
      <c r="A1244" t="s">
        <v>5617</v>
      </c>
      <c r="B1244" t="s">
        <v>5618</v>
      </c>
      <c r="C1244">
        <v>2020</v>
      </c>
      <c r="D1244">
        <v>8001</v>
      </c>
      <c r="E1244">
        <v>1</v>
      </c>
      <c r="F1244" t="s">
        <v>5619</v>
      </c>
      <c r="G1244">
        <v>29644519</v>
      </c>
      <c r="J1244">
        <v>141.59</v>
      </c>
      <c r="L1244">
        <v>47049889</v>
      </c>
      <c r="M1244" s="1">
        <v>44263</v>
      </c>
      <c r="N1244" t="str">
        <f>"RC210317"</f>
        <v>RC210317</v>
      </c>
      <c r="O1244" t="s">
        <v>28</v>
      </c>
      <c r="Q1244" t="s">
        <v>29</v>
      </c>
      <c r="R1244" t="s">
        <v>28</v>
      </c>
      <c r="S1244" t="s">
        <v>4921</v>
      </c>
      <c r="T1244" t="s">
        <v>5620</v>
      </c>
      <c r="W1244" t="s">
        <v>112</v>
      </c>
      <c r="X1244" t="s">
        <v>34</v>
      </c>
      <c r="Y1244" t="str">
        <f>"77478"</f>
        <v>77478</v>
      </c>
    </row>
    <row r="1245" spans="1:25" x14ac:dyDescent="0.25">
      <c r="A1245" t="s">
        <v>5621</v>
      </c>
      <c r="B1245" t="s">
        <v>5622</v>
      </c>
      <c r="C1245">
        <v>2021</v>
      </c>
      <c r="D1245">
        <v>8001</v>
      </c>
      <c r="E1245">
        <v>1</v>
      </c>
      <c r="F1245" t="s">
        <v>5623</v>
      </c>
      <c r="G1245">
        <v>30405475</v>
      </c>
      <c r="J1245">
        <v>56.41</v>
      </c>
      <c r="L1245">
        <v>48826647</v>
      </c>
      <c r="M1245" s="1">
        <v>44564</v>
      </c>
      <c r="N1245" t="str">
        <f>"O220103F1"</f>
        <v>O220103F1</v>
      </c>
      <c r="O1245" t="s">
        <v>28</v>
      </c>
      <c r="Q1245" t="s">
        <v>29</v>
      </c>
      <c r="R1245" t="s">
        <v>28</v>
      </c>
      <c r="S1245" t="s">
        <v>5624</v>
      </c>
      <c r="T1245" t="s">
        <v>5625</v>
      </c>
      <c r="W1245" t="s">
        <v>75</v>
      </c>
      <c r="X1245" t="s">
        <v>34</v>
      </c>
      <c r="Y1245" t="str">
        <f>"770834322"</f>
        <v>770834322</v>
      </c>
    </row>
    <row r="1246" spans="1:25" x14ac:dyDescent="0.25">
      <c r="A1246" t="s">
        <v>5626</v>
      </c>
      <c r="B1246" t="s">
        <v>5627</v>
      </c>
      <c r="C1246">
        <v>2020</v>
      </c>
      <c r="D1246">
        <v>8001</v>
      </c>
      <c r="E1246">
        <v>1</v>
      </c>
      <c r="F1246" t="s">
        <v>5628</v>
      </c>
      <c r="G1246">
        <v>23632701</v>
      </c>
      <c r="J1246">
        <v>51.32</v>
      </c>
      <c r="L1246">
        <v>46885384</v>
      </c>
      <c r="M1246" s="1">
        <v>44236</v>
      </c>
      <c r="N1246" t="str">
        <f>"RC210304"</f>
        <v>RC210304</v>
      </c>
      <c r="O1246" t="s">
        <v>28</v>
      </c>
      <c r="Q1246" t="s">
        <v>29</v>
      </c>
      <c r="R1246" t="s">
        <v>28</v>
      </c>
      <c r="S1246" t="s">
        <v>5629</v>
      </c>
      <c r="T1246" t="s">
        <v>5630</v>
      </c>
      <c r="W1246" t="s">
        <v>1160</v>
      </c>
      <c r="X1246" t="s">
        <v>34</v>
      </c>
      <c r="Y1246" t="str">
        <f>"77545"</f>
        <v>77545</v>
      </c>
    </row>
    <row r="1247" spans="1:25" x14ac:dyDescent="0.25">
      <c r="A1247" t="s">
        <v>5631</v>
      </c>
      <c r="B1247" t="s">
        <v>5632</v>
      </c>
      <c r="C1247">
        <v>2020</v>
      </c>
      <c r="D1247">
        <v>8001</v>
      </c>
      <c r="E1247">
        <v>3</v>
      </c>
      <c r="F1247" t="s">
        <v>5633</v>
      </c>
      <c r="G1247">
        <v>0</v>
      </c>
      <c r="J1247">
        <v>104.24</v>
      </c>
      <c r="L1247">
        <v>46829413</v>
      </c>
      <c r="M1247" s="1">
        <v>44235</v>
      </c>
      <c r="N1247" t="str">
        <f>"QP210208"</f>
        <v>QP210208</v>
      </c>
      <c r="O1247" t="s">
        <v>28</v>
      </c>
      <c r="Q1247" t="s">
        <v>29</v>
      </c>
      <c r="R1247" t="s">
        <v>28</v>
      </c>
      <c r="S1247" t="s">
        <v>5633</v>
      </c>
      <c r="T1247" t="s">
        <v>5634</v>
      </c>
      <c r="U1247" t="s">
        <v>60</v>
      </c>
      <c r="V1247" t="s">
        <v>60</v>
      </c>
      <c r="W1247" t="s">
        <v>2502</v>
      </c>
      <c r="X1247" t="s">
        <v>34</v>
      </c>
      <c r="Y1247" t="str">
        <f>"775457041   "</f>
        <v xml:space="preserve">775457041   </v>
      </c>
    </row>
    <row r="1248" spans="1:25" x14ac:dyDescent="0.25">
      <c r="A1248" t="s">
        <v>5635</v>
      </c>
      <c r="B1248" t="s">
        <v>5636</v>
      </c>
      <c r="C1248">
        <v>2020</v>
      </c>
      <c r="D1248">
        <v>8001</v>
      </c>
      <c r="E1248">
        <v>1</v>
      </c>
      <c r="F1248" t="s">
        <v>5637</v>
      </c>
      <c r="G1248">
        <v>29461640</v>
      </c>
      <c r="J1248">
        <v>175.19</v>
      </c>
      <c r="L1248">
        <v>46728640</v>
      </c>
      <c r="M1248" s="1">
        <v>44230</v>
      </c>
      <c r="N1248" t="str">
        <f>"EK210203"</f>
        <v>EK210203</v>
      </c>
      <c r="O1248" t="s">
        <v>28</v>
      </c>
      <c r="Q1248" t="s">
        <v>29</v>
      </c>
      <c r="R1248" t="s">
        <v>28</v>
      </c>
      <c r="S1248" t="s">
        <v>2527</v>
      </c>
      <c r="T1248" t="s">
        <v>2528</v>
      </c>
      <c r="W1248" t="s">
        <v>1160</v>
      </c>
      <c r="X1248" t="s">
        <v>34</v>
      </c>
      <c r="Y1248" t="str">
        <f>"77545"</f>
        <v>77545</v>
      </c>
    </row>
    <row r="1249" spans="1:25" x14ac:dyDescent="0.25">
      <c r="A1249" t="s">
        <v>5638</v>
      </c>
      <c r="B1249" t="s">
        <v>5639</v>
      </c>
      <c r="C1249">
        <v>2018</v>
      </c>
      <c r="D1249">
        <v>8001</v>
      </c>
      <c r="E1249">
        <v>8</v>
      </c>
      <c r="F1249" t="s">
        <v>5640</v>
      </c>
      <c r="G1249">
        <v>25501681</v>
      </c>
      <c r="J1249">
        <v>20.77</v>
      </c>
      <c r="L1249">
        <v>41480049</v>
      </c>
      <c r="M1249" s="1">
        <v>43684</v>
      </c>
      <c r="N1249" t="str">
        <f>"J190807K1"</f>
        <v>J190807K1</v>
      </c>
      <c r="O1249" t="s">
        <v>28</v>
      </c>
      <c r="Q1249" t="s">
        <v>29</v>
      </c>
      <c r="R1249" t="s">
        <v>28</v>
      </c>
      <c r="S1249" t="s">
        <v>5031</v>
      </c>
      <c r="T1249" t="s">
        <v>5032</v>
      </c>
      <c r="U1249" t="s">
        <v>5033</v>
      </c>
      <c r="W1249" t="s">
        <v>1371</v>
      </c>
      <c r="X1249" t="s">
        <v>34</v>
      </c>
      <c r="Y1249" t="str">
        <f>"75034"</f>
        <v>75034</v>
      </c>
    </row>
    <row r="1250" spans="1:25" x14ac:dyDescent="0.25">
      <c r="A1250" t="s">
        <v>5641</v>
      </c>
      <c r="B1250" t="s">
        <v>5642</v>
      </c>
      <c r="C1250">
        <v>2018</v>
      </c>
      <c r="D1250">
        <v>8001</v>
      </c>
      <c r="E1250">
        <v>2</v>
      </c>
      <c r="F1250" t="s">
        <v>5643</v>
      </c>
      <c r="G1250">
        <v>25048477</v>
      </c>
      <c r="J1250">
        <v>37.68</v>
      </c>
      <c r="L1250">
        <v>41480051</v>
      </c>
      <c r="M1250" s="1">
        <v>43684</v>
      </c>
      <c r="N1250" t="str">
        <f>"J190807K1"</f>
        <v>J190807K1</v>
      </c>
      <c r="O1250" t="s">
        <v>28</v>
      </c>
      <c r="Q1250" t="s">
        <v>29</v>
      </c>
      <c r="R1250" t="s">
        <v>28</v>
      </c>
      <c r="S1250" t="s">
        <v>2579</v>
      </c>
      <c r="T1250" t="s">
        <v>2052</v>
      </c>
      <c r="W1250" t="s">
        <v>1328</v>
      </c>
      <c r="X1250" t="s">
        <v>162</v>
      </c>
      <c r="Y1250" t="str">
        <f>"080545452"</f>
        <v>080545452</v>
      </c>
    </row>
    <row r="1251" spans="1:25" x14ac:dyDescent="0.25">
      <c r="A1251" t="s">
        <v>5644</v>
      </c>
      <c r="B1251" t="s">
        <v>5645</v>
      </c>
      <c r="C1251">
        <v>2020</v>
      </c>
      <c r="D1251">
        <v>8001</v>
      </c>
      <c r="E1251">
        <v>2</v>
      </c>
      <c r="F1251" t="s">
        <v>5646</v>
      </c>
      <c r="G1251">
        <v>28954015</v>
      </c>
      <c r="J1251">
        <v>7.92</v>
      </c>
      <c r="L1251">
        <v>45443043</v>
      </c>
      <c r="M1251" s="1">
        <v>44188</v>
      </c>
      <c r="N1251" t="str">
        <f>"O201223AV6"</f>
        <v>O201223AV6</v>
      </c>
      <c r="O1251" t="s">
        <v>28</v>
      </c>
      <c r="Q1251" t="s">
        <v>29</v>
      </c>
      <c r="R1251" t="s">
        <v>28</v>
      </c>
      <c r="S1251" t="s">
        <v>5647</v>
      </c>
      <c r="T1251" t="s">
        <v>5648</v>
      </c>
      <c r="W1251" t="s">
        <v>40</v>
      </c>
      <c r="X1251" t="s">
        <v>34</v>
      </c>
      <c r="Y1251" t="str">
        <f>"774795789"</f>
        <v>774795789</v>
      </c>
    </row>
    <row r="1252" spans="1:25" x14ac:dyDescent="0.25">
      <c r="A1252" t="s">
        <v>5649</v>
      </c>
      <c r="B1252" t="s">
        <v>5650</v>
      </c>
      <c r="C1252">
        <v>2020</v>
      </c>
      <c r="D1252">
        <v>8001</v>
      </c>
      <c r="E1252">
        <v>1</v>
      </c>
      <c r="F1252" t="s">
        <v>5651</v>
      </c>
      <c r="G1252">
        <v>29448469</v>
      </c>
      <c r="J1252">
        <v>155.22999999999999</v>
      </c>
      <c r="L1252">
        <v>47519636</v>
      </c>
      <c r="M1252" s="1">
        <v>44357</v>
      </c>
      <c r="N1252" t="str">
        <f>"RC210616"</f>
        <v>RC210616</v>
      </c>
      <c r="O1252" t="s">
        <v>28</v>
      </c>
      <c r="Q1252" t="s">
        <v>29</v>
      </c>
      <c r="R1252" t="s">
        <v>28</v>
      </c>
      <c r="S1252" t="s">
        <v>1033</v>
      </c>
      <c r="T1252" t="s">
        <v>1034</v>
      </c>
      <c r="W1252" t="s">
        <v>168</v>
      </c>
      <c r="X1252" t="s">
        <v>169</v>
      </c>
      <c r="Y1252" t="str">
        <f>"801114720"</f>
        <v>801114720</v>
      </c>
    </row>
    <row r="1253" spans="1:25" x14ac:dyDescent="0.25">
      <c r="A1253" t="s">
        <v>5652</v>
      </c>
      <c r="B1253" t="s">
        <v>5653</v>
      </c>
      <c r="C1253">
        <v>2020</v>
      </c>
      <c r="D1253">
        <v>8001</v>
      </c>
      <c r="E1253">
        <v>1</v>
      </c>
      <c r="F1253" t="s">
        <v>5654</v>
      </c>
      <c r="G1253">
        <v>29489451</v>
      </c>
      <c r="J1253">
        <v>532.57000000000005</v>
      </c>
      <c r="L1253">
        <v>46782150</v>
      </c>
      <c r="M1253" s="1">
        <v>44231</v>
      </c>
      <c r="N1253" t="str">
        <f>"CC210204"</f>
        <v>CC210204</v>
      </c>
      <c r="O1253" t="s">
        <v>28</v>
      </c>
      <c r="Q1253" t="s">
        <v>29</v>
      </c>
      <c r="R1253" t="s">
        <v>28</v>
      </c>
      <c r="S1253" t="s">
        <v>5655</v>
      </c>
      <c r="T1253" t="s">
        <v>5656</v>
      </c>
      <c r="W1253" t="s">
        <v>40</v>
      </c>
      <c r="X1253" t="s">
        <v>34</v>
      </c>
      <c r="Y1253" t="str">
        <f>"77479"</f>
        <v>77479</v>
      </c>
    </row>
    <row r="1254" spans="1:25" x14ac:dyDescent="0.25">
      <c r="A1254" t="s">
        <v>5657</v>
      </c>
      <c r="B1254" t="s">
        <v>5658</v>
      </c>
      <c r="C1254">
        <v>2020</v>
      </c>
      <c r="D1254">
        <v>8001</v>
      </c>
      <c r="E1254">
        <v>1</v>
      </c>
      <c r="F1254" t="s">
        <v>5659</v>
      </c>
      <c r="G1254">
        <v>29591411</v>
      </c>
      <c r="J1254">
        <v>886.37</v>
      </c>
      <c r="L1254">
        <v>46874931</v>
      </c>
      <c r="M1254" s="1">
        <v>44236</v>
      </c>
      <c r="N1254" t="str">
        <f>"RC210304"</f>
        <v>RC210304</v>
      </c>
      <c r="O1254" t="s">
        <v>28</v>
      </c>
      <c r="Q1254" t="s">
        <v>29</v>
      </c>
      <c r="R1254" t="s">
        <v>28</v>
      </c>
      <c r="S1254" t="s">
        <v>5660</v>
      </c>
      <c r="T1254" t="s">
        <v>5661</v>
      </c>
      <c r="W1254" t="s">
        <v>112</v>
      </c>
      <c r="X1254" t="s">
        <v>34</v>
      </c>
      <c r="Y1254" t="str">
        <f>"774982414"</f>
        <v>774982414</v>
      </c>
    </row>
    <row r="1255" spans="1:25" x14ac:dyDescent="0.25">
      <c r="A1255" t="s">
        <v>5662</v>
      </c>
      <c r="B1255" t="s">
        <v>5663</v>
      </c>
      <c r="C1255">
        <v>2020</v>
      </c>
      <c r="D1255">
        <v>8001</v>
      </c>
      <c r="E1255">
        <v>1</v>
      </c>
      <c r="F1255" t="s">
        <v>5664</v>
      </c>
      <c r="G1255">
        <v>29135722</v>
      </c>
      <c r="J1255">
        <v>13.39</v>
      </c>
      <c r="L1255">
        <v>45670536</v>
      </c>
      <c r="M1255" s="1">
        <v>44201</v>
      </c>
      <c r="N1255" t="str">
        <f>"RC210120"</f>
        <v>RC210120</v>
      </c>
      <c r="O1255" t="s">
        <v>28</v>
      </c>
      <c r="Q1255" t="s">
        <v>29</v>
      </c>
      <c r="R1255" t="s">
        <v>28</v>
      </c>
      <c r="S1255" t="s">
        <v>30</v>
      </c>
      <c r="T1255" t="s">
        <v>5665</v>
      </c>
      <c r="U1255" t="s">
        <v>5666</v>
      </c>
      <c r="W1255" t="s">
        <v>107</v>
      </c>
      <c r="X1255" t="s">
        <v>34</v>
      </c>
      <c r="Y1255" t="str">
        <f>"77494"</f>
        <v>77494</v>
      </c>
    </row>
    <row r="1256" spans="1:25" x14ac:dyDescent="0.25">
      <c r="A1256" t="s">
        <v>5667</v>
      </c>
      <c r="B1256" t="s">
        <v>5668</v>
      </c>
      <c r="C1256">
        <v>2020</v>
      </c>
      <c r="D1256">
        <v>8001</v>
      </c>
      <c r="E1256">
        <v>1</v>
      </c>
      <c r="F1256" t="s">
        <v>5669</v>
      </c>
      <c r="G1256">
        <v>29576656</v>
      </c>
      <c r="J1256">
        <v>13.86</v>
      </c>
      <c r="L1256">
        <v>46672753</v>
      </c>
      <c r="M1256" s="1">
        <v>44229</v>
      </c>
      <c r="N1256" t="str">
        <f>"RC210301"</f>
        <v>RC210301</v>
      </c>
      <c r="O1256" t="s">
        <v>28</v>
      </c>
      <c r="Q1256" t="s">
        <v>29</v>
      </c>
      <c r="R1256" t="s">
        <v>28</v>
      </c>
      <c r="S1256" t="s">
        <v>5670</v>
      </c>
      <c r="T1256" t="s">
        <v>5671</v>
      </c>
      <c r="W1256" t="s">
        <v>75</v>
      </c>
      <c r="X1256" t="s">
        <v>34</v>
      </c>
      <c r="Y1256" t="str">
        <f>"77074"</f>
        <v>77074</v>
      </c>
    </row>
    <row r="1257" spans="1:25" x14ac:dyDescent="0.25">
      <c r="A1257" t="s">
        <v>5672</v>
      </c>
      <c r="B1257" t="s">
        <v>5673</v>
      </c>
      <c r="C1257">
        <v>2020</v>
      </c>
      <c r="D1257">
        <v>8001</v>
      </c>
      <c r="E1257">
        <v>1</v>
      </c>
      <c r="F1257" t="s">
        <v>5674</v>
      </c>
      <c r="G1257">
        <v>0</v>
      </c>
      <c r="J1257">
        <v>537.41999999999996</v>
      </c>
      <c r="L1257">
        <v>44967474</v>
      </c>
      <c r="M1257" s="1">
        <v>44158</v>
      </c>
      <c r="N1257" t="str">
        <f>"J201123U1"</f>
        <v>J201123U1</v>
      </c>
      <c r="O1257" t="s">
        <v>28</v>
      </c>
      <c r="Q1257" t="s">
        <v>29</v>
      </c>
      <c r="R1257" t="s">
        <v>28</v>
      </c>
      <c r="S1257" t="s">
        <v>5674</v>
      </c>
      <c r="T1257" t="s">
        <v>5675</v>
      </c>
      <c r="U1257" t="s">
        <v>60</v>
      </c>
      <c r="V1257" t="s">
        <v>60</v>
      </c>
      <c r="W1257" t="s">
        <v>219</v>
      </c>
      <c r="X1257" t="s">
        <v>34</v>
      </c>
      <c r="Y1257" t="str">
        <f>"774792889   "</f>
        <v xml:space="preserve">774792889   </v>
      </c>
    </row>
    <row r="1258" spans="1:25" x14ac:dyDescent="0.25">
      <c r="A1258" t="s">
        <v>5676</v>
      </c>
      <c r="B1258" t="s">
        <v>5677</v>
      </c>
      <c r="C1258">
        <v>2020</v>
      </c>
      <c r="D1258">
        <v>8001</v>
      </c>
      <c r="E1258">
        <v>3</v>
      </c>
      <c r="F1258" t="s">
        <v>5678</v>
      </c>
      <c r="G1258">
        <v>29564104</v>
      </c>
      <c r="J1258">
        <v>739.45</v>
      </c>
      <c r="L1258">
        <v>47011956</v>
      </c>
      <c r="M1258" s="1">
        <v>44257</v>
      </c>
      <c r="N1258" t="str">
        <f>"R210302AJ2"</f>
        <v>R210302AJ2</v>
      </c>
      <c r="O1258" t="s">
        <v>28</v>
      </c>
      <c r="Q1258" t="s">
        <v>29</v>
      </c>
      <c r="R1258" t="s">
        <v>28</v>
      </c>
      <c r="S1258" t="s">
        <v>5679</v>
      </c>
      <c r="T1258" t="s">
        <v>5680</v>
      </c>
      <c r="W1258" t="s">
        <v>40</v>
      </c>
      <c r="X1258" t="s">
        <v>34</v>
      </c>
      <c r="Y1258" t="str">
        <f>"77479"</f>
        <v>77479</v>
      </c>
    </row>
    <row r="1259" spans="1:25" x14ac:dyDescent="0.25">
      <c r="A1259" t="s">
        <v>5681</v>
      </c>
      <c r="B1259" t="s">
        <v>5682</v>
      </c>
      <c r="C1259">
        <v>2020</v>
      </c>
      <c r="D1259">
        <v>8001</v>
      </c>
      <c r="E1259">
        <v>1</v>
      </c>
      <c r="F1259" t="s">
        <v>5683</v>
      </c>
      <c r="G1259">
        <v>29596098</v>
      </c>
      <c r="J1259">
        <v>217.72</v>
      </c>
      <c r="L1259">
        <v>47018867</v>
      </c>
      <c r="M1259" s="1">
        <v>44258</v>
      </c>
      <c r="N1259" t="str">
        <f>"EK210303"</f>
        <v>EK210303</v>
      </c>
      <c r="O1259" t="s">
        <v>28</v>
      </c>
      <c r="Q1259" t="s">
        <v>29</v>
      </c>
      <c r="R1259" t="s">
        <v>28</v>
      </c>
      <c r="S1259" t="s">
        <v>5684</v>
      </c>
      <c r="T1259" t="s">
        <v>2691</v>
      </c>
      <c r="W1259" t="s">
        <v>40</v>
      </c>
      <c r="X1259" t="s">
        <v>34</v>
      </c>
      <c r="Y1259" t="str">
        <f>"77479"</f>
        <v>77479</v>
      </c>
    </row>
    <row r="1260" spans="1:25" x14ac:dyDescent="0.25">
      <c r="A1260" t="s">
        <v>5685</v>
      </c>
      <c r="B1260" t="s">
        <v>5686</v>
      </c>
      <c r="C1260">
        <v>2020</v>
      </c>
      <c r="D1260">
        <v>8001</v>
      </c>
      <c r="E1260">
        <v>1</v>
      </c>
      <c r="F1260" t="s">
        <v>5687</v>
      </c>
      <c r="G1260">
        <v>22693600</v>
      </c>
      <c r="J1260">
        <v>363.07</v>
      </c>
      <c r="L1260">
        <v>44841460</v>
      </c>
      <c r="M1260" s="1">
        <v>44147</v>
      </c>
      <c r="N1260" t="str">
        <f>"O201112BC7"</f>
        <v>O201112BC7</v>
      </c>
      <c r="O1260" t="s">
        <v>28</v>
      </c>
      <c r="Q1260" t="s">
        <v>29</v>
      </c>
      <c r="R1260" t="s">
        <v>28</v>
      </c>
      <c r="S1260" t="s">
        <v>5688</v>
      </c>
      <c r="T1260" t="s">
        <v>5689</v>
      </c>
      <c r="W1260" t="s">
        <v>40</v>
      </c>
      <c r="X1260" t="s">
        <v>34</v>
      </c>
      <c r="Y1260" t="str">
        <f>"774792677"</f>
        <v>774792677</v>
      </c>
    </row>
    <row r="1261" spans="1:25" x14ac:dyDescent="0.25">
      <c r="A1261" t="s">
        <v>5690</v>
      </c>
      <c r="B1261" t="s">
        <v>5691</v>
      </c>
      <c r="C1261">
        <v>2020</v>
      </c>
      <c r="D1261">
        <v>8001</v>
      </c>
      <c r="E1261">
        <v>1</v>
      </c>
      <c r="F1261" t="s">
        <v>5692</v>
      </c>
      <c r="G1261">
        <v>0</v>
      </c>
      <c r="J1261">
        <v>660.25</v>
      </c>
      <c r="L1261">
        <v>45236791</v>
      </c>
      <c r="M1261" s="1">
        <v>44176</v>
      </c>
      <c r="N1261" t="str">
        <f>"L201211"</f>
        <v>L201211</v>
      </c>
      <c r="O1261" t="s">
        <v>28</v>
      </c>
      <c r="Q1261" t="s">
        <v>29</v>
      </c>
      <c r="R1261" t="s">
        <v>28</v>
      </c>
      <c r="S1261" t="s">
        <v>5692</v>
      </c>
      <c r="T1261" t="s">
        <v>5693</v>
      </c>
      <c r="U1261" t="s">
        <v>60</v>
      </c>
      <c r="V1261" t="s">
        <v>60</v>
      </c>
      <c r="W1261" t="s">
        <v>219</v>
      </c>
      <c r="X1261" t="s">
        <v>34</v>
      </c>
      <c r="Y1261" t="str">
        <f>"774794329   "</f>
        <v xml:space="preserve">774794329   </v>
      </c>
    </row>
    <row r="1262" spans="1:25" x14ac:dyDescent="0.25">
      <c r="A1262" t="s">
        <v>5694</v>
      </c>
      <c r="B1262" t="s">
        <v>5695</v>
      </c>
      <c r="C1262">
        <v>2020</v>
      </c>
      <c r="D1262">
        <v>8001</v>
      </c>
      <c r="E1262">
        <v>1</v>
      </c>
      <c r="F1262" t="s">
        <v>5696</v>
      </c>
      <c r="G1262">
        <v>26770692</v>
      </c>
      <c r="J1262">
        <v>30</v>
      </c>
      <c r="L1262">
        <v>45573188</v>
      </c>
      <c r="M1262" s="1">
        <v>44195</v>
      </c>
      <c r="N1262" t="str">
        <f>"RC210115"</f>
        <v>RC210115</v>
      </c>
      <c r="O1262" t="s">
        <v>28</v>
      </c>
      <c r="Q1262" t="s">
        <v>29</v>
      </c>
      <c r="R1262" t="s">
        <v>28</v>
      </c>
      <c r="S1262" t="s">
        <v>5697</v>
      </c>
      <c r="T1262" t="s">
        <v>5698</v>
      </c>
      <c r="W1262" t="s">
        <v>5699</v>
      </c>
      <c r="X1262" t="s">
        <v>34</v>
      </c>
      <c r="Y1262" t="str">
        <f>"77479"</f>
        <v>77479</v>
      </c>
    </row>
    <row r="1263" spans="1:25" x14ac:dyDescent="0.25">
      <c r="A1263" t="s">
        <v>5700</v>
      </c>
      <c r="B1263" t="s">
        <v>5701</v>
      </c>
      <c r="C1263">
        <v>2021</v>
      </c>
      <c r="D1263">
        <v>8001</v>
      </c>
      <c r="E1263">
        <v>3</v>
      </c>
      <c r="F1263" t="s">
        <v>5702</v>
      </c>
      <c r="G1263">
        <v>29584128</v>
      </c>
      <c r="J1263">
        <v>61.19</v>
      </c>
      <c r="L1263">
        <v>50089301</v>
      </c>
      <c r="M1263" s="1">
        <v>44600</v>
      </c>
      <c r="N1263" t="str">
        <f>"RC220315"</f>
        <v>RC220315</v>
      </c>
      <c r="O1263" t="s">
        <v>28</v>
      </c>
      <c r="Q1263" t="s">
        <v>29</v>
      </c>
      <c r="R1263" t="s">
        <v>28</v>
      </c>
      <c r="S1263" t="s">
        <v>5703</v>
      </c>
      <c r="T1263" t="s">
        <v>5704</v>
      </c>
      <c r="U1263" t="s">
        <v>5705</v>
      </c>
      <c r="W1263" t="s">
        <v>112</v>
      </c>
      <c r="X1263" t="s">
        <v>34</v>
      </c>
      <c r="Y1263" t="str">
        <f>"774793341"</f>
        <v>774793341</v>
      </c>
    </row>
    <row r="1264" spans="1:25" x14ac:dyDescent="0.25">
      <c r="A1264" t="s">
        <v>5706</v>
      </c>
      <c r="B1264" t="s">
        <v>5707</v>
      </c>
      <c r="C1264">
        <v>2020</v>
      </c>
      <c r="D1264">
        <v>8001</v>
      </c>
      <c r="E1264">
        <v>1</v>
      </c>
      <c r="F1264" t="s">
        <v>5708</v>
      </c>
      <c r="G1264">
        <v>28787858</v>
      </c>
      <c r="J1264">
        <v>28</v>
      </c>
      <c r="L1264">
        <v>45223530</v>
      </c>
      <c r="M1264" s="1">
        <v>44176</v>
      </c>
      <c r="N1264" t="str">
        <f>"RC201217"</f>
        <v>RC201217</v>
      </c>
      <c r="O1264" t="s">
        <v>28</v>
      </c>
      <c r="Q1264" t="s">
        <v>29</v>
      </c>
      <c r="R1264" t="s">
        <v>28</v>
      </c>
      <c r="S1264" t="s">
        <v>1772</v>
      </c>
      <c r="T1264" t="s">
        <v>4396</v>
      </c>
      <c r="U1264" t="s">
        <v>5709</v>
      </c>
      <c r="V1264" t="s">
        <v>5710</v>
      </c>
      <c r="W1264" t="s">
        <v>40</v>
      </c>
      <c r="X1264" t="s">
        <v>34</v>
      </c>
      <c r="Y1264" t="str">
        <f>"77479"</f>
        <v>77479</v>
      </c>
    </row>
    <row r="1265" spans="1:25" x14ac:dyDescent="0.25">
      <c r="A1265" t="s">
        <v>5711</v>
      </c>
      <c r="B1265" t="s">
        <v>5712</v>
      </c>
      <c r="C1265">
        <v>2020</v>
      </c>
      <c r="D1265">
        <v>8001</v>
      </c>
      <c r="E1265">
        <v>1</v>
      </c>
      <c r="F1265" t="s">
        <v>5713</v>
      </c>
      <c r="G1265">
        <v>0</v>
      </c>
      <c r="J1265">
        <v>117.14</v>
      </c>
      <c r="L1265">
        <v>45591060</v>
      </c>
      <c r="M1265" s="1">
        <v>44196</v>
      </c>
      <c r="N1265" t="str">
        <f>"EL201231"</f>
        <v>EL201231</v>
      </c>
      <c r="O1265" t="s">
        <v>28</v>
      </c>
      <c r="Q1265" t="s">
        <v>29</v>
      </c>
      <c r="R1265" t="s">
        <v>28</v>
      </c>
      <c r="S1265" t="s">
        <v>5713</v>
      </c>
      <c r="T1265" t="s">
        <v>5714</v>
      </c>
      <c r="U1265" t="s">
        <v>60</v>
      </c>
      <c r="V1265" t="s">
        <v>60</v>
      </c>
      <c r="W1265" t="s">
        <v>219</v>
      </c>
      <c r="X1265" t="s">
        <v>34</v>
      </c>
      <c r="Y1265" t="str">
        <f>"774794411   "</f>
        <v xml:space="preserve">774794411   </v>
      </c>
    </row>
    <row r="1266" spans="1:25" x14ac:dyDescent="0.25">
      <c r="A1266" t="s">
        <v>5715</v>
      </c>
      <c r="B1266" t="s">
        <v>5716</v>
      </c>
      <c r="C1266">
        <v>2020</v>
      </c>
      <c r="D1266">
        <v>8001</v>
      </c>
      <c r="E1266">
        <v>1</v>
      </c>
      <c r="F1266" t="s">
        <v>5717</v>
      </c>
      <c r="G1266">
        <v>29837176</v>
      </c>
      <c r="J1266">
        <v>29.08</v>
      </c>
      <c r="L1266">
        <v>47456623</v>
      </c>
      <c r="M1266" s="1">
        <v>44344</v>
      </c>
      <c r="N1266" t="str">
        <f>"O210528V1"</f>
        <v>O210528V1</v>
      </c>
      <c r="O1266" t="s">
        <v>28</v>
      </c>
      <c r="Q1266" t="s">
        <v>29</v>
      </c>
      <c r="R1266" t="s">
        <v>28</v>
      </c>
      <c r="S1266" t="s">
        <v>5718</v>
      </c>
      <c r="T1266" t="s">
        <v>5719</v>
      </c>
      <c r="U1266" t="s">
        <v>5720</v>
      </c>
      <c r="W1266" t="s">
        <v>154</v>
      </c>
      <c r="X1266" t="s">
        <v>34</v>
      </c>
      <c r="Y1266" t="str">
        <f>"774713151"</f>
        <v>774713151</v>
      </c>
    </row>
    <row r="1267" spans="1:25" x14ac:dyDescent="0.25">
      <c r="A1267" t="s">
        <v>5721</v>
      </c>
      <c r="B1267" t="s">
        <v>5722</v>
      </c>
      <c r="C1267">
        <v>2019</v>
      </c>
      <c r="D1267">
        <v>8001</v>
      </c>
      <c r="E1267">
        <v>3</v>
      </c>
      <c r="F1267" t="s">
        <v>5723</v>
      </c>
      <c r="G1267">
        <v>28220942</v>
      </c>
      <c r="J1267">
        <v>122.48</v>
      </c>
      <c r="L1267">
        <v>44496634</v>
      </c>
      <c r="M1267" s="1">
        <v>44061</v>
      </c>
      <c r="N1267" t="str">
        <f>"J200818K1"</f>
        <v>J200818K1</v>
      </c>
      <c r="O1267" t="s">
        <v>28</v>
      </c>
      <c r="Q1267" t="s">
        <v>29</v>
      </c>
      <c r="R1267" t="s">
        <v>28</v>
      </c>
      <c r="S1267" t="s">
        <v>2579</v>
      </c>
      <c r="T1267" t="s">
        <v>2052</v>
      </c>
      <c r="W1267" t="s">
        <v>1328</v>
      </c>
      <c r="X1267" t="s">
        <v>162</v>
      </c>
      <c r="Y1267" t="str">
        <f>"080545452"</f>
        <v>080545452</v>
      </c>
    </row>
    <row r="1268" spans="1:25" x14ac:dyDescent="0.25">
      <c r="A1268" t="s">
        <v>5724</v>
      </c>
      <c r="B1268" t="s">
        <v>5725</v>
      </c>
      <c r="C1268">
        <v>2020</v>
      </c>
      <c r="D1268">
        <v>8001</v>
      </c>
      <c r="E1268">
        <v>1</v>
      </c>
      <c r="F1268" t="s">
        <v>5726</v>
      </c>
      <c r="G1268">
        <v>25594835</v>
      </c>
      <c r="J1268" s="2">
        <v>2538.4899999999998</v>
      </c>
      <c r="L1268">
        <v>46452935</v>
      </c>
      <c r="M1268" s="1">
        <v>44224</v>
      </c>
      <c r="N1268" t="str">
        <f>"RC210225"</f>
        <v>RC210225</v>
      </c>
      <c r="O1268" t="s">
        <v>28</v>
      </c>
      <c r="Q1268" t="s">
        <v>29</v>
      </c>
      <c r="R1268" t="s">
        <v>28</v>
      </c>
      <c r="S1268" t="s">
        <v>1068</v>
      </c>
      <c r="T1268" t="s">
        <v>5347</v>
      </c>
      <c r="V1268" t="s">
        <v>1015</v>
      </c>
      <c r="W1268" t="s">
        <v>563</v>
      </c>
      <c r="X1268" t="s">
        <v>34</v>
      </c>
      <c r="Y1268" t="str">
        <f>"750630156"</f>
        <v>750630156</v>
      </c>
    </row>
    <row r="1269" spans="1:25" x14ac:dyDescent="0.25">
      <c r="A1269" t="s">
        <v>5727</v>
      </c>
      <c r="B1269" t="s">
        <v>5728</v>
      </c>
      <c r="C1269">
        <v>2019</v>
      </c>
      <c r="D1269">
        <v>8001</v>
      </c>
      <c r="E1269">
        <v>1</v>
      </c>
      <c r="F1269" t="s">
        <v>5729</v>
      </c>
      <c r="G1269">
        <v>0</v>
      </c>
      <c r="J1269">
        <v>232.05</v>
      </c>
      <c r="L1269">
        <v>42916271</v>
      </c>
      <c r="M1269" s="1">
        <v>43845</v>
      </c>
      <c r="N1269" t="str">
        <f>"L200115"</f>
        <v>L200115</v>
      </c>
      <c r="O1269" t="s">
        <v>28</v>
      </c>
      <c r="Q1269" t="s">
        <v>29</v>
      </c>
      <c r="R1269" t="s">
        <v>28</v>
      </c>
      <c r="S1269" t="s">
        <v>5729</v>
      </c>
      <c r="T1269" t="s">
        <v>5730</v>
      </c>
      <c r="U1269" t="s">
        <v>60</v>
      </c>
      <c r="V1269" t="s">
        <v>60</v>
      </c>
      <c r="W1269" t="s">
        <v>649</v>
      </c>
      <c r="X1269" t="s">
        <v>34</v>
      </c>
      <c r="Y1269" t="str">
        <f>"774713499   "</f>
        <v xml:space="preserve">774713499   </v>
      </c>
    </row>
    <row r="1270" spans="1:25" x14ac:dyDescent="0.25">
      <c r="A1270" t="s">
        <v>5731</v>
      </c>
      <c r="B1270" t="s">
        <v>5732</v>
      </c>
      <c r="C1270">
        <v>2019</v>
      </c>
      <c r="D1270">
        <v>8001</v>
      </c>
      <c r="E1270">
        <v>1</v>
      </c>
      <c r="F1270" t="s">
        <v>5733</v>
      </c>
      <c r="G1270">
        <v>28310271</v>
      </c>
      <c r="J1270">
        <v>11.57</v>
      </c>
      <c r="L1270">
        <v>43887092</v>
      </c>
      <c r="M1270" s="1">
        <v>43895</v>
      </c>
      <c r="N1270" t="str">
        <f>"CC200305"</f>
        <v>CC200305</v>
      </c>
      <c r="O1270" t="s">
        <v>28</v>
      </c>
      <c r="Q1270" t="s">
        <v>29</v>
      </c>
      <c r="R1270" t="s">
        <v>28</v>
      </c>
      <c r="S1270" t="s">
        <v>5734</v>
      </c>
      <c r="T1270" t="s">
        <v>5735</v>
      </c>
      <c r="W1270" t="s">
        <v>154</v>
      </c>
      <c r="X1270" t="s">
        <v>34</v>
      </c>
      <c r="Y1270" t="str">
        <f>"77471"</f>
        <v>77471</v>
      </c>
    </row>
    <row r="1271" spans="1:25" x14ac:dyDescent="0.25">
      <c r="A1271" t="s">
        <v>5736</v>
      </c>
      <c r="B1271" t="s">
        <v>5737</v>
      </c>
      <c r="C1271">
        <v>2021</v>
      </c>
      <c r="D1271">
        <v>8001</v>
      </c>
      <c r="E1271">
        <v>1</v>
      </c>
      <c r="F1271" t="s">
        <v>5738</v>
      </c>
      <c r="G1271">
        <v>28972856</v>
      </c>
      <c r="J1271">
        <v>782.6</v>
      </c>
      <c r="L1271">
        <v>48270906</v>
      </c>
      <c r="M1271" s="1">
        <v>44531</v>
      </c>
      <c r="N1271" t="str">
        <f>"RC211222"</f>
        <v>RC211222</v>
      </c>
      <c r="O1271" t="s">
        <v>28</v>
      </c>
      <c r="Q1271" t="s">
        <v>29</v>
      </c>
      <c r="R1271" t="s">
        <v>28</v>
      </c>
      <c r="S1271" t="s">
        <v>5739</v>
      </c>
      <c r="T1271" t="s">
        <v>5740</v>
      </c>
      <c r="U1271" t="s">
        <v>5741</v>
      </c>
      <c r="W1271" t="s">
        <v>332</v>
      </c>
      <c r="X1271" t="s">
        <v>34</v>
      </c>
      <c r="Y1271" t="str">
        <f>"752547565"</f>
        <v>752547565</v>
      </c>
    </row>
    <row r="1272" spans="1:25" x14ac:dyDescent="0.25">
      <c r="A1272" t="s">
        <v>5742</v>
      </c>
      <c r="B1272" t="s">
        <v>5743</v>
      </c>
      <c r="C1272">
        <v>2019</v>
      </c>
      <c r="D1272">
        <v>8001</v>
      </c>
      <c r="E1272">
        <v>1</v>
      </c>
      <c r="F1272" t="s">
        <v>5744</v>
      </c>
      <c r="G1272">
        <v>28310269</v>
      </c>
      <c r="J1272">
        <v>7.92</v>
      </c>
      <c r="L1272">
        <v>43887090</v>
      </c>
      <c r="M1272" s="1">
        <v>43895</v>
      </c>
      <c r="N1272" t="str">
        <f>"CC200305"</f>
        <v>CC200305</v>
      </c>
      <c r="O1272" t="s">
        <v>28</v>
      </c>
      <c r="Q1272" t="s">
        <v>29</v>
      </c>
      <c r="R1272" t="s">
        <v>28</v>
      </c>
      <c r="S1272" t="s">
        <v>5745</v>
      </c>
      <c r="T1272" t="s">
        <v>5746</v>
      </c>
      <c r="W1272" t="s">
        <v>81</v>
      </c>
      <c r="X1272" t="s">
        <v>34</v>
      </c>
      <c r="Y1272" t="str">
        <f>"77469"</f>
        <v>77469</v>
      </c>
    </row>
    <row r="1273" spans="1:25" x14ac:dyDescent="0.25">
      <c r="A1273" t="s">
        <v>5747</v>
      </c>
      <c r="B1273" t="s">
        <v>5748</v>
      </c>
      <c r="C1273">
        <v>2020</v>
      </c>
      <c r="D1273">
        <v>8001</v>
      </c>
      <c r="E1273">
        <v>1</v>
      </c>
      <c r="F1273" t="s">
        <v>5749</v>
      </c>
      <c r="G1273">
        <v>0</v>
      </c>
      <c r="J1273">
        <v>177.33</v>
      </c>
      <c r="L1273">
        <v>46861472</v>
      </c>
      <c r="M1273" s="1">
        <v>44235</v>
      </c>
      <c r="N1273" t="str">
        <f>"L210208"</f>
        <v>L210208</v>
      </c>
      <c r="O1273" t="s">
        <v>28</v>
      </c>
      <c r="Q1273" t="s">
        <v>29</v>
      </c>
      <c r="R1273" t="s">
        <v>28</v>
      </c>
      <c r="S1273" t="s">
        <v>5749</v>
      </c>
      <c r="T1273" t="s">
        <v>5750</v>
      </c>
      <c r="U1273" t="s">
        <v>60</v>
      </c>
      <c r="V1273" t="s">
        <v>60</v>
      </c>
      <c r="W1273" t="s">
        <v>214</v>
      </c>
      <c r="X1273" t="s">
        <v>34</v>
      </c>
      <c r="Y1273" t="str">
        <f>"774062345   "</f>
        <v xml:space="preserve">774062345   </v>
      </c>
    </row>
    <row r="1274" spans="1:25" x14ac:dyDescent="0.25">
      <c r="A1274" t="s">
        <v>5751</v>
      </c>
      <c r="B1274" t="s">
        <v>5752</v>
      </c>
      <c r="C1274">
        <v>2019</v>
      </c>
      <c r="D1274">
        <v>8001</v>
      </c>
      <c r="E1274">
        <v>2</v>
      </c>
      <c r="F1274" t="s">
        <v>661</v>
      </c>
      <c r="G1274">
        <v>28608183</v>
      </c>
      <c r="J1274">
        <v>25.36</v>
      </c>
      <c r="L1274">
        <v>44461438</v>
      </c>
      <c r="M1274" s="1">
        <v>44062</v>
      </c>
      <c r="N1274" t="str">
        <f>"T200819F1"</f>
        <v>T200819F1</v>
      </c>
      <c r="O1274" t="s">
        <v>28</v>
      </c>
      <c r="Q1274" t="s">
        <v>29</v>
      </c>
      <c r="R1274" t="s">
        <v>28</v>
      </c>
      <c r="S1274" t="s">
        <v>5753</v>
      </c>
      <c r="T1274" t="s">
        <v>5754</v>
      </c>
      <c r="U1274" t="s">
        <v>5755</v>
      </c>
      <c r="W1274" t="s">
        <v>4643</v>
      </c>
      <c r="X1274" t="s">
        <v>34</v>
      </c>
      <c r="Y1274" t="str">
        <f>"77573"</f>
        <v>77573</v>
      </c>
    </row>
    <row r="1275" spans="1:25" x14ac:dyDescent="0.25">
      <c r="A1275" t="s">
        <v>5756</v>
      </c>
      <c r="B1275" t="s">
        <v>5757</v>
      </c>
      <c r="C1275">
        <v>2019</v>
      </c>
      <c r="D1275">
        <v>8001</v>
      </c>
      <c r="E1275">
        <v>2</v>
      </c>
      <c r="F1275" t="s">
        <v>661</v>
      </c>
      <c r="G1275">
        <v>28608183</v>
      </c>
      <c r="J1275">
        <v>18.260000000000002</v>
      </c>
      <c r="L1275">
        <v>44460968</v>
      </c>
      <c r="M1275" s="1">
        <v>44062</v>
      </c>
      <c r="N1275" t="str">
        <f>"T200819F1"</f>
        <v>T200819F1</v>
      </c>
      <c r="O1275" t="s">
        <v>28</v>
      </c>
      <c r="Q1275" t="s">
        <v>29</v>
      </c>
      <c r="R1275" t="s">
        <v>28</v>
      </c>
      <c r="S1275" t="s">
        <v>5753</v>
      </c>
      <c r="T1275" t="s">
        <v>5754</v>
      </c>
      <c r="U1275" t="s">
        <v>5755</v>
      </c>
      <c r="W1275" t="s">
        <v>4643</v>
      </c>
      <c r="X1275" t="s">
        <v>34</v>
      </c>
      <c r="Y1275" t="str">
        <f>"77573"</f>
        <v>77573</v>
      </c>
    </row>
    <row r="1276" spans="1:25" x14ac:dyDescent="0.25">
      <c r="A1276" t="s">
        <v>5758</v>
      </c>
      <c r="B1276" t="s">
        <v>5759</v>
      </c>
      <c r="C1276">
        <v>2020</v>
      </c>
      <c r="D1276">
        <v>8001</v>
      </c>
      <c r="E1276">
        <v>2</v>
      </c>
      <c r="F1276" t="s">
        <v>5760</v>
      </c>
      <c r="G1276">
        <v>0</v>
      </c>
      <c r="J1276">
        <v>20</v>
      </c>
      <c r="L1276">
        <v>46474734</v>
      </c>
      <c r="M1276" s="1">
        <v>44225</v>
      </c>
      <c r="N1276" t="str">
        <f>"O210129BL1"</f>
        <v>O210129BL1</v>
      </c>
      <c r="O1276" t="s">
        <v>28</v>
      </c>
      <c r="Q1276" t="s">
        <v>29</v>
      </c>
      <c r="R1276" t="s">
        <v>28</v>
      </c>
      <c r="S1276" t="s">
        <v>5760</v>
      </c>
      <c r="T1276" t="s">
        <v>5761</v>
      </c>
      <c r="U1276" t="s">
        <v>60</v>
      </c>
      <c r="V1276" t="s">
        <v>60</v>
      </c>
      <c r="W1276" t="s">
        <v>649</v>
      </c>
      <c r="X1276" t="s">
        <v>34</v>
      </c>
      <c r="Y1276" t="str">
        <f>"774718750   "</f>
        <v xml:space="preserve">774718750   </v>
      </c>
    </row>
    <row r="1277" spans="1:25" x14ac:dyDescent="0.25">
      <c r="A1277" t="s">
        <v>5762</v>
      </c>
      <c r="B1277" t="s">
        <v>5763</v>
      </c>
      <c r="C1277">
        <v>2019</v>
      </c>
      <c r="D1277">
        <v>8001</v>
      </c>
      <c r="E1277">
        <v>1</v>
      </c>
      <c r="F1277" t="s">
        <v>5764</v>
      </c>
      <c r="G1277">
        <v>27383046</v>
      </c>
      <c r="J1277">
        <v>15.44</v>
      </c>
      <c r="L1277">
        <v>41175979</v>
      </c>
      <c r="M1277" s="1">
        <v>43766</v>
      </c>
      <c r="N1277" t="str">
        <f>"T191028F1"</f>
        <v>T191028F1</v>
      </c>
      <c r="O1277" t="s">
        <v>28</v>
      </c>
      <c r="Q1277" t="s">
        <v>29</v>
      </c>
      <c r="R1277" t="s">
        <v>28</v>
      </c>
      <c r="S1277" t="s">
        <v>5765</v>
      </c>
      <c r="T1277" t="s">
        <v>5766</v>
      </c>
      <c r="W1277" t="s">
        <v>154</v>
      </c>
      <c r="X1277" t="s">
        <v>34</v>
      </c>
      <c r="Y1277" t="str">
        <f>"77471"</f>
        <v>77471</v>
      </c>
    </row>
    <row r="1278" spans="1:25" x14ac:dyDescent="0.25">
      <c r="A1278" t="s">
        <v>5767</v>
      </c>
      <c r="B1278" t="s">
        <v>5768</v>
      </c>
      <c r="C1278">
        <v>2020</v>
      </c>
      <c r="D1278">
        <v>8001</v>
      </c>
      <c r="E1278">
        <v>1</v>
      </c>
      <c r="F1278" t="s">
        <v>5769</v>
      </c>
      <c r="G1278">
        <v>29604529</v>
      </c>
      <c r="J1278">
        <v>34.9</v>
      </c>
      <c r="L1278">
        <v>47034711</v>
      </c>
      <c r="M1278" s="1">
        <v>44259</v>
      </c>
      <c r="N1278" t="str">
        <f>"CC210304"</f>
        <v>CC210304</v>
      </c>
      <c r="O1278" t="s">
        <v>28</v>
      </c>
      <c r="Q1278" t="s">
        <v>29</v>
      </c>
      <c r="R1278" t="s">
        <v>28</v>
      </c>
      <c r="S1278" t="s">
        <v>5770</v>
      </c>
      <c r="T1278" t="s">
        <v>5771</v>
      </c>
      <c r="W1278" t="s">
        <v>154</v>
      </c>
      <c r="X1278" t="s">
        <v>34</v>
      </c>
      <c r="Y1278" t="str">
        <f>"77471"</f>
        <v>77471</v>
      </c>
    </row>
    <row r="1279" spans="1:25" x14ac:dyDescent="0.25">
      <c r="A1279" t="s">
        <v>5772</v>
      </c>
      <c r="B1279" t="s">
        <v>5773</v>
      </c>
      <c r="C1279">
        <v>2020</v>
      </c>
      <c r="D1279">
        <v>8001</v>
      </c>
      <c r="E1279">
        <v>1</v>
      </c>
      <c r="F1279" t="s">
        <v>5774</v>
      </c>
      <c r="G1279">
        <v>28792950</v>
      </c>
      <c r="J1279">
        <v>297.58</v>
      </c>
      <c r="L1279">
        <v>44922006</v>
      </c>
      <c r="M1279" s="1">
        <v>44153</v>
      </c>
      <c r="N1279" t="str">
        <f>"O201118BA7"</f>
        <v>O201118BA7</v>
      </c>
      <c r="O1279" t="s">
        <v>28</v>
      </c>
      <c r="Q1279" t="s">
        <v>29</v>
      </c>
      <c r="R1279" t="s">
        <v>28</v>
      </c>
      <c r="S1279" t="s">
        <v>5775</v>
      </c>
      <c r="T1279" t="s">
        <v>5776</v>
      </c>
      <c r="W1279" t="s">
        <v>332</v>
      </c>
      <c r="X1279" t="s">
        <v>34</v>
      </c>
      <c r="Y1279" t="str">
        <f>"752542936"</f>
        <v>752542936</v>
      </c>
    </row>
    <row r="1280" spans="1:25" x14ac:dyDescent="0.25">
      <c r="A1280" t="s">
        <v>5777</v>
      </c>
      <c r="B1280" t="s">
        <v>5778</v>
      </c>
      <c r="C1280">
        <v>2020</v>
      </c>
      <c r="D1280">
        <v>8001</v>
      </c>
      <c r="E1280">
        <v>1</v>
      </c>
      <c r="F1280" t="s">
        <v>5779</v>
      </c>
      <c r="G1280">
        <v>29489558</v>
      </c>
      <c r="J1280">
        <v>442.87</v>
      </c>
      <c r="L1280">
        <v>46782257</v>
      </c>
      <c r="M1280" s="1">
        <v>44231</v>
      </c>
      <c r="N1280" t="str">
        <f>"CC210204"</f>
        <v>CC210204</v>
      </c>
      <c r="O1280" t="s">
        <v>28</v>
      </c>
      <c r="Q1280" t="s">
        <v>29</v>
      </c>
      <c r="R1280" t="s">
        <v>28</v>
      </c>
      <c r="S1280" t="s">
        <v>5780</v>
      </c>
      <c r="T1280" t="s">
        <v>5781</v>
      </c>
      <c r="W1280" t="s">
        <v>40</v>
      </c>
      <c r="X1280" t="s">
        <v>34</v>
      </c>
      <c r="Y1280" t="str">
        <f>"77479"</f>
        <v>77479</v>
      </c>
    </row>
    <row r="1281" spans="1:25" x14ac:dyDescent="0.25">
      <c r="A1281" t="s">
        <v>5782</v>
      </c>
      <c r="B1281" t="s">
        <v>5783</v>
      </c>
      <c r="C1281">
        <v>2019</v>
      </c>
      <c r="D1281">
        <v>8001</v>
      </c>
      <c r="E1281">
        <v>1</v>
      </c>
      <c r="F1281" t="s">
        <v>5784</v>
      </c>
      <c r="G1281">
        <v>22993312</v>
      </c>
      <c r="J1281">
        <v>8.06</v>
      </c>
      <c r="L1281">
        <v>44288762</v>
      </c>
      <c r="M1281" s="1">
        <v>43990</v>
      </c>
      <c r="N1281" t="str">
        <f>"J200608K5"</f>
        <v>J200608K5</v>
      </c>
      <c r="O1281" t="s">
        <v>28</v>
      </c>
      <c r="Q1281" t="s">
        <v>29</v>
      </c>
      <c r="R1281" t="s">
        <v>28</v>
      </c>
      <c r="S1281" t="s">
        <v>1794</v>
      </c>
      <c r="T1281" t="s">
        <v>1795</v>
      </c>
      <c r="W1281" t="s">
        <v>1615</v>
      </c>
      <c r="X1281" t="s">
        <v>143</v>
      </c>
      <c r="Y1281" t="str">
        <f>"191156320"</f>
        <v>191156320</v>
      </c>
    </row>
    <row r="1282" spans="1:25" x14ac:dyDescent="0.25">
      <c r="A1282" t="s">
        <v>5785</v>
      </c>
      <c r="B1282" t="s">
        <v>5786</v>
      </c>
      <c r="C1282">
        <v>2020</v>
      </c>
      <c r="D1282">
        <v>8001</v>
      </c>
      <c r="E1282">
        <v>1</v>
      </c>
      <c r="F1282" t="s">
        <v>5787</v>
      </c>
      <c r="G1282">
        <v>0</v>
      </c>
      <c r="J1282">
        <v>105.25</v>
      </c>
      <c r="L1282">
        <v>47055336</v>
      </c>
      <c r="M1282" s="1">
        <v>44263</v>
      </c>
      <c r="N1282" t="str">
        <f>"L210308"</f>
        <v>L210308</v>
      </c>
      <c r="O1282" t="s">
        <v>28</v>
      </c>
      <c r="Q1282" t="s">
        <v>29</v>
      </c>
      <c r="R1282" t="s">
        <v>28</v>
      </c>
      <c r="S1282" t="s">
        <v>5787</v>
      </c>
      <c r="T1282" t="s">
        <v>5788</v>
      </c>
      <c r="U1282" t="s">
        <v>60</v>
      </c>
      <c r="V1282" t="s">
        <v>60</v>
      </c>
      <c r="W1282" t="s">
        <v>1333</v>
      </c>
      <c r="X1282" t="s">
        <v>34</v>
      </c>
      <c r="Y1282" t="str">
        <f>"774594910   "</f>
        <v xml:space="preserve">774594910   </v>
      </c>
    </row>
    <row r="1283" spans="1:25" x14ac:dyDescent="0.25">
      <c r="A1283" t="s">
        <v>5789</v>
      </c>
      <c r="B1283" t="s">
        <v>5790</v>
      </c>
      <c r="C1283">
        <v>2019</v>
      </c>
      <c r="D1283">
        <v>8001</v>
      </c>
      <c r="E1283">
        <v>2</v>
      </c>
      <c r="F1283" t="s">
        <v>5791</v>
      </c>
      <c r="G1283">
        <v>0</v>
      </c>
      <c r="J1283">
        <v>30</v>
      </c>
      <c r="L1283">
        <v>43566577</v>
      </c>
      <c r="M1283" s="1">
        <v>43865</v>
      </c>
      <c r="N1283" t="str">
        <f>"L200204"</f>
        <v>L200204</v>
      </c>
      <c r="O1283" t="s">
        <v>28</v>
      </c>
      <c r="Q1283" t="s">
        <v>29</v>
      </c>
      <c r="R1283" t="s">
        <v>28</v>
      </c>
      <c r="S1283" t="s">
        <v>5791</v>
      </c>
      <c r="T1283" t="s">
        <v>5792</v>
      </c>
      <c r="U1283" t="s">
        <v>60</v>
      </c>
      <c r="V1283" t="s">
        <v>60</v>
      </c>
      <c r="W1283" t="s">
        <v>649</v>
      </c>
      <c r="X1283" t="s">
        <v>34</v>
      </c>
      <c r="Y1283" t="str">
        <f>"774715818   "</f>
        <v xml:space="preserve">774715818   </v>
      </c>
    </row>
    <row r="1284" spans="1:25" x14ac:dyDescent="0.25">
      <c r="A1284" t="s">
        <v>5789</v>
      </c>
      <c r="B1284" t="s">
        <v>5790</v>
      </c>
      <c r="C1284">
        <v>2020</v>
      </c>
      <c r="D1284">
        <v>8001</v>
      </c>
      <c r="E1284">
        <v>1</v>
      </c>
      <c r="F1284" t="s">
        <v>5791</v>
      </c>
      <c r="G1284">
        <v>0</v>
      </c>
      <c r="J1284">
        <v>22.85</v>
      </c>
      <c r="L1284">
        <v>46961318</v>
      </c>
      <c r="M1284" s="1">
        <v>44251</v>
      </c>
      <c r="N1284" t="str">
        <f>"L210224"</f>
        <v>L210224</v>
      </c>
      <c r="O1284" t="s">
        <v>28</v>
      </c>
      <c r="Q1284" t="s">
        <v>29</v>
      </c>
      <c r="R1284" t="s">
        <v>28</v>
      </c>
      <c r="S1284" t="s">
        <v>5791</v>
      </c>
      <c r="T1284" t="s">
        <v>5792</v>
      </c>
      <c r="U1284" t="s">
        <v>60</v>
      </c>
      <c r="V1284" t="s">
        <v>60</v>
      </c>
      <c r="W1284" t="s">
        <v>649</v>
      </c>
      <c r="X1284" t="s">
        <v>34</v>
      </c>
      <c r="Y1284" t="str">
        <f>"774715818   "</f>
        <v xml:space="preserve">774715818   </v>
      </c>
    </row>
    <row r="1285" spans="1:25" x14ac:dyDescent="0.25">
      <c r="A1285" t="s">
        <v>5793</v>
      </c>
      <c r="B1285" t="s">
        <v>5794</v>
      </c>
      <c r="C1285">
        <v>2020</v>
      </c>
      <c r="D1285">
        <v>8001</v>
      </c>
      <c r="E1285">
        <v>1</v>
      </c>
      <c r="F1285" t="s">
        <v>5795</v>
      </c>
      <c r="G1285">
        <v>29604560</v>
      </c>
      <c r="J1285">
        <v>70.959999999999994</v>
      </c>
      <c r="L1285">
        <v>47034742</v>
      </c>
      <c r="M1285" s="1">
        <v>44259</v>
      </c>
      <c r="N1285" t="str">
        <f>"CC210304"</f>
        <v>CC210304</v>
      </c>
      <c r="O1285" t="s">
        <v>28</v>
      </c>
      <c r="Q1285" t="s">
        <v>29</v>
      </c>
      <c r="R1285" t="s">
        <v>28</v>
      </c>
      <c r="S1285" t="s">
        <v>5796</v>
      </c>
      <c r="T1285" t="s">
        <v>5797</v>
      </c>
      <c r="W1285" t="s">
        <v>81</v>
      </c>
      <c r="X1285" t="s">
        <v>34</v>
      </c>
      <c r="Y1285" t="str">
        <f>"77469"</f>
        <v>77469</v>
      </c>
    </row>
    <row r="1286" spans="1:25" x14ac:dyDescent="0.25">
      <c r="A1286" t="s">
        <v>5798</v>
      </c>
      <c r="B1286" t="s">
        <v>5799</v>
      </c>
      <c r="C1286">
        <v>2020</v>
      </c>
      <c r="D1286">
        <v>8001</v>
      </c>
      <c r="E1286">
        <v>1</v>
      </c>
      <c r="F1286" t="s">
        <v>4983</v>
      </c>
      <c r="G1286">
        <v>30214290</v>
      </c>
      <c r="J1286">
        <v>19.329999999999998</v>
      </c>
      <c r="L1286">
        <v>47936010</v>
      </c>
      <c r="M1286" s="1">
        <v>44502</v>
      </c>
      <c r="N1286" t="str">
        <f>"RC211208"</f>
        <v>RC211208</v>
      </c>
      <c r="O1286" t="s">
        <v>28</v>
      </c>
      <c r="Q1286" t="s">
        <v>29</v>
      </c>
      <c r="R1286" t="s">
        <v>28</v>
      </c>
      <c r="S1286" t="s">
        <v>5800</v>
      </c>
      <c r="T1286" t="s">
        <v>5801</v>
      </c>
      <c r="W1286" t="s">
        <v>75</v>
      </c>
      <c r="X1286" t="s">
        <v>34</v>
      </c>
      <c r="Y1286" t="str">
        <f>"77067"</f>
        <v>77067</v>
      </c>
    </row>
    <row r="1287" spans="1:25" x14ac:dyDescent="0.25">
      <c r="A1287" t="s">
        <v>5802</v>
      </c>
      <c r="B1287" t="s">
        <v>5803</v>
      </c>
      <c r="C1287">
        <v>2021</v>
      </c>
      <c r="D1287">
        <v>8001</v>
      </c>
      <c r="E1287">
        <v>1</v>
      </c>
      <c r="F1287" t="s">
        <v>5804</v>
      </c>
      <c r="G1287">
        <v>26962220</v>
      </c>
      <c r="J1287">
        <v>193.76</v>
      </c>
      <c r="L1287">
        <v>50135487</v>
      </c>
      <c r="M1287" s="1">
        <v>44602</v>
      </c>
      <c r="N1287" t="str">
        <f>"RC220315"</f>
        <v>RC220315</v>
      </c>
      <c r="O1287" t="s">
        <v>28</v>
      </c>
      <c r="Q1287" t="s">
        <v>29</v>
      </c>
      <c r="R1287" t="s">
        <v>28</v>
      </c>
      <c r="S1287" t="s">
        <v>561</v>
      </c>
      <c r="T1287" t="s">
        <v>1015</v>
      </c>
      <c r="W1287" t="s">
        <v>563</v>
      </c>
      <c r="X1287" t="s">
        <v>34</v>
      </c>
      <c r="Y1287" t="str">
        <f>"750630156"</f>
        <v>750630156</v>
      </c>
    </row>
    <row r="1288" spans="1:25" x14ac:dyDescent="0.25">
      <c r="A1288" t="s">
        <v>5805</v>
      </c>
      <c r="B1288" t="s">
        <v>5806</v>
      </c>
      <c r="C1288">
        <v>2019</v>
      </c>
      <c r="D1288">
        <v>8001</v>
      </c>
      <c r="E1288">
        <v>2</v>
      </c>
      <c r="F1288" t="s">
        <v>5807</v>
      </c>
      <c r="G1288">
        <v>25035459</v>
      </c>
      <c r="J1288">
        <v>9.99</v>
      </c>
      <c r="L1288">
        <v>44527618</v>
      </c>
      <c r="M1288" s="1">
        <v>44077</v>
      </c>
      <c r="N1288" t="str">
        <f>"J200903AW2"</f>
        <v>J200903AW2</v>
      </c>
      <c r="O1288" t="s">
        <v>28</v>
      </c>
      <c r="Q1288" t="s">
        <v>29</v>
      </c>
      <c r="R1288" t="s">
        <v>28</v>
      </c>
      <c r="S1288" t="s">
        <v>1454</v>
      </c>
      <c r="T1288" t="s">
        <v>2653</v>
      </c>
      <c r="U1288" t="s">
        <v>2654</v>
      </c>
      <c r="W1288" t="s">
        <v>1456</v>
      </c>
      <c r="X1288" t="s">
        <v>1457</v>
      </c>
      <c r="Y1288" t="str">
        <f>"234504968"</f>
        <v>234504968</v>
      </c>
    </row>
    <row r="1289" spans="1:25" x14ac:dyDescent="0.25">
      <c r="A1289" t="s">
        <v>5808</v>
      </c>
      <c r="B1289" t="s">
        <v>5809</v>
      </c>
      <c r="C1289">
        <v>2019</v>
      </c>
      <c r="D1289">
        <v>8001</v>
      </c>
      <c r="E1289">
        <v>1</v>
      </c>
      <c r="F1289" t="s">
        <v>5810</v>
      </c>
      <c r="G1289">
        <v>203200</v>
      </c>
      <c r="J1289">
        <v>6.41</v>
      </c>
      <c r="L1289">
        <v>43907987</v>
      </c>
      <c r="M1289" s="1">
        <v>43899</v>
      </c>
      <c r="N1289" t="str">
        <f>"J200309AW2"</f>
        <v>J200309AW2</v>
      </c>
      <c r="O1289" t="s">
        <v>28</v>
      </c>
      <c r="Q1289" t="s">
        <v>29</v>
      </c>
      <c r="R1289" t="s">
        <v>28</v>
      </c>
      <c r="S1289" t="s">
        <v>1909</v>
      </c>
      <c r="T1289" t="s">
        <v>1910</v>
      </c>
      <c r="W1289" t="s">
        <v>1911</v>
      </c>
      <c r="X1289" t="s">
        <v>317</v>
      </c>
      <c r="Y1289" t="str">
        <f>"900514387"</f>
        <v>900514387</v>
      </c>
    </row>
    <row r="1290" spans="1:25" x14ac:dyDescent="0.25">
      <c r="A1290" t="s">
        <v>5811</v>
      </c>
      <c r="B1290" t="s">
        <v>5812</v>
      </c>
      <c r="C1290">
        <v>2019</v>
      </c>
      <c r="D1290">
        <v>8001</v>
      </c>
      <c r="E1290">
        <v>2</v>
      </c>
      <c r="F1290" t="s">
        <v>5813</v>
      </c>
      <c r="G1290">
        <v>3509937</v>
      </c>
      <c r="J1290">
        <v>7.49</v>
      </c>
      <c r="L1290">
        <v>43864362</v>
      </c>
      <c r="M1290" s="1">
        <v>43893</v>
      </c>
      <c r="N1290" t="str">
        <f>"J200303K2"</f>
        <v>J200303K2</v>
      </c>
      <c r="O1290" t="s">
        <v>28</v>
      </c>
      <c r="Q1290" t="s">
        <v>29</v>
      </c>
      <c r="R1290" t="s">
        <v>28</v>
      </c>
      <c r="S1290" t="s">
        <v>1326</v>
      </c>
      <c r="T1290" t="s">
        <v>5814</v>
      </c>
      <c r="W1290" t="s">
        <v>2351</v>
      </c>
      <c r="X1290" t="s">
        <v>2352</v>
      </c>
      <c r="Y1290" t="str">
        <f>"841090000"</f>
        <v>841090000</v>
      </c>
    </row>
    <row r="1291" spans="1:25" x14ac:dyDescent="0.25">
      <c r="A1291" t="s">
        <v>5815</v>
      </c>
      <c r="B1291" t="s">
        <v>5816</v>
      </c>
      <c r="C1291">
        <v>2019</v>
      </c>
      <c r="D1291">
        <v>8001</v>
      </c>
      <c r="E1291">
        <v>2</v>
      </c>
      <c r="F1291" t="s">
        <v>5817</v>
      </c>
      <c r="G1291">
        <v>25017735</v>
      </c>
      <c r="J1291">
        <v>51.21</v>
      </c>
      <c r="L1291">
        <v>42687683</v>
      </c>
      <c r="M1291" s="1">
        <v>43837</v>
      </c>
      <c r="N1291" t="str">
        <f>"J200107AW7"</f>
        <v>J200107AW7</v>
      </c>
      <c r="O1291" t="s">
        <v>28</v>
      </c>
      <c r="Q1291" t="s">
        <v>29</v>
      </c>
      <c r="R1291" t="s">
        <v>28</v>
      </c>
      <c r="S1291" t="s">
        <v>5818</v>
      </c>
      <c r="T1291" t="s">
        <v>5819</v>
      </c>
      <c r="W1291" t="s">
        <v>75</v>
      </c>
      <c r="X1291" t="s">
        <v>34</v>
      </c>
      <c r="Y1291" t="str">
        <f>"770854011"</f>
        <v>770854011</v>
      </c>
    </row>
    <row r="1292" spans="1:25" x14ac:dyDescent="0.25">
      <c r="A1292" t="s">
        <v>5820</v>
      </c>
      <c r="B1292" t="s">
        <v>5821</v>
      </c>
      <c r="C1292">
        <v>2021</v>
      </c>
      <c r="D1292">
        <v>8001</v>
      </c>
      <c r="E1292">
        <v>1</v>
      </c>
      <c r="F1292" t="s">
        <v>5822</v>
      </c>
      <c r="G1292">
        <v>31102316</v>
      </c>
      <c r="J1292">
        <v>6</v>
      </c>
      <c r="L1292">
        <v>49898708</v>
      </c>
      <c r="M1292" s="1">
        <v>44594</v>
      </c>
      <c r="N1292" t="str">
        <f>"RC220307"</f>
        <v>RC220307</v>
      </c>
      <c r="O1292" t="s">
        <v>28</v>
      </c>
      <c r="Q1292" t="s">
        <v>29</v>
      </c>
      <c r="R1292" t="s">
        <v>28</v>
      </c>
      <c r="S1292" t="s">
        <v>2258</v>
      </c>
      <c r="T1292" t="s">
        <v>2364</v>
      </c>
      <c r="W1292" t="s">
        <v>75</v>
      </c>
      <c r="X1292" t="s">
        <v>34</v>
      </c>
      <c r="Y1292" t="str">
        <f>"770273282"</f>
        <v>770273282</v>
      </c>
    </row>
    <row r="1293" spans="1:25" x14ac:dyDescent="0.25">
      <c r="A1293" t="s">
        <v>5823</v>
      </c>
      <c r="B1293" t="s">
        <v>5824</v>
      </c>
      <c r="C1293">
        <v>2020</v>
      </c>
      <c r="D1293">
        <v>8001</v>
      </c>
      <c r="E1293">
        <v>1</v>
      </c>
      <c r="F1293" t="s">
        <v>5825</v>
      </c>
      <c r="G1293">
        <v>26962220</v>
      </c>
      <c r="J1293">
        <v>23.48</v>
      </c>
      <c r="L1293">
        <v>47783848</v>
      </c>
      <c r="M1293" s="1">
        <v>44476</v>
      </c>
      <c r="N1293" t="str">
        <f>"RC211018"</f>
        <v>RC211018</v>
      </c>
      <c r="O1293" t="s">
        <v>28</v>
      </c>
      <c r="Q1293" t="s">
        <v>29</v>
      </c>
      <c r="R1293" t="s">
        <v>28</v>
      </c>
      <c r="S1293" t="s">
        <v>561</v>
      </c>
      <c r="T1293" t="s">
        <v>1015</v>
      </c>
      <c r="W1293" t="s">
        <v>563</v>
      </c>
      <c r="X1293" t="s">
        <v>34</v>
      </c>
      <c r="Y1293" t="str">
        <f>"750630156"</f>
        <v>750630156</v>
      </c>
    </row>
    <row r="1294" spans="1:25" x14ac:dyDescent="0.25">
      <c r="A1294" t="s">
        <v>5826</v>
      </c>
      <c r="B1294" t="s">
        <v>5827</v>
      </c>
      <c r="C1294">
        <v>2020</v>
      </c>
      <c r="D1294">
        <v>8001</v>
      </c>
      <c r="E1294">
        <v>1</v>
      </c>
      <c r="F1294" t="s">
        <v>5828</v>
      </c>
      <c r="G1294">
        <v>29604566</v>
      </c>
      <c r="J1294">
        <v>76.44</v>
      </c>
      <c r="L1294">
        <v>47034748</v>
      </c>
      <c r="M1294" s="1">
        <v>44259</v>
      </c>
      <c r="N1294" t="str">
        <f>"CC210304"</f>
        <v>CC210304</v>
      </c>
      <c r="O1294" t="s">
        <v>28</v>
      </c>
      <c r="Q1294" t="s">
        <v>29</v>
      </c>
      <c r="R1294" t="s">
        <v>28</v>
      </c>
      <c r="S1294" t="s">
        <v>5829</v>
      </c>
      <c r="T1294" t="s">
        <v>5830</v>
      </c>
      <c r="W1294" t="s">
        <v>1160</v>
      </c>
      <c r="X1294" t="s">
        <v>34</v>
      </c>
      <c r="Y1294" t="str">
        <f>"77545"</f>
        <v>77545</v>
      </c>
    </row>
    <row r="1295" spans="1:25" x14ac:dyDescent="0.25">
      <c r="A1295" t="s">
        <v>5831</v>
      </c>
      <c r="B1295" t="s">
        <v>5832</v>
      </c>
      <c r="C1295">
        <v>2019</v>
      </c>
      <c r="D1295">
        <v>8001</v>
      </c>
      <c r="E1295">
        <v>1</v>
      </c>
      <c r="F1295" t="s">
        <v>5833</v>
      </c>
      <c r="G1295">
        <v>26732867</v>
      </c>
      <c r="J1295">
        <v>100.26</v>
      </c>
      <c r="L1295">
        <v>42888538</v>
      </c>
      <c r="M1295" s="1">
        <v>43844</v>
      </c>
      <c r="N1295" t="str">
        <f>"J200114AW12"</f>
        <v>J200114AW12</v>
      </c>
      <c r="O1295" t="s">
        <v>28</v>
      </c>
      <c r="Q1295" t="s">
        <v>29</v>
      </c>
      <c r="R1295" t="s">
        <v>28</v>
      </c>
      <c r="S1295" t="s">
        <v>5834</v>
      </c>
      <c r="T1295" t="s">
        <v>5835</v>
      </c>
      <c r="U1295" t="s">
        <v>5836</v>
      </c>
      <c r="W1295" t="s">
        <v>563</v>
      </c>
      <c r="X1295" t="s">
        <v>34</v>
      </c>
      <c r="Y1295" t="str">
        <f>"75038"</f>
        <v>75038</v>
      </c>
    </row>
    <row r="1296" spans="1:25" x14ac:dyDescent="0.25">
      <c r="A1296" t="s">
        <v>5837</v>
      </c>
      <c r="B1296" t="s">
        <v>5838</v>
      </c>
      <c r="C1296">
        <v>2021</v>
      </c>
      <c r="D1296">
        <v>8001</v>
      </c>
      <c r="E1296">
        <v>2</v>
      </c>
      <c r="F1296" t="s">
        <v>5839</v>
      </c>
      <c r="G1296">
        <v>28692840</v>
      </c>
      <c r="J1296" s="2">
        <v>1523.63</v>
      </c>
      <c r="L1296">
        <v>48888871</v>
      </c>
      <c r="M1296" s="1">
        <v>44565</v>
      </c>
      <c r="N1296" t="str">
        <f>"CL210001"</f>
        <v>CL210001</v>
      </c>
      <c r="O1296" t="s">
        <v>28</v>
      </c>
      <c r="Q1296" t="s">
        <v>29</v>
      </c>
      <c r="R1296" t="s">
        <v>28</v>
      </c>
      <c r="S1296" t="s">
        <v>1019</v>
      </c>
      <c r="T1296" t="s">
        <v>562</v>
      </c>
      <c r="W1296" t="s">
        <v>563</v>
      </c>
      <c r="X1296" t="s">
        <v>34</v>
      </c>
      <c r="Y1296" t="str">
        <f>"750630156"</f>
        <v>750630156</v>
      </c>
    </row>
    <row r="1297" spans="1:25" x14ac:dyDescent="0.25">
      <c r="A1297" t="s">
        <v>5840</v>
      </c>
      <c r="B1297" t="s">
        <v>5841</v>
      </c>
      <c r="C1297">
        <v>2020</v>
      </c>
      <c r="D1297">
        <v>8001</v>
      </c>
      <c r="E1297">
        <v>4</v>
      </c>
      <c r="F1297" t="s">
        <v>5842</v>
      </c>
      <c r="G1297">
        <v>25592224</v>
      </c>
      <c r="J1297">
        <v>89.71</v>
      </c>
      <c r="L1297">
        <v>47415205</v>
      </c>
      <c r="M1297" s="1">
        <v>44335</v>
      </c>
      <c r="N1297" t="str">
        <f>"R210519AJ1"</f>
        <v>R210519AJ1</v>
      </c>
      <c r="O1297" t="s">
        <v>28</v>
      </c>
      <c r="Q1297" t="s">
        <v>29</v>
      </c>
      <c r="R1297" t="s">
        <v>28</v>
      </c>
      <c r="S1297" t="s">
        <v>1326</v>
      </c>
      <c r="T1297" t="s">
        <v>1327</v>
      </c>
      <c r="W1297" t="s">
        <v>1328</v>
      </c>
      <c r="X1297" t="s">
        <v>162</v>
      </c>
      <c r="Y1297" t="str">
        <f>"080541210"</f>
        <v>080541210</v>
      </c>
    </row>
    <row r="1298" spans="1:25" x14ac:dyDescent="0.25">
      <c r="A1298" t="s">
        <v>5843</v>
      </c>
      <c r="B1298" t="s">
        <v>5844</v>
      </c>
      <c r="C1298">
        <v>2021</v>
      </c>
      <c r="D1298">
        <v>8001</v>
      </c>
      <c r="E1298">
        <v>2</v>
      </c>
      <c r="F1298" t="s">
        <v>5845</v>
      </c>
      <c r="G1298">
        <v>26851401</v>
      </c>
      <c r="J1298">
        <v>199.12</v>
      </c>
      <c r="L1298">
        <v>49816096</v>
      </c>
      <c r="M1298" s="1">
        <v>44593</v>
      </c>
      <c r="N1298" t="str">
        <f>"RC220307"</f>
        <v>RC220307</v>
      </c>
      <c r="O1298" t="s">
        <v>28</v>
      </c>
      <c r="Q1298" t="s">
        <v>29</v>
      </c>
      <c r="R1298" t="s">
        <v>28</v>
      </c>
      <c r="S1298" t="s">
        <v>5846</v>
      </c>
      <c r="T1298" t="s">
        <v>5847</v>
      </c>
      <c r="W1298" t="s">
        <v>392</v>
      </c>
      <c r="X1298" t="s">
        <v>34</v>
      </c>
      <c r="Y1298" t="str">
        <f>"774593168"</f>
        <v>774593168</v>
      </c>
    </row>
    <row r="1299" spans="1:25" x14ac:dyDescent="0.25">
      <c r="A1299" t="s">
        <v>5848</v>
      </c>
      <c r="B1299" t="s">
        <v>5849</v>
      </c>
      <c r="C1299">
        <v>2020</v>
      </c>
      <c r="D1299">
        <v>8001</v>
      </c>
      <c r="E1299">
        <v>1</v>
      </c>
      <c r="F1299" t="s">
        <v>5850</v>
      </c>
      <c r="G1299">
        <v>29461696</v>
      </c>
      <c r="J1299" s="2">
        <v>1723.26</v>
      </c>
      <c r="L1299">
        <v>46728696</v>
      </c>
      <c r="M1299" s="1">
        <v>44230</v>
      </c>
      <c r="N1299" t="str">
        <f>"EK210203"</f>
        <v>EK210203</v>
      </c>
      <c r="O1299" t="s">
        <v>28</v>
      </c>
      <c r="Q1299" t="s">
        <v>29</v>
      </c>
      <c r="R1299" t="s">
        <v>28</v>
      </c>
      <c r="S1299" t="s">
        <v>5851</v>
      </c>
      <c r="T1299" t="s">
        <v>5852</v>
      </c>
      <c r="W1299" t="s">
        <v>392</v>
      </c>
      <c r="X1299" t="s">
        <v>34</v>
      </c>
      <c r="Y1299" t="str">
        <f>"77459"</f>
        <v>77459</v>
      </c>
    </row>
    <row r="1300" spans="1:25" x14ac:dyDescent="0.25">
      <c r="A1300" t="s">
        <v>5853</v>
      </c>
      <c r="B1300" t="s">
        <v>5854</v>
      </c>
      <c r="C1300">
        <v>2019</v>
      </c>
      <c r="D1300">
        <v>8001</v>
      </c>
      <c r="E1300">
        <v>3</v>
      </c>
      <c r="F1300" t="s">
        <v>5855</v>
      </c>
      <c r="G1300">
        <v>21132622</v>
      </c>
      <c r="J1300">
        <v>438.93</v>
      </c>
      <c r="L1300">
        <v>43632748</v>
      </c>
      <c r="M1300" s="1">
        <v>43867</v>
      </c>
      <c r="N1300" t="str">
        <f>"J200206AW5"</f>
        <v>J200206AW5</v>
      </c>
      <c r="O1300" t="s">
        <v>28</v>
      </c>
      <c r="Q1300" t="s">
        <v>29</v>
      </c>
      <c r="R1300" t="s">
        <v>28</v>
      </c>
      <c r="S1300" t="s">
        <v>5856</v>
      </c>
      <c r="T1300" t="s">
        <v>2997</v>
      </c>
      <c r="W1300" t="s">
        <v>75</v>
      </c>
      <c r="X1300" t="s">
        <v>34</v>
      </c>
      <c r="Y1300" t="str">
        <f>"77056"</f>
        <v>77056</v>
      </c>
    </row>
    <row r="1301" spans="1:25" x14ac:dyDescent="0.25">
      <c r="A1301" t="s">
        <v>5857</v>
      </c>
      <c r="B1301" t="s">
        <v>5858</v>
      </c>
      <c r="C1301">
        <v>2019</v>
      </c>
      <c r="D1301">
        <v>8001</v>
      </c>
      <c r="E1301">
        <v>1</v>
      </c>
      <c r="F1301" t="s">
        <v>5859</v>
      </c>
      <c r="G1301">
        <v>22381643</v>
      </c>
      <c r="J1301">
        <v>52.06</v>
      </c>
      <c r="L1301">
        <v>43920678</v>
      </c>
      <c r="M1301" s="1">
        <v>43901</v>
      </c>
      <c r="N1301" t="str">
        <f>"J200311AW1"</f>
        <v>J200311AW1</v>
      </c>
      <c r="O1301" t="s">
        <v>28</v>
      </c>
      <c r="Q1301" t="s">
        <v>29</v>
      </c>
      <c r="R1301" t="s">
        <v>28</v>
      </c>
      <c r="S1301" t="s">
        <v>5860</v>
      </c>
      <c r="T1301" t="s">
        <v>5861</v>
      </c>
      <c r="W1301" t="s">
        <v>5862</v>
      </c>
      <c r="X1301" t="s">
        <v>1248</v>
      </c>
      <c r="Y1301" t="str">
        <f>"32801"</f>
        <v>32801</v>
      </c>
    </row>
    <row r="1302" spans="1:25" x14ac:dyDescent="0.25">
      <c r="A1302" t="s">
        <v>5863</v>
      </c>
      <c r="B1302" t="s">
        <v>5864</v>
      </c>
      <c r="C1302">
        <v>2021</v>
      </c>
      <c r="D1302">
        <v>8001</v>
      </c>
      <c r="E1302">
        <v>1</v>
      </c>
      <c r="F1302" t="s">
        <v>5865</v>
      </c>
      <c r="G1302">
        <v>27453668</v>
      </c>
      <c r="J1302">
        <v>6.48</v>
      </c>
      <c r="L1302">
        <v>48550063</v>
      </c>
      <c r="M1302" s="1">
        <v>44547</v>
      </c>
      <c r="N1302" t="str">
        <f>"RC220114"</f>
        <v>RC220114</v>
      </c>
      <c r="O1302" t="s">
        <v>28</v>
      </c>
      <c r="Q1302" t="s">
        <v>29</v>
      </c>
      <c r="R1302" t="s">
        <v>28</v>
      </c>
      <c r="S1302" t="s">
        <v>3112</v>
      </c>
      <c r="T1302" t="s">
        <v>203</v>
      </c>
      <c r="U1302" t="s">
        <v>1475</v>
      </c>
      <c r="W1302" t="s">
        <v>33</v>
      </c>
      <c r="X1302" t="s">
        <v>34</v>
      </c>
      <c r="Y1302" t="str">
        <f>"750938768"</f>
        <v>750938768</v>
      </c>
    </row>
    <row r="1303" spans="1:25" x14ac:dyDescent="0.25">
      <c r="A1303" t="s">
        <v>5866</v>
      </c>
      <c r="B1303" t="s">
        <v>5867</v>
      </c>
      <c r="C1303">
        <v>2020</v>
      </c>
      <c r="D1303">
        <v>8001</v>
      </c>
      <c r="E1303">
        <v>15</v>
      </c>
      <c r="F1303" t="s">
        <v>5868</v>
      </c>
      <c r="G1303">
        <v>0</v>
      </c>
      <c r="J1303">
        <v>13.75</v>
      </c>
      <c r="L1303">
        <v>44557963</v>
      </c>
      <c r="M1303" s="1">
        <v>44147</v>
      </c>
      <c r="N1303" t="str">
        <f>"TE201112"</f>
        <v>TE201112</v>
      </c>
      <c r="O1303" t="s">
        <v>28</v>
      </c>
      <c r="Q1303" t="s">
        <v>29</v>
      </c>
      <c r="R1303" t="s">
        <v>28</v>
      </c>
      <c r="S1303" t="s">
        <v>5868</v>
      </c>
      <c r="T1303" t="s">
        <v>5869</v>
      </c>
      <c r="U1303" t="s">
        <v>60</v>
      </c>
      <c r="V1303" t="s">
        <v>60</v>
      </c>
      <c r="W1303" t="s">
        <v>214</v>
      </c>
      <c r="X1303" t="s">
        <v>34</v>
      </c>
      <c r="Y1303" t="str">
        <f>"774067962   "</f>
        <v xml:space="preserve">774067962   </v>
      </c>
    </row>
    <row r="1304" spans="1:25" x14ac:dyDescent="0.25">
      <c r="A1304" t="s">
        <v>5870</v>
      </c>
      <c r="B1304" t="s">
        <v>5871</v>
      </c>
      <c r="C1304">
        <v>2020</v>
      </c>
      <c r="D1304">
        <v>8001</v>
      </c>
      <c r="E1304">
        <v>5</v>
      </c>
      <c r="F1304" t="s">
        <v>5872</v>
      </c>
      <c r="G1304">
        <v>30020912</v>
      </c>
      <c r="J1304">
        <v>15.77</v>
      </c>
      <c r="L1304">
        <v>47781056</v>
      </c>
      <c r="M1304" s="1">
        <v>44475</v>
      </c>
      <c r="N1304" t="str">
        <f>"EK211006"</f>
        <v>EK211006</v>
      </c>
      <c r="O1304" t="s">
        <v>28</v>
      </c>
      <c r="Q1304" t="s">
        <v>29</v>
      </c>
      <c r="R1304" t="s">
        <v>28</v>
      </c>
      <c r="S1304" t="s">
        <v>5873</v>
      </c>
      <c r="T1304" t="s">
        <v>5874</v>
      </c>
      <c r="W1304" t="s">
        <v>81</v>
      </c>
      <c r="X1304" t="s">
        <v>34</v>
      </c>
      <c r="Y1304" t="str">
        <f>"774066993"</f>
        <v>774066993</v>
      </c>
    </row>
    <row r="1305" spans="1:25" x14ac:dyDescent="0.25">
      <c r="A1305" t="s">
        <v>5875</v>
      </c>
      <c r="B1305" t="s">
        <v>5876</v>
      </c>
      <c r="C1305">
        <v>2020</v>
      </c>
      <c r="D1305">
        <v>8001</v>
      </c>
      <c r="E1305">
        <v>1</v>
      </c>
      <c r="F1305" t="s">
        <v>5877</v>
      </c>
      <c r="G1305">
        <v>29875276</v>
      </c>
      <c r="J1305">
        <v>54.96</v>
      </c>
      <c r="L1305">
        <v>47506480</v>
      </c>
      <c r="M1305" s="1">
        <v>44354</v>
      </c>
      <c r="N1305" t="str">
        <f>"RC210616"</f>
        <v>RC210616</v>
      </c>
      <c r="O1305" t="s">
        <v>28</v>
      </c>
      <c r="Q1305" t="s">
        <v>29</v>
      </c>
      <c r="R1305" t="s">
        <v>28</v>
      </c>
      <c r="S1305" t="s">
        <v>2317</v>
      </c>
      <c r="T1305" t="s">
        <v>2937</v>
      </c>
      <c r="W1305" t="s">
        <v>2938</v>
      </c>
      <c r="X1305" t="s">
        <v>317</v>
      </c>
      <c r="Y1305" t="str">
        <f>"92806"</f>
        <v>92806</v>
      </c>
    </row>
    <row r="1306" spans="1:25" x14ac:dyDescent="0.25">
      <c r="A1306" t="s">
        <v>5878</v>
      </c>
      <c r="B1306" t="s">
        <v>5879</v>
      </c>
      <c r="C1306">
        <v>2020</v>
      </c>
      <c r="D1306">
        <v>8001</v>
      </c>
      <c r="E1306">
        <v>1</v>
      </c>
      <c r="F1306" t="s">
        <v>5880</v>
      </c>
      <c r="G1306">
        <v>24111646</v>
      </c>
      <c r="J1306">
        <v>257.31</v>
      </c>
      <c r="L1306">
        <v>44924083</v>
      </c>
      <c r="M1306" s="1">
        <v>44154</v>
      </c>
      <c r="N1306" t="str">
        <f>"O201119W1"</f>
        <v>O201119W1</v>
      </c>
      <c r="O1306" t="s">
        <v>28</v>
      </c>
      <c r="Q1306" t="s">
        <v>29</v>
      </c>
      <c r="R1306" t="s">
        <v>28</v>
      </c>
      <c r="S1306" t="s">
        <v>3677</v>
      </c>
      <c r="T1306" t="s">
        <v>3625</v>
      </c>
      <c r="U1306" t="s">
        <v>4796</v>
      </c>
      <c r="W1306" t="s">
        <v>33</v>
      </c>
      <c r="X1306" t="s">
        <v>34</v>
      </c>
      <c r="Y1306" t="str">
        <f>"750758442"</f>
        <v>750758442</v>
      </c>
    </row>
    <row r="1307" spans="1:25" x14ac:dyDescent="0.25">
      <c r="A1307" t="s">
        <v>5881</v>
      </c>
      <c r="B1307" t="s">
        <v>5882</v>
      </c>
      <c r="C1307">
        <v>2020</v>
      </c>
      <c r="D1307">
        <v>8001</v>
      </c>
      <c r="E1307">
        <v>1</v>
      </c>
      <c r="F1307" t="s">
        <v>5883</v>
      </c>
      <c r="G1307">
        <v>29489452</v>
      </c>
      <c r="J1307">
        <v>270.20999999999998</v>
      </c>
      <c r="L1307">
        <v>46782151</v>
      </c>
      <c r="M1307" s="1">
        <v>44231</v>
      </c>
      <c r="N1307" t="str">
        <f>"CC210204"</f>
        <v>CC210204</v>
      </c>
      <c r="O1307" t="s">
        <v>28</v>
      </c>
      <c r="Q1307" t="s">
        <v>29</v>
      </c>
      <c r="R1307" t="s">
        <v>28</v>
      </c>
      <c r="S1307" t="s">
        <v>5884</v>
      </c>
      <c r="T1307" t="s">
        <v>5885</v>
      </c>
      <c r="W1307" t="s">
        <v>81</v>
      </c>
      <c r="X1307" t="s">
        <v>34</v>
      </c>
      <c r="Y1307" t="str">
        <f>"77407"</f>
        <v>77407</v>
      </c>
    </row>
    <row r="1308" spans="1:25" x14ac:dyDescent="0.25">
      <c r="A1308" t="s">
        <v>5886</v>
      </c>
      <c r="B1308" t="s">
        <v>5887</v>
      </c>
      <c r="C1308">
        <v>2020</v>
      </c>
      <c r="D1308">
        <v>8001</v>
      </c>
      <c r="E1308">
        <v>1</v>
      </c>
      <c r="F1308" t="s">
        <v>5888</v>
      </c>
      <c r="G1308">
        <v>0</v>
      </c>
      <c r="J1308">
        <v>52.31</v>
      </c>
      <c r="L1308">
        <v>46861506</v>
      </c>
      <c r="M1308" s="1">
        <v>44235</v>
      </c>
      <c r="N1308" t="str">
        <f>"L210208"</f>
        <v>L210208</v>
      </c>
      <c r="O1308" t="s">
        <v>28</v>
      </c>
      <c r="Q1308" t="s">
        <v>29</v>
      </c>
      <c r="R1308" t="s">
        <v>28</v>
      </c>
      <c r="S1308" t="s">
        <v>5888</v>
      </c>
      <c r="T1308" t="s">
        <v>5889</v>
      </c>
      <c r="U1308" t="s">
        <v>60</v>
      </c>
      <c r="V1308" t="s">
        <v>60</v>
      </c>
      <c r="W1308" t="s">
        <v>135</v>
      </c>
      <c r="X1308" t="s">
        <v>34</v>
      </c>
      <c r="Y1308" t="str">
        <f>"770854038   "</f>
        <v xml:space="preserve">770854038   </v>
      </c>
    </row>
    <row r="1309" spans="1:25" x14ac:dyDescent="0.25">
      <c r="A1309" t="s">
        <v>5890</v>
      </c>
      <c r="B1309" t="s">
        <v>5891</v>
      </c>
      <c r="C1309">
        <v>2019</v>
      </c>
      <c r="D1309">
        <v>8001</v>
      </c>
      <c r="E1309">
        <v>5</v>
      </c>
      <c r="F1309" t="s">
        <v>5892</v>
      </c>
      <c r="G1309">
        <v>1888640</v>
      </c>
      <c r="J1309">
        <v>158.11000000000001</v>
      </c>
      <c r="L1309">
        <v>44185593</v>
      </c>
      <c r="M1309" s="1">
        <v>43971</v>
      </c>
      <c r="N1309" t="str">
        <f>"J200520AW5"</f>
        <v>J200520AW5</v>
      </c>
      <c r="O1309" t="s">
        <v>28</v>
      </c>
      <c r="Q1309" t="s">
        <v>29</v>
      </c>
      <c r="R1309" t="s">
        <v>28</v>
      </c>
      <c r="S1309" t="s">
        <v>2349</v>
      </c>
      <c r="T1309" t="s">
        <v>5893</v>
      </c>
      <c r="W1309" t="s">
        <v>2351</v>
      </c>
      <c r="X1309" t="s">
        <v>2352</v>
      </c>
      <c r="Y1309" t="str">
        <f>"84119"</f>
        <v>84119</v>
      </c>
    </row>
    <row r="1310" spans="1:25" x14ac:dyDescent="0.25">
      <c r="A1310" t="s">
        <v>5894</v>
      </c>
      <c r="B1310" t="s">
        <v>5895</v>
      </c>
      <c r="C1310">
        <v>2019</v>
      </c>
      <c r="D1310">
        <v>8001</v>
      </c>
      <c r="E1310">
        <v>1</v>
      </c>
      <c r="F1310" t="s">
        <v>5896</v>
      </c>
      <c r="G1310">
        <v>28298266</v>
      </c>
      <c r="J1310">
        <v>63.72</v>
      </c>
      <c r="L1310">
        <v>43864382</v>
      </c>
      <c r="M1310" s="1">
        <v>43893</v>
      </c>
      <c r="N1310" t="str">
        <f>"EK400303"</f>
        <v>EK400303</v>
      </c>
      <c r="O1310" t="s">
        <v>28</v>
      </c>
      <c r="Q1310" t="s">
        <v>29</v>
      </c>
      <c r="R1310" t="s">
        <v>28</v>
      </c>
      <c r="S1310" t="s">
        <v>5897</v>
      </c>
      <c r="T1310" t="s">
        <v>5898</v>
      </c>
      <c r="W1310" t="s">
        <v>81</v>
      </c>
      <c r="X1310" t="s">
        <v>34</v>
      </c>
      <c r="Y1310" t="str">
        <f>"77407"</f>
        <v>77407</v>
      </c>
    </row>
    <row r="1311" spans="1:25" x14ac:dyDescent="0.25">
      <c r="A1311" t="s">
        <v>5899</v>
      </c>
      <c r="B1311" t="s">
        <v>5900</v>
      </c>
      <c r="C1311">
        <v>2018</v>
      </c>
      <c r="D1311">
        <v>8001</v>
      </c>
      <c r="E1311">
        <v>2</v>
      </c>
      <c r="F1311" t="s">
        <v>5901</v>
      </c>
      <c r="G1311">
        <v>27358250</v>
      </c>
      <c r="J1311">
        <v>9.07</v>
      </c>
      <c r="L1311">
        <v>41125141</v>
      </c>
      <c r="M1311" s="1">
        <v>43578</v>
      </c>
      <c r="N1311" t="str">
        <f>"J190423AW2"</f>
        <v>J190423AW2</v>
      </c>
      <c r="O1311" t="s">
        <v>28</v>
      </c>
      <c r="Q1311" t="s">
        <v>29</v>
      </c>
      <c r="R1311" t="s">
        <v>28</v>
      </c>
      <c r="S1311" t="s">
        <v>5902</v>
      </c>
      <c r="T1311" t="s">
        <v>5903</v>
      </c>
      <c r="W1311" t="s">
        <v>75</v>
      </c>
      <c r="X1311" t="s">
        <v>34</v>
      </c>
      <c r="Y1311" t="str">
        <f>"770411280"</f>
        <v>770411280</v>
      </c>
    </row>
    <row r="1312" spans="1:25" x14ac:dyDescent="0.25">
      <c r="A1312" t="s">
        <v>5904</v>
      </c>
      <c r="B1312" t="s">
        <v>5905</v>
      </c>
      <c r="C1312">
        <v>2018</v>
      </c>
      <c r="D1312">
        <v>8001</v>
      </c>
      <c r="E1312">
        <v>1</v>
      </c>
      <c r="F1312" t="s">
        <v>5906</v>
      </c>
      <c r="G1312">
        <v>27378432</v>
      </c>
      <c r="J1312">
        <v>80.790000000000006</v>
      </c>
      <c r="L1312">
        <v>41165769</v>
      </c>
      <c r="M1312" s="1">
        <v>43588</v>
      </c>
      <c r="N1312" t="str">
        <f>"EK190503"</f>
        <v>EK190503</v>
      </c>
      <c r="O1312" t="s">
        <v>28</v>
      </c>
      <c r="Q1312" t="s">
        <v>29</v>
      </c>
      <c r="R1312" t="s">
        <v>28</v>
      </c>
      <c r="S1312" t="s">
        <v>5907</v>
      </c>
      <c r="T1312" t="s">
        <v>5908</v>
      </c>
      <c r="W1312" t="s">
        <v>107</v>
      </c>
      <c r="X1312" t="s">
        <v>34</v>
      </c>
      <c r="Y1312" t="str">
        <f>"77494"</f>
        <v>77494</v>
      </c>
    </row>
    <row r="1313" spans="1:25" x14ac:dyDescent="0.25">
      <c r="A1313" t="s">
        <v>5909</v>
      </c>
      <c r="B1313" t="s">
        <v>5910</v>
      </c>
      <c r="C1313">
        <v>2020</v>
      </c>
      <c r="D1313">
        <v>8001</v>
      </c>
      <c r="E1313">
        <v>7</v>
      </c>
      <c r="F1313" t="s">
        <v>5911</v>
      </c>
      <c r="G1313">
        <v>29771838</v>
      </c>
      <c r="J1313">
        <v>100.92</v>
      </c>
      <c r="L1313">
        <v>47315979</v>
      </c>
      <c r="M1313" s="1">
        <v>44306</v>
      </c>
      <c r="N1313" t="str">
        <f>"RC210428"</f>
        <v>RC210428</v>
      </c>
      <c r="O1313" t="s">
        <v>28</v>
      </c>
      <c r="Q1313" t="s">
        <v>29</v>
      </c>
      <c r="R1313" t="s">
        <v>28</v>
      </c>
      <c r="S1313" t="s">
        <v>5912</v>
      </c>
      <c r="T1313" t="s">
        <v>5913</v>
      </c>
      <c r="W1313" t="s">
        <v>4223</v>
      </c>
      <c r="X1313" t="s">
        <v>34</v>
      </c>
      <c r="Y1313" t="str">
        <f>"77377"</f>
        <v>77377</v>
      </c>
    </row>
    <row r="1314" spans="1:25" x14ac:dyDescent="0.25">
      <c r="A1314" t="s">
        <v>5914</v>
      </c>
      <c r="B1314" t="s">
        <v>5915</v>
      </c>
      <c r="C1314">
        <v>2020</v>
      </c>
      <c r="D1314">
        <v>8001</v>
      </c>
      <c r="E1314">
        <v>1</v>
      </c>
      <c r="F1314" t="s">
        <v>5916</v>
      </c>
      <c r="G1314">
        <v>29489506</v>
      </c>
      <c r="J1314">
        <v>25.35</v>
      </c>
      <c r="L1314">
        <v>46782205</v>
      </c>
      <c r="M1314" s="1">
        <v>44231</v>
      </c>
      <c r="N1314" t="str">
        <f>"CC210204"</f>
        <v>CC210204</v>
      </c>
      <c r="O1314" t="s">
        <v>28</v>
      </c>
      <c r="Q1314" t="s">
        <v>29</v>
      </c>
      <c r="R1314" t="s">
        <v>28</v>
      </c>
      <c r="S1314" t="s">
        <v>5917</v>
      </c>
      <c r="T1314" t="s">
        <v>5918</v>
      </c>
      <c r="W1314" t="s">
        <v>40</v>
      </c>
      <c r="X1314" t="s">
        <v>34</v>
      </c>
      <c r="Y1314" t="str">
        <f>"77478"</f>
        <v>77478</v>
      </c>
    </row>
    <row r="1315" spans="1:25" x14ac:dyDescent="0.25">
      <c r="A1315" t="s">
        <v>5919</v>
      </c>
      <c r="B1315" t="s">
        <v>5920</v>
      </c>
      <c r="C1315">
        <v>2018</v>
      </c>
      <c r="D1315">
        <v>8001</v>
      </c>
      <c r="E1315">
        <v>1</v>
      </c>
      <c r="F1315" t="s">
        <v>5921</v>
      </c>
      <c r="G1315">
        <v>27328831</v>
      </c>
      <c r="J1315">
        <v>61.43</v>
      </c>
      <c r="L1315">
        <v>41063920</v>
      </c>
      <c r="M1315" s="1">
        <v>43558</v>
      </c>
      <c r="N1315" t="str">
        <f>"CC190403"</f>
        <v>CC190403</v>
      </c>
      <c r="O1315" t="s">
        <v>28</v>
      </c>
      <c r="Q1315" t="s">
        <v>29</v>
      </c>
      <c r="R1315" t="s">
        <v>28</v>
      </c>
      <c r="S1315" t="s">
        <v>5922</v>
      </c>
      <c r="T1315" t="s">
        <v>5923</v>
      </c>
      <c r="W1315" t="s">
        <v>5924</v>
      </c>
      <c r="Y1315" t="str">
        <f>"00000"</f>
        <v>00000</v>
      </c>
    </row>
    <row r="1316" spans="1:25" x14ac:dyDescent="0.25">
      <c r="A1316" t="s">
        <v>5925</v>
      </c>
      <c r="B1316" t="s">
        <v>5926</v>
      </c>
      <c r="C1316">
        <v>2019</v>
      </c>
      <c r="D1316">
        <v>8001</v>
      </c>
      <c r="E1316">
        <v>2</v>
      </c>
      <c r="F1316" t="s">
        <v>5927</v>
      </c>
      <c r="G1316">
        <v>0</v>
      </c>
      <c r="J1316">
        <v>70.63</v>
      </c>
      <c r="L1316">
        <v>42948917</v>
      </c>
      <c r="M1316" s="1">
        <v>43846</v>
      </c>
      <c r="N1316" t="str">
        <f>"J200116AW16"</f>
        <v>J200116AW16</v>
      </c>
      <c r="O1316" t="s">
        <v>28</v>
      </c>
      <c r="Q1316" t="s">
        <v>29</v>
      </c>
      <c r="R1316" t="s">
        <v>28</v>
      </c>
      <c r="S1316" t="s">
        <v>5927</v>
      </c>
      <c r="T1316" t="s">
        <v>5928</v>
      </c>
      <c r="U1316" t="s">
        <v>60</v>
      </c>
      <c r="V1316" t="s">
        <v>60</v>
      </c>
      <c r="W1316" t="s">
        <v>273</v>
      </c>
      <c r="X1316" t="s">
        <v>34</v>
      </c>
      <c r="Y1316" t="str">
        <f>"774414215   "</f>
        <v xml:space="preserve">774414215   </v>
      </c>
    </row>
    <row r="1317" spans="1:25" x14ac:dyDescent="0.25">
      <c r="A1317" t="s">
        <v>5929</v>
      </c>
      <c r="B1317" t="s">
        <v>5930</v>
      </c>
      <c r="C1317">
        <v>2020</v>
      </c>
      <c r="D1317">
        <v>8001</v>
      </c>
      <c r="E1317">
        <v>1</v>
      </c>
      <c r="F1317" t="s">
        <v>5931</v>
      </c>
      <c r="G1317">
        <v>0</v>
      </c>
      <c r="J1317">
        <v>6</v>
      </c>
      <c r="L1317">
        <v>45748535</v>
      </c>
      <c r="M1317" s="1">
        <v>44202</v>
      </c>
      <c r="N1317" t="str">
        <f>"L210106A"</f>
        <v>L210106A</v>
      </c>
      <c r="O1317" t="s">
        <v>28</v>
      </c>
      <c r="Q1317" t="s">
        <v>29</v>
      </c>
      <c r="R1317" t="s">
        <v>28</v>
      </c>
      <c r="S1317" t="s">
        <v>5931</v>
      </c>
      <c r="T1317" t="s">
        <v>5932</v>
      </c>
      <c r="U1317" t="s">
        <v>60</v>
      </c>
      <c r="V1317" t="s">
        <v>60</v>
      </c>
      <c r="W1317" t="s">
        <v>273</v>
      </c>
      <c r="X1317" t="s">
        <v>34</v>
      </c>
      <c r="Y1317" t="str">
        <f>"774414255   "</f>
        <v xml:space="preserve">774414255   </v>
      </c>
    </row>
    <row r="1318" spans="1:25" x14ac:dyDescent="0.25">
      <c r="A1318" t="s">
        <v>5933</v>
      </c>
      <c r="B1318" t="s">
        <v>5934</v>
      </c>
      <c r="C1318">
        <v>2021</v>
      </c>
      <c r="D1318">
        <v>8001</v>
      </c>
      <c r="E1318">
        <v>1</v>
      </c>
      <c r="F1318" t="s">
        <v>5935</v>
      </c>
      <c r="G1318">
        <v>30013540</v>
      </c>
      <c r="J1318">
        <v>283.32</v>
      </c>
      <c r="L1318">
        <v>47769720</v>
      </c>
      <c r="M1318" s="1">
        <v>44516</v>
      </c>
      <c r="N1318" t="str">
        <f>"TE211116"</f>
        <v>TE211116</v>
      </c>
      <c r="O1318" t="s">
        <v>28</v>
      </c>
      <c r="Q1318" t="s">
        <v>29</v>
      </c>
      <c r="R1318" t="s">
        <v>28</v>
      </c>
      <c r="S1318" t="s">
        <v>5936</v>
      </c>
      <c r="T1318" t="s">
        <v>5937</v>
      </c>
      <c r="W1318" t="s">
        <v>1197</v>
      </c>
      <c r="X1318" t="s">
        <v>34</v>
      </c>
      <c r="Y1318" t="str">
        <f>"78041"</f>
        <v>78041</v>
      </c>
    </row>
    <row r="1319" spans="1:25" x14ac:dyDescent="0.25">
      <c r="A1319" t="s">
        <v>5938</v>
      </c>
      <c r="B1319" t="s">
        <v>5939</v>
      </c>
      <c r="C1319">
        <v>2019</v>
      </c>
      <c r="D1319">
        <v>8001</v>
      </c>
      <c r="E1319">
        <v>1</v>
      </c>
      <c r="F1319" t="s">
        <v>5940</v>
      </c>
      <c r="G1319">
        <v>28614653</v>
      </c>
      <c r="J1319">
        <v>30.07</v>
      </c>
      <c r="L1319">
        <v>44472158</v>
      </c>
      <c r="M1319" s="1">
        <v>44049</v>
      </c>
      <c r="N1319" t="str">
        <f>"O200806M1"</f>
        <v>O200806M1</v>
      </c>
      <c r="O1319" t="s">
        <v>28</v>
      </c>
      <c r="Q1319" t="s">
        <v>29</v>
      </c>
      <c r="R1319" t="s">
        <v>28</v>
      </c>
      <c r="S1319" t="s">
        <v>5941</v>
      </c>
      <c r="T1319" t="s">
        <v>5942</v>
      </c>
      <c r="W1319" t="s">
        <v>154</v>
      </c>
      <c r="X1319" t="s">
        <v>34</v>
      </c>
      <c r="Y1319" t="str">
        <f>"774719051"</f>
        <v>774719051</v>
      </c>
    </row>
    <row r="1320" spans="1:25" x14ac:dyDescent="0.25">
      <c r="A1320" t="s">
        <v>5943</v>
      </c>
      <c r="B1320" t="s">
        <v>5944</v>
      </c>
      <c r="C1320">
        <v>2020</v>
      </c>
      <c r="D1320">
        <v>8001</v>
      </c>
      <c r="E1320">
        <v>3</v>
      </c>
      <c r="F1320" t="s">
        <v>5945</v>
      </c>
      <c r="G1320">
        <v>29955718</v>
      </c>
      <c r="J1320">
        <v>5.75</v>
      </c>
      <c r="L1320">
        <v>47679402</v>
      </c>
      <c r="M1320" s="1">
        <v>44413</v>
      </c>
      <c r="N1320" t="str">
        <f>"CC210805"</f>
        <v>CC210805</v>
      </c>
      <c r="O1320" t="s">
        <v>28</v>
      </c>
      <c r="Q1320" t="s">
        <v>29</v>
      </c>
      <c r="R1320" t="s">
        <v>28</v>
      </c>
      <c r="S1320" t="s">
        <v>5946</v>
      </c>
      <c r="T1320" t="s">
        <v>5947</v>
      </c>
      <c r="W1320" t="s">
        <v>392</v>
      </c>
      <c r="X1320" t="s">
        <v>34</v>
      </c>
      <c r="Y1320" t="str">
        <f>"77459"</f>
        <v>77459</v>
      </c>
    </row>
    <row r="1321" spans="1:25" x14ac:dyDescent="0.25">
      <c r="A1321" t="s">
        <v>5948</v>
      </c>
      <c r="B1321" t="s">
        <v>5949</v>
      </c>
      <c r="C1321">
        <v>2020</v>
      </c>
      <c r="D1321">
        <v>8001</v>
      </c>
      <c r="E1321">
        <v>2</v>
      </c>
      <c r="F1321" t="s">
        <v>5950</v>
      </c>
      <c r="G1321">
        <v>0</v>
      </c>
      <c r="J1321">
        <v>50</v>
      </c>
      <c r="L1321">
        <v>47773059</v>
      </c>
      <c r="M1321" s="1">
        <v>44473</v>
      </c>
      <c r="N1321" t="str">
        <f>"EL211004"</f>
        <v>EL211004</v>
      </c>
      <c r="O1321" t="s">
        <v>28</v>
      </c>
      <c r="Q1321" t="s">
        <v>29</v>
      </c>
      <c r="R1321" t="s">
        <v>28</v>
      </c>
      <c r="S1321" t="s">
        <v>5950</v>
      </c>
      <c r="T1321" t="s">
        <v>5951</v>
      </c>
      <c r="U1321" t="s">
        <v>60</v>
      </c>
      <c r="V1321" t="s">
        <v>60</v>
      </c>
      <c r="W1321" t="s">
        <v>219</v>
      </c>
      <c r="X1321" t="s">
        <v>34</v>
      </c>
      <c r="Y1321" t="str">
        <f>"774984634   "</f>
        <v xml:space="preserve">774984634   </v>
      </c>
    </row>
    <row r="1322" spans="1:25" x14ac:dyDescent="0.25">
      <c r="A1322" t="s">
        <v>5952</v>
      </c>
      <c r="B1322" t="s">
        <v>5953</v>
      </c>
      <c r="C1322">
        <v>2020</v>
      </c>
      <c r="D1322">
        <v>8001</v>
      </c>
      <c r="E1322">
        <v>1</v>
      </c>
      <c r="F1322" t="s">
        <v>5954</v>
      </c>
      <c r="G1322">
        <v>29955708</v>
      </c>
      <c r="J1322">
        <v>14.85</v>
      </c>
      <c r="L1322">
        <v>47679392</v>
      </c>
      <c r="M1322" s="1">
        <v>44413</v>
      </c>
      <c r="N1322" t="str">
        <f>"CC210805"</f>
        <v>CC210805</v>
      </c>
      <c r="O1322" t="s">
        <v>28</v>
      </c>
      <c r="Q1322" t="s">
        <v>29</v>
      </c>
      <c r="R1322" t="s">
        <v>28</v>
      </c>
      <c r="S1322" t="s">
        <v>5955</v>
      </c>
      <c r="T1322" t="s">
        <v>5956</v>
      </c>
      <c r="W1322" t="s">
        <v>392</v>
      </c>
      <c r="X1322" t="s">
        <v>34</v>
      </c>
      <c r="Y1322" t="str">
        <f>"77489"</f>
        <v>77489</v>
      </c>
    </row>
    <row r="1323" spans="1:25" x14ac:dyDescent="0.25">
      <c r="A1323" t="s">
        <v>5957</v>
      </c>
      <c r="B1323" t="s">
        <v>5958</v>
      </c>
      <c r="C1323">
        <v>2020</v>
      </c>
      <c r="D1323">
        <v>8001</v>
      </c>
      <c r="E1323">
        <v>1</v>
      </c>
      <c r="F1323" t="s">
        <v>5959</v>
      </c>
      <c r="G1323">
        <v>0</v>
      </c>
      <c r="J1323">
        <v>653.35</v>
      </c>
      <c r="L1323">
        <v>46452288</v>
      </c>
      <c r="M1323" s="1">
        <v>44224</v>
      </c>
      <c r="N1323" t="str">
        <f>"J210128BW15"</f>
        <v>J210128BW15</v>
      </c>
      <c r="O1323" t="s">
        <v>28</v>
      </c>
      <c r="Q1323" t="s">
        <v>29</v>
      </c>
      <c r="R1323" t="s">
        <v>28</v>
      </c>
      <c r="S1323" t="s">
        <v>5959</v>
      </c>
      <c r="T1323" t="s">
        <v>5960</v>
      </c>
      <c r="U1323" t="s">
        <v>60</v>
      </c>
      <c r="V1323" t="s">
        <v>60</v>
      </c>
      <c r="W1323" t="s">
        <v>135</v>
      </c>
      <c r="X1323" t="s">
        <v>34</v>
      </c>
      <c r="Y1323" t="str">
        <f>"770924444   "</f>
        <v xml:space="preserve">770924444   </v>
      </c>
    </row>
    <row r="1324" spans="1:25" x14ac:dyDescent="0.25">
      <c r="A1324" t="s">
        <v>5961</v>
      </c>
      <c r="B1324" t="s">
        <v>5962</v>
      </c>
      <c r="C1324">
        <v>2020</v>
      </c>
      <c r="D1324">
        <v>8001</v>
      </c>
      <c r="E1324">
        <v>2</v>
      </c>
      <c r="F1324" t="s">
        <v>5963</v>
      </c>
      <c r="G1324">
        <v>28692840</v>
      </c>
      <c r="J1324">
        <v>54.39</v>
      </c>
      <c r="L1324">
        <v>47256482</v>
      </c>
      <c r="M1324" s="1">
        <v>44292</v>
      </c>
      <c r="N1324" t="str">
        <f>"RC210414"</f>
        <v>RC210414</v>
      </c>
      <c r="O1324" t="s">
        <v>28</v>
      </c>
      <c r="Q1324" t="s">
        <v>29</v>
      </c>
      <c r="R1324" t="s">
        <v>28</v>
      </c>
      <c r="S1324" t="s">
        <v>1019</v>
      </c>
      <c r="T1324" t="s">
        <v>562</v>
      </c>
      <c r="W1324" t="s">
        <v>563</v>
      </c>
      <c r="X1324" t="s">
        <v>34</v>
      </c>
      <c r="Y1324" t="str">
        <f>"750630156"</f>
        <v>750630156</v>
      </c>
    </row>
    <row r="1325" spans="1:25" x14ac:dyDescent="0.25">
      <c r="A1325" t="s">
        <v>5964</v>
      </c>
      <c r="B1325" t="s">
        <v>5965</v>
      </c>
      <c r="C1325">
        <v>2021</v>
      </c>
      <c r="D1325">
        <v>8001</v>
      </c>
      <c r="E1325">
        <v>1</v>
      </c>
      <c r="F1325" t="s">
        <v>5966</v>
      </c>
      <c r="G1325">
        <v>30262395</v>
      </c>
      <c r="J1325">
        <v>51.69</v>
      </c>
      <c r="L1325">
        <v>48432300</v>
      </c>
      <c r="M1325" s="1">
        <v>44543</v>
      </c>
      <c r="N1325" t="str">
        <f>"O211213U1"</f>
        <v>O211213U1</v>
      </c>
      <c r="O1325" t="s">
        <v>28</v>
      </c>
      <c r="Q1325" t="s">
        <v>29</v>
      </c>
      <c r="R1325" t="s">
        <v>28</v>
      </c>
      <c r="S1325" t="s">
        <v>5967</v>
      </c>
      <c r="T1325" t="s">
        <v>5968</v>
      </c>
      <c r="W1325" t="s">
        <v>5969</v>
      </c>
      <c r="X1325" t="s">
        <v>143</v>
      </c>
      <c r="Y1325" t="str">
        <f>"194284108"</f>
        <v>194284108</v>
      </c>
    </row>
    <row r="1326" spans="1:25" x14ac:dyDescent="0.25">
      <c r="A1326" t="s">
        <v>5970</v>
      </c>
      <c r="B1326" t="s">
        <v>5971</v>
      </c>
      <c r="C1326">
        <v>2020</v>
      </c>
      <c r="D1326">
        <v>8001</v>
      </c>
      <c r="E1326">
        <v>1</v>
      </c>
      <c r="F1326" t="s">
        <v>5972</v>
      </c>
      <c r="G1326">
        <v>29489566</v>
      </c>
      <c r="J1326">
        <v>178.43</v>
      </c>
      <c r="L1326">
        <v>46782266</v>
      </c>
      <c r="M1326" s="1">
        <v>44231</v>
      </c>
      <c r="N1326" t="str">
        <f>"CC210204"</f>
        <v>CC210204</v>
      </c>
      <c r="O1326" t="s">
        <v>28</v>
      </c>
      <c r="Q1326" t="s">
        <v>29</v>
      </c>
      <c r="R1326" t="s">
        <v>28</v>
      </c>
      <c r="S1326" t="s">
        <v>5973</v>
      </c>
      <c r="T1326" t="s">
        <v>5974</v>
      </c>
      <c r="W1326" t="s">
        <v>107</v>
      </c>
      <c r="X1326" t="s">
        <v>34</v>
      </c>
      <c r="Y1326" t="str">
        <f>"77494"</f>
        <v>77494</v>
      </c>
    </row>
    <row r="1327" spans="1:25" x14ac:dyDescent="0.25">
      <c r="A1327" t="s">
        <v>5975</v>
      </c>
      <c r="B1327" t="s">
        <v>5976</v>
      </c>
      <c r="C1327">
        <v>2018</v>
      </c>
      <c r="D1327">
        <v>8001</v>
      </c>
      <c r="E1327">
        <v>1</v>
      </c>
      <c r="F1327" t="s">
        <v>5977</v>
      </c>
      <c r="G1327">
        <v>27306704</v>
      </c>
      <c r="J1327">
        <v>62.39</v>
      </c>
      <c r="L1327">
        <v>41014881</v>
      </c>
      <c r="M1327" s="1">
        <v>43551</v>
      </c>
      <c r="N1327" t="str">
        <f>"O190327AT1"</f>
        <v>O190327AT1</v>
      </c>
      <c r="O1327" t="s">
        <v>28</v>
      </c>
      <c r="Q1327" t="s">
        <v>29</v>
      </c>
      <c r="R1327" t="s">
        <v>28</v>
      </c>
      <c r="S1327" t="s">
        <v>5978</v>
      </c>
      <c r="T1327" t="s">
        <v>5979</v>
      </c>
      <c r="W1327" t="s">
        <v>81</v>
      </c>
      <c r="X1327" t="s">
        <v>34</v>
      </c>
      <c r="Y1327" t="str">
        <f>"774072592"</f>
        <v>774072592</v>
      </c>
    </row>
    <row r="1328" spans="1:25" x14ac:dyDescent="0.25">
      <c r="A1328" t="s">
        <v>5980</v>
      </c>
      <c r="B1328" t="s">
        <v>5981</v>
      </c>
      <c r="C1328">
        <v>2021</v>
      </c>
      <c r="D1328">
        <v>8001</v>
      </c>
      <c r="E1328">
        <v>1</v>
      </c>
      <c r="F1328" t="s">
        <v>5982</v>
      </c>
      <c r="G1328">
        <v>26419208</v>
      </c>
      <c r="J1328">
        <v>204.89</v>
      </c>
      <c r="L1328">
        <v>48274586</v>
      </c>
      <c r="M1328" s="1">
        <v>44532</v>
      </c>
      <c r="N1328" t="str">
        <f>"RC211222"</f>
        <v>RC211222</v>
      </c>
      <c r="O1328" t="s">
        <v>28</v>
      </c>
      <c r="Q1328" t="s">
        <v>29</v>
      </c>
      <c r="R1328" t="s">
        <v>28</v>
      </c>
      <c r="S1328" t="s">
        <v>1073</v>
      </c>
      <c r="T1328" t="s">
        <v>1074</v>
      </c>
      <c r="W1328" t="s">
        <v>1075</v>
      </c>
      <c r="X1328" t="s">
        <v>34</v>
      </c>
      <c r="Y1328" t="str">
        <f>"76177"</f>
        <v>76177</v>
      </c>
    </row>
    <row r="1329" spans="1:25" x14ac:dyDescent="0.25">
      <c r="A1329" t="s">
        <v>5983</v>
      </c>
      <c r="B1329" t="s">
        <v>5984</v>
      </c>
      <c r="C1329">
        <v>2020</v>
      </c>
      <c r="D1329">
        <v>8001</v>
      </c>
      <c r="E1329">
        <v>1</v>
      </c>
      <c r="F1329" t="s">
        <v>5985</v>
      </c>
      <c r="G1329">
        <v>27660911</v>
      </c>
      <c r="J1329">
        <v>539.84</v>
      </c>
      <c r="L1329">
        <v>44861044</v>
      </c>
      <c r="M1329" s="1">
        <v>44148</v>
      </c>
      <c r="N1329" t="str">
        <f>"O201113AB1"</f>
        <v>O201113AB1</v>
      </c>
      <c r="O1329" t="s">
        <v>28</v>
      </c>
      <c r="Q1329" t="s">
        <v>29</v>
      </c>
      <c r="R1329" t="s">
        <v>28</v>
      </c>
      <c r="S1329" t="s">
        <v>775</v>
      </c>
      <c r="T1329" t="s">
        <v>776</v>
      </c>
      <c r="W1329" t="s">
        <v>40</v>
      </c>
      <c r="X1329" t="s">
        <v>34</v>
      </c>
      <c r="Y1329" t="str">
        <f>"77478"</f>
        <v>77478</v>
      </c>
    </row>
    <row r="1330" spans="1:25" x14ac:dyDescent="0.25">
      <c r="A1330" t="s">
        <v>5986</v>
      </c>
      <c r="B1330" t="s">
        <v>5987</v>
      </c>
      <c r="C1330">
        <v>2021</v>
      </c>
      <c r="D1330">
        <v>8001</v>
      </c>
      <c r="E1330">
        <v>2</v>
      </c>
      <c r="F1330" t="s">
        <v>5988</v>
      </c>
      <c r="G1330">
        <v>31106416</v>
      </c>
      <c r="J1330">
        <v>240.35</v>
      </c>
      <c r="L1330">
        <v>49935228</v>
      </c>
      <c r="M1330" s="1">
        <v>44594</v>
      </c>
      <c r="N1330" t="str">
        <f>"RC220307"</f>
        <v>RC220307</v>
      </c>
      <c r="O1330" t="s">
        <v>28</v>
      </c>
      <c r="Q1330" t="s">
        <v>29</v>
      </c>
      <c r="R1330" t="s">
        <v>28</v>
      </c>
      <c r="S1330" t="s">
        <v>5989</v>
      </c>
      <c r="T1330" t="s">
        <v>5990</v>
      </c>
      <c r="U1330" t="s">
        <v>5991</v>
      </c>
      <c r="V1330" t="s">
        <v>1202</v>
      </c>
      <c r="W1330" t="s">
        <v>40</v>
      </c>
      <c r="X1330" t="s">
        <v>34</v>
      </c>
      <c r="Y1330" t="str">
        <f>"774794875"</f>
        <v>774794875</v>
      </c>
    </row>
    <row r="1331" spans="1:25" x14ac:dyDescent="0.25">
      <c r="A1331" t="s">
        <v>5992</v>
      </c>
      <c r="B1331" t="s">
        <v>5993</v>
      </c>
      <c r="C1331">
        <v>2019</v>
      </c>
      <c r="D1331">
        <v>8001</v>
      </c>
      <c r="E1331">
        <v>4</v>
      </c>
      <c r="F1331" t="s">
        <v>5994</v>
      </c>
      <c r="G1331">
        <v>28263342</v>
      </c>
      <c r="J1331">
        <v>30</v>
      </c>
      <c r="L1331">
        <v>43795291</v>
      </c>
      <c r="M1331" s="1">
        <v>43886</v>
      </c>
      <c r="N1331" t="str">
        <f>"O200225O6"</f>
        <v>O200225O6</v>
      </c>
      <c r="O1331" t="s">
        <v>28</v>
      </c>
      <c r="Q1331" t="s">
        <v>29</v>
      </c>
      <c r="R1331" t="s">
        <v>28</v>
      </c>
      <c r="S1331" t="s">
        <v>5995</v>
      </c>
      <c r="T1331" t="s">
        <v>5996</v>
      </c>
      <c r="W1331" t="s">
        <v>40</v>
      </c>
      <c r="X1331" t="s">
        <v>34</v>
      </c>
      <c r="Y1331" t="str">
        <f>"774987073"</f>
        <v>774987073</v>
      </c>
    </row>
    <row r="1332" spans="1:25" x14ac:dyDescent="0.25">
      <c r="A1332" t="s">
        <v>5997</v>
      </c>
      <c r="B1332" t="s">
        <v>5998</v>
      </c>
      <c r="C1332">
        <v>2020</v>
      </c>
      <c r="D1332">
        <v>8001</v>
      </c>
      <c r="E1332">
        <v>1</v>
      </c>
      <c r="F1332" t="s">
        <v>5999</v>
      </c>
      <c r="G1332">
        <v>28794716</v>
      </c>
      <c r="J1332" s="2">
        <v>2390.42</v>
      </c>
      <c r="L1332">
        <v>44930605</v>
      </c>
      <c r="M1332" s="1">
        <v>44154</v>
      </c>
      <c r="N1332" t="str">
        <f>"O201119BD1"</f>
        <v>O201119BD1</v>
      </c>
      <c r="O1332" t="s">
        <v>28</v>
      </c>
      <c r="Q1332" t="s">
        <v>29</v>
      </c>
      <c r="R1332" t="s">
        <v>28</v>
      </c>
      <c r="S1332" t="s">
        <v>1234</v>
      </c>
      <c r="T1332" t="s">
        <v>1235</v>
      </c>
      <c r="W1332" t="s">
        <v>910</v>
      </c>
      <c r="X1332" t="s">
        <v>34</v>
      </c>
      <c r="Y1332" t="str">
        <f>"782052329"</f>
        <v>782052329</v>
      </c>
    </row>
    <row r="1333" spans="1:25" x14ac:dyDescent="0.25">
      <c r="A1333" t="s">
        <v>6000</v>
      </c>
      <c r="B1333" t="s">
        <v>6001</v>
      </c>
      <c r="C1333">
        <v>2020</v>
      </c>
      <c r="D1333">
        <v>8001</v>
      </c>
      <c r="E1333">
        <v>3</v>
      </c>
      <c r="F1333" t="s">
        <v>6002</v>
      </c>
      <c r="G1333">
        <v>21055413</v>
      </c>
      <c r="J1333">
        <v>21.3</v>
      </c>
      <c r="L1333">
        <v>47468949</v>
      </c>
      <c r="M1333" s="1">
        <v>44348</v>
      </c>
      <c r="N1333" t="str">
        <f>"O210601BV6"</f>
        <v>O210601BV6</v>
      </c>
      <c r="O1333" t="s">
        <v>28</v>
      </c>
      <c r="Q1333" t="s">
        <v>29</v>
      </c>
      <c r="R1333" t="s">
        <v>28</v>
      </c>
      <c r="S1333" t="s">
        <v>6003</v>
      </c>
      <c r="T1333" t="s">
        <v>2997</v>
      </c>
      <c r="W1333" t="s">
        <v>75</v>
      </c>
      <c r="X1333" t="s">
        <v>34</v>
      </c>
      <c r="Y1333" t="str">
        <f>"770563204"</f>
        <v>770563204</v>
      </c>
    </row>
    <row r="1334" spans="1:25" x14ac:dyDescent="0.25">
      <c r="A1334" t="s">
        <v>6004</v>
      </c>
      <c r="B1334" t="s">
        <v>6005</v>
      </c>
      <c r="C1334">
        <v>2020</v>
      </c>
      <c r="D1334">
        <v>8001</v>
      </c>
      <c r="E1334">
        <v>2</v>
      </c>
      <c r="F1334" t="s">
        <v>6006</v>
      </c>
      <c r="G1334">
        <v>29955715</v>
      </c>
      <c r="J1334">
        <v>30.22</v>
      </c>
      <c r="L1334">
        <v>47679399</v>
      </c>
      <c r="M1334" s="1">
        <v>44413</v>
      </c>
      <c r="N1334" t="str">
        <f>"CC210805"</f>
        <v>CC210805</v>
      </c>
      <c r="O1334" t="s">
        <v>28</v>
      </c>
      <c r="Q1334" t="s">
        <v>29</v>
      </c>
      <c r="R1334" t="s">
        <v>28</v>
      </c>
      <c r="S1334" t="s">
        <v>6007</v>
      </c>
      <c r="T1334" t="s">
        <v>6008</v>
      </c>
      <c r="W1334" t="s">
        <v>392</v>
      </c>
      <c r="X1334" t="s">
        <v>34</v>
      </c>
      <c r="Y1334" t="str">
        <f>"77459"</f>
        <v>77459</v>
      </c>
    </row>
    <row r="1335" spans="1:25" x14ac:dyDescent="0.25">
      <c r="A1335" t="s">
        <v>6009</v>
      </c>
      <c r="B1335" t="s">
        <v>6010</v>
      </c>
      <c r="C1335">
        <v>2019</v>
      </c>
      <c r="D1335">
        <v>8001</v>
      </c>
      <c r="E1335">
        <v>6</v>
      </c>
      <c r="F1335" t="s">
        <v>6011</v>
      </c>
      <c r="G1335">
        <v>0</v>
      </c>
      <c r="J1335">
        <v>40</v>
      </c>
      <c r="L1335">
        <v>42803426</v>
      </c>
      <c r="M1335" s="1">
        <v>43840</v>
      </c>
      <c r="N1335" t="str">
        <f>"L200110"</f>
        <v>L200110</v>
      </c>
      <c r="O1335" t="s">
        <v>28</v>
      </c>
      <c r="Q1335" t="s">
        <v>29</v>
      </c>
      <c r="R1335" t="s">
        <v>28</v>
      </c>
      <c r="S1335" t="s">
        <v>6011</v>
      </c>
      <c r="T1335" t="s">
        <v>6012</v>
      </c>
      <c r="U1335" t="s">
        <v>60</v>
      </c>
      <c r="V1335" t="s">
        <v>60</v>
      </c>
      <c r="W1335" t="s">
        <v>219</v>
      </c>
      <c r="X1335" t="s">
        <v>34</v>
      </c>
      <c r="Y1335" t="str">
        <f>"774968442   "</f>
        <v xml:space="preserve">774968442   </v>
      </c>
    </row>
    <row r="1336" spans="1:25" x14ac:dyDescent="0.25">
      <c r="A1336" t="s">
        <v>6013</v>
      </c>
      <c r="B1336" t="s">
        <v>6014</v>
      </c>
      <c r="C1336">
        <v>2020</v>
      </c>
      <c r="D1336">
        <v>8001</v>
      </c>
      <c r="E1336">
        <v>1</v>
      </c>
      <c r="F1336" t="s">
        <v>6015</v>
      </c>
      <c r="G1336">
        <v>0</v>
      </c>
      <c r="J1336">
        <v>669.25</v>
      </c>
      <c r="L1336">
        <v>46880569</v>
      </c>
      <c r="M1336" s="1">
        <v>44236</v>
      </c>
      <c r="N1336" t="str">
        <f>"J210209K5"</f>
        <v>J210209K5</v>
      </c>
      <c r="O1336" t="s">
        <v>28</v>
      </c>
      <c r="Q1336" t="s">
        <v>29</v>
      </c>
      <c r="R1336" t="s">
        <v>28</v>
      </c>
      <c r="S1336" t="s">
        <v>6015</v>
      </c>
      <c r="T1336" t="s">
        <v>6016</v>
      </c>
      <c r="U1336" t="s">
        <v>60</v>
      </c>
      <c r="V1336" t="s">
        <v>60</v>
      </c>
      <c r="W1336" t="s">
        <v>1137</v>
      </c>
      <c r="X1336" t="s">
        <v>34</v>
      </c>
      <c r="Y1336" t="str">
        <f>"774943298   "</f>
        <v xml:space="preserve">774943298   </v>
      </c>
    </row>
    <row r="1337" spans="1:25" x14ac:dyDescent="0.25">
      <c r="A1337" t="s">
        <v>6017</v>
      </c>
      <c r="B1337" t="s">
        <v>6018</v>
      </c>
      <c r="C1337">
        <v>2019</v>
      </c>
      <c r="D1337">
        <v>8001</v>
      </c>
      <c r="E1337">
        <v>2</v>
      </c>
      <c r="F1337" t="s">
        <v>6019</v>
      </c>
      <c r="G1337">
        <v>25035459</v>
      </c>
      <c r="J1337">
        <v>73.62</v>
      </c>
      <c r="L1337">
        <v>44580836</v>
      </c>
      <c r="M1337" s="1">
        <v>44110</v>
      </c>
      <c r="N1337" t="str">
        <f>"O201006AB1"</f>
        <v>O201006AB1</v>
      </c>
      <c r="O1337" t="s">
        <v>28</v>
      </c>
      <c r="Q1337" t="s">
        <v>29</v>
      </c>
      <c r="R1337" t="s">
        <v>28</v>
      </c>
      <c r="S1337" t="s">
        <v>1454</v>
      </c>
      <c r="T1337" t="s">
        <v>2653</v>
      </c>
      <c r="U1337" t="s">
        <v>2654</v>
      </c>
      <c r="W1337" t="s">
        <v>1456</v>
      </c>
      <c r="X1337" t="s">
        <v>1457</v>
      </c>
      <c r="Y1337" t="str">
        <f>"234504968"</f>
        <v>234504968</v>
      </c>
    </row>
    <row r="1338" spans="1:25" x14ac:dyDescent="0.25">
      <c r="A1338" t="s">
        <v>6020</v>
      </c>
      <c r="B1338" t="s">
        <v>6021</v>
      </c>
      <c r="C1338">
        <v>2019</v>
      </c>
      <c r="D1338">
        <v>8001</v>
      </c>
      <c r="E1338">
        <v>1</v>
      </c>
      <c r="F1338" t="s">
        <v>6022</v>
      </c>
      <c r="G1338">
        <v>27434323</v>
      </c>
      <c r="J1338">
        <v>47.37</v>
      </c>
      <c r="L1338">
        <v>44267964</v>
      </c>
      <c r="M1338" s="1">
        <v>43985</v>
      </c>
      <c r="N1338" t="str">
        <f>"J200603AW5"</f>
        <v>J200603AW5</v>
      </c>
      <c r="O1338" t="s">
        <v>28</v>
      </c>
      <c r="Q1338" t="s">
        <v>29</v>
      </c>
      <c r="R1338" t="s">
        <v>28</v>
      </c>
      <c r="S1338" t="s">
        <v>1326</v>
      </c>
      <c r="T1338" t="s">
        <v>1327</v>
      </c>
      <c r="W1338" t="s">
        <v>1328</v>
      </c>
      <c r="X1338" t="s">
        <v>162</v>
      </c>
      <c r="Y1338" t="str">
        <f>"080541210"</f>
        <v>080541210</v>
      </c>
    </row>
    <row r="1339" spans="1:25" x14ac:dyDescent="0.25">
      <c r="A1339" t="s">
        <v>6023</v>
      </c>
      <c r="B1339" t="s">
        <v>6024</v>
      </c>
      <c r="C1339">
        <v>2021</v>
      </c>
      <c r="D1339">
        <v>8001</v>
      </c>
      <c r="E1339">
        <v>1</v>
      </c>
      <c r="F1339" t="s">
        <v>6025</v>
      </c>
      <c r="G1339">
        <v>26750162</v>
      </c>
      <c r="J1339">
        <v>88.27</v>
      </c>
      <c r="L1339">
        <v>50008591</v>
      </c>
      <c r="M1339" s="1">
        <v>44596</v>
      </c>
      <c r="N1339" t="str">
        <f>"RC220309"</f>
        <v>RC220309</v>
      </c>
      <c r="O1339" t="s">
        <v>28</v>
      </c>
      <c r="Q1339" t="s">
        <v>29</v>
      </c>
      <c r="R1339" t="s">
        <v>28</v>
      </c>
      <c r="S1339" t="s">
        <v>363</v>
      </c>
      <c r="T1339" t="s">
        <v>6026</v>
      </c>
      <c r="W1339" t="s">
        <v>75</v>
      </c>
      <c r="X1339" t="s">
        <v>34</v>
      </c>
      <c r="Y1339" t="str">
        <f>"770403250"</f>
        <v>770403250</v>
      </c>
    </row>
    <row r="1340" spans="1:25" x14ac:dyDescent="0.25">
      <c r="A1340" t="s">
        <v>6027</v>
      </c>
      <c r="B1340" t="s">
        <v>6028</v>
      </c>
      <c r="C1340">
        <v>2021</v>
      </c>
      <c r="D1340">
        <v>8001</v>
      </c>
      <c r="E1340">
        <v>2</v>
      </c>
      <c r="F1340" t="s">
        <v>6029</v>
      </c>
      <c r="G1340">
        <v>25250696</v>
      </c>
      <c r="J1340">
        <v>9.16</v>
      </c>
      <c r="L1340">
        <v>50073571</v>
      </c>
      <c r="M1340" s="1">
        <v>44600</v>
      </c>
      <c r="N1340" t="str">
        <f>"O220208BR1"</f>
        <v>O220208BR1</v>
      </c>
      <c r="O1340" t="s">
        <v>28</v>
      </c>
      <c r="Q1340" t="s">
        <v>29</v>
      </c>
      <c r="R1340" t="s">
        <v>28</v>
      </c>
      <c r="S1340" t="s">
        <v>6030</v>
      </c>
      <c r="T1340" t="s">
        <v>6031</v>
      </c>
      <c r="W1340" t="s">
        <v>75</v>
      </c>
      <c r="X1340" t="s">
        <v>34</v>
      </c>
      <c r="Y1340" t="str">
        <f>"770403229"</f>
        <v>770403229</v>
      </c>
    </row>
    <row r="1341" spans="1:25" x14ac:dyDescent="0.25">
      <c r="A1341" t="s">
        <v>6032</v>
      </c>
      <c r="B1341" t="s">
        <v>6033</v>
      </c>
      <c r="C1341">
        <v>2019</v>
      </c>
      <c r="D1341">
        <v>8001</v>
      </c>
      <c r="E1341">
        <v>1</v>
      </c>
      <c r="F1341" t="s">
        <v>6034</v>
      </c>
      <c r="G1341">
        <v>27672948</v>
      </c>
      <c r="J1341">
        <v>372</v>
      </c>
      <c r="L1341">
        <v>42037838</v>
      </c>
      <c r="M1341" s="1">
        <v>43796</v>
      </c>
      <c r="N1341" t="str">
        <f>"J191127K10"</f>
        <v>J191127K10</v>
      </c>
      <c r="O1341" t="s">
        <v>28</v>
      </c>
      <c r="Q1341" t="s">
        <v>29</v>
      </c>
      <c r="R1341" t="s">
        <v>28</v>
      </c>
      <c r="S1341" t="s">
        <v>5511</v>
      </c>
      <c r="T1341" t="s">
        <v>5512</v>
      </c>
      <c r="U1341" t="s">
        <v>5513</v>
      </c>
      <c r="W1341" t="s">
        <v>75</v>
      </c>
      <c r="X1341" t="s">
        <v>34</v>
      </c>
      <c r="Y1341" t="str">
        <f>"77067"</f>
        <v>77067</v>
      </c>
    </row>
    <row r="1342" spans="1:25" x14ac:dyDescent="0.25">
      <c r="A1342" t="s">
        <v>6035</v>
      </c>
      <c r="B1342" t="s">
        <v>6036</v>
      </c>
      <c r="C1342">
        <v>2020</v>
      </c>
      <c r="D1342">
        <v>8001</v>
      </c>
      <c r="E1342">
        <v>2</v>
      </c>
      <c r="F1342" t="s">
        <v>6037</v>
      </c>
      <c r="G1342">
        <v>28692840</v>
      </c>
      <c r="J1342">
        <v>105.91</v>
      </c>
      <c r="L1342">
        <v>47256488</v>
      </c>
      <c r="M1342" s="1">
        <v>44292</v>
      </c>
      <c r="N1342" t="str">
        <f>"RC210414"</f>
        <v>RC210414</v>
      </c>
      <c r="O1342" t="s">
        <v>28</v>
      </c>
      <c r="Q1342" t="s">
        <v>29</v>
      </c>
      <c r="R1342" t="s">
        <v>28</v>
      </c>
      <c r="S1342" t="s">
        <v>1019</v>
      </c>
      <c r="T1342" t="s">
        <v>562</v>
      </c>
      <c r="W1342" t="s">
        <v>563</v>
      </c>
      <c r="X1342" t="s">
        <v>34</v>
      </c>
      <c r="Y1342" t="str">
        <f>"750630156"</f>
        <v>750630156</v>
      </c>
    </row>
    <row r="1343" spans="1:25" x14ac:dyDescent="0.25">
      <c r="A1343" t="s">
        <v>6038</v>
      </c>
      <c r="B1343" t="s">
        <v>6039</v>
      </c>
      <c r="C1343">
        <v>2020</v>
      </c>
      <c r="D1343">
        <v>8001</v>
      </c>
      <c r="E1343">
        <v>1</v>
      </c>
      <c r="F1343" t="s">
        <v>6040</v>
      </c>
      <c r="G1343">
        <v>26290936</v>
      </c>
      <c r="J1343">
        <v>288.39</v>
      </c>
      <c r="L1343">
        <v>47078228</v>
      </c>
      <c r="M1343" s="1">
        <v>44266</v>
      </c>
      <c r="N1343" t="str">
        <f>"RC210317"</f>
        <v>RC210317</v>
      </c>
      <c r="O1343" t="s">
        <v>28</v>
      </c>
      <c r="Q1343" t="s">
        <v>29</v>
      </c>
      <c r="R1343" t="s">
        <v>28</v>
      </c>
      <c r="S1343" t="s">
        <v>6041</v>
      </c>
      <c r="T1343" t="s">
        <v>6042</v>
      </c>
      <c r="W1343" t="s">
        <v>6043</v>
      </c>
      <c r="X1343" t="s">
        <v>1831</v>
      </c>
      <c r="Y1343" t="str">
        <f>"10022"</f>
        <v>10022</v>
      </c>
    </row>
    <row r="1344" spans="1:25" x14ac:dyDescent="0.25">
      <c r="A1344" t="s">
        <v>6044</v>
      </c>
      <c r="B1344" t="s">
        <v>6045</v>
      </c>
      <c r="C1344">
        <v>2019</v>
      </c>
      <c r="D1344">
        <v>8001</v>
      </c>
      <c r="E1344">
        <v>1</v>
      </c>
      <c r="F1344" t="s">
        <v>6046</v>
      </c>
      <c r="G1344">
        <v>0</v>
      </c>
      <c r="J1344">
        <v>67.36</v>
      </c>
      <c r="L1344">
        <v>44530634</v>
      </c>
      <c r="M1344" s="1">
        <v>44082</v>
      </c>
      <c r="N1344" t="str">
        <f>"J200908K2"</f>
        <v>J200908K2</v>
      </c>
      <c r="O1344" t="s">
        <v>28</v>
      </c>
      <c r="Q1344" t="s">
        <v>29</v>
      </c>
      <c r="R1344" t="s">
        <v>28</v>
      </c>
      <c r="S1344" t="s">
        <v>6046</v>
      </c>
      <c r="T1344" t="s">
        <v>6047</v>
      </c>
      <c r="U1344" t="s">
        <v>60</v>
      </c>
      <c r="V1344" t="s">
        <v>60</v>
      </c>
      <c r="W1344" t="s">
        <v>6048</v>
      </c>
      <c r="X1344" t="s">
        <v>34</v>
      </c>
      <c r="Y1344" t="str">
        <f>"779543021   "</f>
        <v xml:space="preserve">779543021   </v>
      </c>
    </row>
    <row r="1345" spans="1:25" x14ac:dyDescent="0.25">
      <c r="A1345" t="s">
        <v>6049</v>
      </c>
      <c r="B1345" t="s">
        <v>6050</v>
      </c>
      <c r="C1345">
        <v>2019</v>
      </c>
      <c r="D1345">
        <v>8001</v>
      </c>
      <c r="E1345">
        <v>1</v>
      </c>
      <c r="F1345" t="s">
        <v>6051</v>
      </c>
      <c r="G1345">
        <v>27782321</v>
      </c>
      <c r="J1345">
        <v>28.98</v>
      </c>
      <c r="L1345">
        <v>42406467</v>
      </c>
      <c r="M1345" s="1">
        <v>43825</v>
      </c>
      <c r="N1345" t="str">
        <f>"O191226M1"</f>
        <v>O191226M1</v>
      </c>
      <c r="O1345" t="s">
        <v>28</v>
      </c>
      <c r="Q1345" t="s">
        <v>29</v>
      </c>
      <c r="R1345" t="s">
        <v>28</v>
      </c>
      <c r="S1345" t="s">
        <v>6052</v>
      </c>
      <c r="T1345" t="s">
        <v>6051</v>
      </c>
      <c r="U1345" t="s">
        <v>6053</v>
      </c>
      <c r="W1345" t="s">
        <v>75</v>
      </c>
      <c r="X1345" t="s">
        <v>34</v>
      </c>
      <c r="Y1345" t="str">
        <f>"770836288"</f>
        <v>770836288</v>
      </c>
    </row>
    <row r="1346" spans="1:25" x14ac:dyDescent="0.25">
      <c r="A1346" t="s">
        <v>6054</v>
      </c>
      <c r="B1346" t="s">
        <v>6055</v>
      </c>
      <c r="C1346">
        <v>2019</v>
      </c>
      <c r="D1346">
        <v>8001</v>
      </c>
      <c r="E1346">
        <v>1</v>
      </c>
      <c r="F1346" t="s">
        <v>6056</v>
      </c>
      <c r="G1346">
        <v>28229010</v>
      </c>
      <c r="J1346">
        <v>211.25</v>
      </c>
      <c r="L1346">
        <v>43719954</v>
      </c>
      <c r="M1346" s="1">
        <v>43873</v>
      </c>
      <c r="N1346" t="str">
        <f>"J200212AW8"</f>
        <v>J200212AW8</v>
      </c>
      <c r="O1346" t="s">
        <v>28</v>
      </c>
      <c r="Q1346" t="s">
        <v>29</v>
      </c>
      <c r="R1346" t="s">
        <v>28</v>
      </c>
      <c r="S1346" t="s">
        <v>6057</v>
      </c>
      <c r="T1346" t="s">
        <v>6058</v>
      </c>
      <c r="W1346" t="s">
        <v>6059</v>
      </c>
      <c r="X1346" t="s">
        <v>2175</v>
      </c>
      <c r="Y1346" t="str">
        <f>"27560"</f>
        <v>27560</v>
      </c>
    </row>
    <row r="1347" spans="1:25" x14ac:dyDescent="0.25">
      <c r="A1347" t="s">
        <v>6060</v>
      </c>
      <c r="B1347" t="s">
        <v>6061</v>
      </c>
      <c r="C1347">
        <v>2019</v>
      </c>
      <c r="D1347">
        <v>8001</v>
      </c>
      <c r="E1347">
        <v>1</v>
      </c>
      <c r="F1347" t="s">
        <v>6062</v>
      </c>
      <c r="G1347">
        <v>28567480</v>
      </c>
      <c r="J1347">
        <v>58.96</v>
      </c>
      <c r="L1347">
        <v>44383068</v>
      </c>
      <c r="M1347" s="1">
        <v>44021</v>
      </c>
      <c r="N1347" t="str">
        <f>"J200709U7"</f>
        <v>J200709U7</v>
      </c>
      <c r="O1347" t="s">
        <v>28</v>
      </c>
      <c r="Q1347" t="s">
        <v>29</v>
      </c>
      <c r="R1347" t="s">
        <v>28</v>
      </c>
      <c r="S1347" t="s">
        <v>6063</v>
      </c>
      <c r="T1347" t="s">
        <v>6062</v>
      </c>
      <c r="U1347" t="s">
        <v>6064</v>
      </c>
      <c r="V1347" t="s">
        <v>6065</v>
      </c>
      <c r="W1347" t="s">
        <v>75</v>
      </c>
      <c r="X1347" t="s">
        <v>34</v>
      </c>
      <c r="Y1347" t="str">
        <f>"770928891"</f>
        <v>770928891</v>
      </c>
    </row>
    <row r="1348" spans="1:25" x14ac:dyDescent="0.25">
      <c r="A1348" t="s">
        <v>6066</v>
      </c>
      <c r="B1348" t="s">
        <v>6067</v>
      </c>
      <c r="C1348">
        <v>2020</v>
      </c>
      <c r="D1348">
        <v>8001</v>
      </c>
      <c r="E1348">
        <v>1</v>
      </c>
      <c r="F1348" t="s">
        <v>6068</v>
      </c>
      <c r="G1348">
        <v>29604545</v>
      </c>
      <c r="J1348">
        <v>119.14</v>
      </c>
      <c r="L1348">
        <v>47034727</v>
      </c>
      <c r="M1348" s="1">
        <v>44259</v>
      </c>
      <c r="N1348" t="str">
        <f>"CC210304"</f>
        <v>CC210304</v>
      </c>
      <c r="O1348" t="s">
        <v>28</v>
      </c>
      <c r="Q1348" t="s">
        <v>29</v>
      </c>
      <c r="R1348" t="s">
        <v>28</v>
      </c>
      <c r="S1348" t="s">
        <v>6069</v>
      </c>
      <c r="T1348" t="s">
        <v>6070</v>
      </c>
      <c r="W1348" t="s">
        <v>107</v>
      </c>
      <c r="X1348" t="s">
        <v>34</v>
      </c>
      <c r="Y1348" t="str">
        <f>"77494"</f>
        <v>77494</v>
      </c>
    </row>
    <row r="1349" spans="1:25" x14ac:dyDescent="0.25">
      <c r="A1349" t="s">
        <v>6071</v>
      </c>
      <c r="B1349" t="s">
        <v>6072</v>
      </c>
      <c r="C1349">
        <v>2020</v>
      </c>
      <c r="D1349">
        <v>8001</v>
      </c>
      <c r="E1349">
        <v>1</v>
      </c>
      <c r="F1349" t="s">
        <v>6073</v>
      </c>
      <c r="G1349">
        <v>29489540</v>
      </c>
      <c r="J1349">
        <v>78.16</v>
      </c>
      <c r="L1349">
        <v>46782239</v>
      </c>
      <c r="M1349" s="1">
        <v>44231</v>
      </c>
      <c r="N1349" t="str">
        <f>"CC210204"</f>
        <v>CC210204</v>
      </c>
      <c r="O1349" t="s">
        <v>28</v>
      </c>
      <c r="Q1349" t="s">
        <v>29</v>
      </c>
      <c r="R1349" t="s">
        <v>28</v>
      </c>
      <c r="S1349" t="s">
        <v>6074</v>
      </c>
      <c r="T1349" t="s">
        <v>6075</v>
      </c>
      <c r="W1349" t="s">
        <v>75</v>
      </c>
      <c r="X1349" t="s">
        <v>34</v>
      </c>
      <c r="Y1349" t="str">
        <f>"77042"</f>
        <v>77042</v>
      </c>
    </row>
    <row r="1350" spans="1:25" x14ac:dyDescent="0.25">
      <c r="A1350" t="s">
        <v>6076</v>
      </c>
      <c r="B1350" t="s">
        <v>6077</v>
      </c>
      <c r="C1350">
        <v>2018</v>
      </c>
      <c r="D1350">
        <v>8001</v>
      </c>
      <c r="E1350">
        <v>1</v>
      </c>
      <c r="F1350" t="s">
        <v>6078</v>
      </c>
      <c r="G1350">
        <v>0</v>
      </c>
      <c r="J1350">
        <v>35.549999999999997</v>
      </c>
      <c r="L1350">
        <v>41086969</v>
      </c>
      <c r="M1350" s="1">
        <v>43564</v>
      </c>
      <c r="N1350" t="str">
        <f>"J190409AW2"</f>
        <v>J190409AW2</v>
      </c>
      <c r="O1350" t="s">
        <v>28</v>
      </c>
      <c r="Q1350" t="s">
        <v>29</v>
      </c>
      <c r="R1350" t="s">
        <v>28</v>
      </c>
      <c r="S1350" t="s">
        <v>6078</v>
      </c>
      <c r="T1350" t="s">
        <v>6079</v>
      </c>
      <c r="U1350" t="s">
        <v>6080</v>
      </c>
      <c r="V1350" t="s">
        <v>60</v>
      </c>
      <c r="W1350" t="s">
        <v>376</v>
      </c>
      <c r="X1350" t="s">
        <v>34</v>
      </c>
      <c r="Y1350" t="str">
        <f>"774772904   "</f>
        <v xml:space="preserve">774772904   </v>
      </c>
    </row>
    <row r="1351" spans="1:25" x14ac:dyDescent="0.25">
      <c r="A1351" t="s">
        <v>6076</v>
      </c>
      <c r="B1351" t="s">
        <v>6077</v>
      </c>
      <c r="C1351">
        <v>2019</v>
      </c>
      <c r="D1351">
        <v>8001</v>
      </c>
      <c r="E1351">
        <v>1</v>
      </c>
      <c r="F1351" t="s">
        <v>6078</v>
      </c>
      <c r="G1351">
        <v>0</v>
      </c>
      <c r="J1351">
        <v>46.37</v>
      </c>
      <c r="L1351">
        <v>43579571</v>
      </c>
      <c r="M1351" s="1">
        <v>43865</v>
      </c>
      <c r="N1351" t="str">
        <f>"J200204AW18"</f>
        <v>J200204AW18</v>
      </c>
      <c r="O1351" t="s">
        <v>28</v>
      </c>
      <c r="Q1351" t="s">
        <v>29</v>
      </c>
      <c r="R1351" t="s">
        <v>28</v>
      </c>
      <c r="S1351" t="s">
        <v>6078</v>
      </c>
      <c r="T1351" t="s">
        <v>6079</v>
      </c>
      <c r="U1351" t="s">
        <v>6080</v>
      </c>
      <c r="V1351" t="s">
        <v>60</v>
      </c>
      <c r="W1351" t="s">
        <v>376</v>
      </c>
      <c r="X1351" t="s">
        <v>34</v>
      </c>
      <c r="Y1351" t="str">
        <f>"774772904   "</f>
        <v xml:space="preserve">774772904   </v>
      </c>
    </row>
    <row r="1352" spans="1:25" x14ac:dyDescent="0.25">
      <c r="A1352" t="s">
        <v>6081</v>
      </c>
      <c r="B1352" t="s">
        <v>6082</v>
      </c>
      <c r="C1352">
        <v>2018</v>
      </c>
      <c r="D1352">
        <v>8001</v>
      </c>
      <c r="E1352">
        <v>3</v>
      </c>
      <c r="F1352" t="s">
        <v>6083</v>
      </c>
      <c r="G1352">
        <v>27387206</v>
      </c>
      <c r="J1352">
        <v>19.239999999999998</v>
      </c>
      <c r="L1352">
        <v>41184624</v>
      </c>
      <c r="M1352" s="1">
        <v>43594</v>
      </c>
      <c r="N1352" t="str">
        <f>"O190509F1"</f>
        <v>O190509F1</v>
      </c>
      <c r="O1352" t="s">
        <v>28</v>
      </c>
      <c r="Q1352" t="s">
        <v>29</v>
      </c>
      <c r="R1352" t="s">
        <v>28</v>
      </c>
      <c r="S1352" t="s">
        <v>6084</v>
      </c>
      <c r="T1352" t="s">
        <v>6085</v>
      </c>
      <c r="W1352" t="s">
        <v>107</v>
      </c>
      <c r="X1352" t="s">
        <v>34</v>
      </c>
      <c r="Y1352" t="str">
        <f>"774947861"</f>
        <v>774947861</v>
      </c>
    </row>
    <row r="1353" spans="1:25" x14ac:dyDescent="0.25">
      <c r="A1353" t="s">
        <v>6081</v>
      </c>
      <c r="B1353" t="s">
        <v>6082</v>
      </c>
      <c r="C1353">
        <v>2020</v>
      </c>
      <c r="D1353">
        <v>8001</v>
      </c>
      <c r="E1353">
        <v>3</v>
      </c>
      <c r="F1353" t="s">
        <v>6084</v>
      </c>
      <c r="G1353">
        <v>29489467</v>
      </c>
      <c r="J1353">
        <v>10.29</v>
      </c>
      <c r="L1353">
        <v>46782166</v>
      </c>
      <c r="M1353" s="1">
        <v>44231</v>
      </c>
      <c r="N1353" t="str">
        <f>"CC210204"</f>
        <v>CC210204</v>
      </c>
      <c r="O1353" t="s">
        <v>28</v>
      </c>
      <c r="Q1353" t="s">
        <v>29</v>
      </c>
      <c r="R1353" t="s">
        <v>28</v>
      </c>
      <c r="S1353" t="s">
        <v>6086</v>
      </c>
      <c r="T1353" t="s">
        <v>6087</v>
      </c>
      <c r="W1353" t="s">
        <v>107</v>
      </c>
      <c r="X1353" t="s">
        <v>34</v>
      </c>
      <c r="Y1353" t="str">
        <f>"77494"</f>
        <v>77494</v>
      </c>
    </row>
    <row r="1354" spans="1:25" x14ac:dyDescent="0.25">
      <c r="A1354" t="s">
        <v>6088</v>
      </c>
      <c r="B1354" t="s">
        <v>6089</v>
      </c>
      <c r="C1354">
        <v>2021</v>
      </c>
      <c r="D1354">
        <v>8001</v>
      </c>
      <c r="E1354">
        <v>3</v>
      </c>
      <c r="F1354" t="s">
        <v>6090</v>
      </c>
      <c r="G1354">
        <v>0</v>
      </c>
      <c r="J1354">
        <v>419.93</v>
      </c>
      <c r="L1354">
        <v>48964416</v>
      </c>
      <c r="M1354" s="1">
        <v>44567</v>
      </c>
      <c r="N1354" t="str">
        <f>"J220106BW4"</f>
        <v>J220106BW4</v>
      </c>
      <c r="O1354" t="s">
        <v>28</v>
      </c>
      <c r="Q1354" t="s">
        <v>29</v>
      </c>
      <c r="R1354" t="s">
        <v>28</v>
      </c>
      <c r="S1354" t="s">
        <v>6090</v>
      </c>
      <c r="T1354" t="s">
        <v>6091</v>
      </c>
      <c r="U1354" t="s">
        <v>60</v>
      </c>
      <c r="V1354" t="s">
        <v>60</v>
      </c>
      <c r="W1354" t="s">
        <v>6092</v>
      </c>
      <c r="X1354" t="s">
        <v>6093</v>
      </c>
      <c r="Y1354" t="str">
        <f>"028181555   "</f>
        <v xml:space="preserve">028181555   </v>
      </c>
    </row>
    <row r="1355" spans="1:25" x14ac:dyDescent="0.25">
      <c r="A1355" t="s">
        <v>6094</v>
      </c>
      <c r="B1355" t="s">
        <v>6095</v>
      </c>
      <c r="C1355">
        <v>2020</v>
      </c>
      <c r="D1355">
        <v>8001</v>
      </c>
      <c r="E1355">
        <v>1</v>
      </c>
      <c r="F1355" t="s">
        <v>6096</v>
      </c>
      <c r="G1355">
        <v>28896984</v>
      </c>
      <c r="J1355">
        <v>17.68</v>
      </c>
      <c r="L1355">
        <v>45192221</v>
      </c>
      <c r="M1355" s="1">
        <v>44174</v>
      </c>
      <c r="N1355" t="str">
        <f>"RC201217"</f>
        <v>RC201217</v>
      </c>
      <c r="O1355" t="s">
        <v>28</v>
      </c>
      <c r="Q1355" t="s">
        <v>29</v>
      </c>
      <c r="R1355" t="s">
        <v>28</v>
      </c>
      <c r="S1355" t="s">
        <v>6097</v>
      </c>
      <c r="T1355" t="s">
        <v>6098</v>
      </c>
      <c r="W1355" t="s">
        <v>371</v>
      </c>
      <c r="X1355" t="s">
        <v>34</v>
      </c>
      <c r="Y1355" t="str">
        <f>"774773940"</f>
        <v>774773940</v>
      </c>
    </row>
    <row r="1356" spans="1:25" x14ac:dyDescent="0.25">
      <c r="A1356" t="s">
        <v>6099</v>
      </c>
      <c r="B1356" t="s">
        <v>6100</v>
      </c>
      <c r="C1356">
        <v>2019</v>
      </c>
      <c r="D1356">
        <v>8001</v>
      </c>
      <c r="E1356">
        <v>2</v>
      </c>
      <c r="F1356" t="s">
        <v>6101</v>
      </c>
      <c r="G1356">
        <v>28326062</v>
      </c>
      <c r="J1356">
        <v>44.73</v>
      </c>
      <c r="L1356">
        <v>43944727</v>
      </c>
      <c r="M1356" s="1">
        <v>43906</v>
      </c>
      <c r="N1356" t="str">
        <f>"J200316K4"</f>
        <v>J200316K4</v>
      </c>
      <c r="O1356" t="s">
        <v>28</v>
      </c>
      <c r="Q1356" t="s">
        <v>29</v>
      </c>
      <c r="R1356" t="s">
        <v>28</v>
      </c>
      <c r="S1356" t="s">
        <v>6102</v>
      </c>
      <c r="T1356" t="s">
        <v>6103</v>
      </c>
      <c r="W1356" t="s">
        <v>40</v>
      </c>
      <c r="X1356" t="s">
        <v>34</v>
      </c>
      <c r="Y1356" t="str">
        <f>"774786229"</f>
        <v>774786229</v>
      </c>
    </row>
    <row r="1357" spans="1:25" x14ac:dyDescent="0.25">
      <c r="A1357" t="s">
        <v>6104</v>
      </c>
      <c r="B1357" t="s">
        <v>6105</v>
      </c>
      <c r="C1357">
        <v>2020</v>
      </c>
      <c r="D1357">
        <v>8001</v>
      </c>
      <c r="E1357">
        <v>3</v>
      </c>
      <c r="F1357" t="s">
        <v>6106</v>
      </c>
      <c r="G1357">
        <v>0</v>
      </c>
      <c r="J1357">
        <v>71.53</v>
      </c>
      <c r="L1357">
        <v>45564409</v>
      </c>
      <c r="M1357" s="1">
        <v>44195</v>
      </c>
      <c r="N1357" t="str">
        <f>"J201230BW7"</f>
        <v>J201230BW7</v>
      </c>
      <c r="O1357" t="s">
        <v>28</v>
      </c>
      <c r="Q1357" t="s">
        <v>29</v>
      </c>
      <c r="R1357" t="s">
        <v>28</v>
      </c>
      <c r="S1357" t="s">
        <v>6106</v>
      </c>
      <c r="T1357" t="s">
        <v>6107</v>
      </c>
      <c r="U1357" t="s">
        <v>60</v>
      </c>
      <c r="V1357" t="s">
        <v>60</v>
      </c>
      <c r="W1357" t="s">
        <v>1137</v>
      </c>
      <c r="X1357" t="s">
        <v>34</v>
      </c>
      <c r="Y1357" t="str">
        <f>"774507144   "</f>
        <v xml:space="preserve">774507144   </v>
      </c>
    </row>
    <row r="1358" spans="1:25" x14ac:dyDescent="0.25">
      <c r="A1358" t="s">
        <v>6108</v>
      </c>
      <c r="B1358" t="s">
        <v>6109</v>
      </c>
      <c r="C1358">
        <v>2020</v>
      </c>
      <c r="D1358">
        <v>8001</v>
      </c>
      <c r="E1358">
        <v>1</v>
      </c>
      <c r="F1358" t="s">
        <v>6110</v>
      </c>
      <c r="G1358">
        <v>29596066</v>
      </c>
      <c r="J1358">
        <v>34.520000000000003</v>
      </c>
      <c r="L1358">
        <v>47018835</v>
      </c>
      <c r="M1358" s="1">
        <v>44258</v>
      </c>
      <c r="N1358" t="str">
        <f>"EK210303"</f>
        <v>EK210303</v>
      </c>
      <c r="O1358" t="s">
        <v>28</v>
      </c>
      <c r="Q1358" t="s">
        <v>29</v>
      </c>
      <c r="R1358" t="s">
        <v>28</v>
      </c>
      <c r="S1358" t="s">
        <v>6111</v>
      </c>
      <c r="T1358" t="s">
        <v>6112</v>
      </c>
      <c r="W1358" t="s">
        <v>40</v>
      </c>
      <c r="X1358" t="s">
        <v>34</v>
      </c>
      <c r="Y1358" t="str">
        <f>"77478"</f>
        <v>77478</v>
      </c>
    </row>
    <row r="1359" spans="1:25" x14ac:dyDescent="0.25">
      <c r="A1359" t="s">
        <v>6113</v>
      </c>
      <c r="B1359" t="s">
        <v>6114</v>
      </c>
      <c r="C1359">
        <v>2021</v>
      </c>
      <c r="D1359">
        <v>8001</v>
      </c>
      <c r="E1359">
        <v>1</v>
      </c>
      <c r="F1359" t="s">
        <v>6115</v>
      </c>
      <c r="G1359">
        <v>27170246</v>
      </c>
      <c r="J1359" s="2">
        <v>7751.82</v>
      </c>
      <c r="L1359">
        <v>49738485</v>
      </c>
      <c r="M1359" s="1">
        <v>44592</v>
      </c>
      <c r="N1359" t="str">
        <f>"RC220309"</f>
        <v>RC220309</v>
      </c>
      <c r="O1359" t="s">
        <v>28</v>
      </c>
      <c r="Q1359" t="s">
        <v>29</v>
      </c>
      <c r="R1359" t="s">
        <v>28</v>
      </c>
      <c r="S1359" t="s">
        <v>6116</v>
      </c>
      <c r="T1359" t="s">
        <v>6117</v>
      </c>
      <c r="U1359" t="s">
        <v>6118</v>
      </c>
      <c r="W1359" t="s">
        <v>6119</v>
      </c>
      <c r="X1359" t="s">
        <v>227</v>
      </c>
      <c r="Y1359" t="str">
        <f>"852541720"</f>
        <v>852541720</v>
      </c>
    </row>
    <row r="1360" spans="1:25" x14ac:dyDescent="0.25">
      <c r="A1360" t="s">
        <v>6120</v>
      </c>
      <c r="B1360" t="s">
        <v>6121</v>
      </c>
      <c r="C1360">
        <v>2019</v>
      </c>
      <c r="D1360">
        <v>8001</v>
      </c>
      <c r="E1360">
        <v>2</v>
      </c>
      <c r="F1360" t="s">
        <v>6122</v>
      </c>
      <c r="G1360">
        <v>28063011</v>
      </c>
      <c r="J1360" s="2">
        <v>4791.24</v>
      </c>
      <c r="L1360">
        <v>43330779</v>
      </c>
      <c r="M1360" s="1">
        <v>43859</v>
      </c>
      <c r="N1360" t="str">
        <f>"O200129AX1"</f>
        <v>O200129AX1</v>
      </c>
      <c r="O1360" t="s">
        <v>28</v>
      </c>
      <c r="Q1360" t="s">
        <v>29</v>
      </c>
      <c r="R1360" t="s">
        <v>28</v>
      </c>
      <c r="S1360" t="s">
        <v>6123</v>
      </c>
      <c r="T1360" t="s">
        <v>6124</v>
      </c>
      <c r="U1360" t="s">
        <v>225</v>
      </c>
      <c r="W1360" t="s">
        <v>226</v>
      </c>
      <c r="X1360" t="s">
        <v>227</v>
      </c>
      <c r="Y1360" t="str">
        <f>"852541720"</f>
        <v>852541720</v>
      </c>
    </row>
    <row r="1361" spans="1:25" x14ac:dyDescent="0.25">
      <c r="A1361" t="s">
        <v>6125</v>
      </c>
      <c r="B1361" t="s">
        <v>6126</v>
      </c>
      <c r="C1361">
        <v>2019</v>
      </c>
      <c r="D1361">
        <v>8001</v>
      </c>
      <c r="E1361">
        <v>1</v>
      </c>
      <c r="F1361" t="s">
        <v>6127</v>
      </c>
      <c r="G1361">
        <v>0</v>
      </c>
      <c r="J1361">
        <v>7.64</v>
      </c>
      <c r="L1361">
        <v>42335894</v>
      </c>
      <c r="M1361" s="1">
        <v>43818</v>
      </c>
      <c r="N1361" t="str">
        <f>"J191219AW6"</f>
        <v>J191219AW6</v>
      </c>
      <c r="O1361" t="s">
        <v>28</v>
      </c>
      <c r="Q1361" t="s">
        <v>29</v>
      </c>
      <c r="R1361" t="s">
        <v>28</v>
      </c>
      <c r="S1361" t="s">
        <v>6127</v>
      </c>
      <c r="T1361" t="s">
        <v>6128</v>
      </c>
      <c r="U1361">
        <v>220</v>
      </c>
      <c r="V1361" t="s">
        <v>60</v>
      </c>
      <c r="W1361" t="s">
        <v>219</v>
      </c>
      <c r="X1361" t="s">
        <v>34</v>
      </c>
      <c r="Y1361" t="str">
        <f>"774796536   "</f>
        <v xml:space="preserve">774796536   </v>
      </c>
    </row>
    <row r="1362" spans="1:25" x14ac:dyDescent="0.25">
      <c r="A1362" t="s">
        <v>6129</v>
      </c>
      <c r="B1362" t="s">
        <v>6130</v>
      </c>
      <c r="C1362">
        <v>2019</v>
      </c>
      <c r="D1362">
        <v>8001</v>
      </c>
      <c r="E1362">
        <v>3</v>
      </c>
      <c r="F1362" t="s">
        <v>6131</v>
      </c>
      <c r="G1362">
        <v>0</v>
      </c>
      <c r="J1362">
        <v>8.99</v>
      </c>
      <c r="L1362">
        <v>43922788</v>
      </c>
      <c r="M1362" s="1">
        <v>43901</v>
      </c>
      <c r="N1362" t="str">
        <f>"J200311AW5"</f>
        <v>J200311AW5</v>
      </c>
      <c r="O1362" t="s">
        <v>28</v>
      </c>
      <c r="Q1362" t="s">
        <v>29</v>
      </c>
      <c r="R1362" t="s">
        <v>28</v>
      </c>
      <c r="S1362" t="s">
        <v>6131</v>
      </c>
      <c r="T1362" t="s">
        <v>6132</v>
      </c>
      <c r="U1362" t="s">
        <v>6133</v>
      </c>
      <c r="V1362" t="s">
        <v>60</v>
      </c>
      <c r="W1362" t="s">
        <v>649</v>
      </c>
      <c r="X1362" t="s">
        <v>34</v>
      </c>
      <c r="Y1362" t="str">
        <f>"774713048   "</f>
        <v xml:space="preserve">774713048   </v>
      </c>
    </row>
    <row r="1363" spans="1:25" x14ac:dyDescent="0.25">
      <c r="A1363" t="s">
        <v>6134</v>
      </c>
      <c r="B1363" t="s">
        <v>6135</v>
      </c>
      <c r="C1363">
        <v>2019</v>
      </c>
      <c r="D1363">
        <v>8001</v>
      </c>
      <c r="E1363">
        <v>1</v>
      </c>
      <c r="F1363" t="s">
        <v>6136</v>
      </c>
      <c r="G1363">
        <v>26473990</v>
      </c>
      <c r="J1363">
        <v>143.24</v>
      </c>
      <c r="L1363">
        <v>44467493</v>
      </c>
      <c r="M1363" s="1">
        <v>44048</v>
      </c>
      <c r="N1363" t="str">
        <f>"O200805F1"</f>
        <v>O200805F1</v>
      </c>
      <c r="O1363" t="s">
        <v>28</v>
      </c>
      <c r="Q1363" t="s">
        <v>29</v>
      </c>
      <c r="R1363" t="s">
        <v>28</v>
      </c>
      <c r="S1363" t="s">
        <v>6137</v>
      </c>
      <c r="T1363" t="s">
        <v>6138</v>
      </c>
      <c r="W1363" t="s">
        <v>371</v>
      </c>
      <c r="X1363" t="s">
        <v>34</v>
      </c>
      <c r="Y1363" t="str">
        <f>"774775574"</f>
        <v>774775574</v>
      </c>
    </row>
    <row r="1364" spans="1:25" x14ac:dyDescent="0.25">
      <c r="A1364" t="s">
        <v>6139</v>
      </c>
      <c r="B1364" t="s">
        <v>6140</v>
      </c>
      <c r="C1364">
        <v>2019</v>
      </c>
      <c r="D1364">
        <v>8001</v>
      </c>
      <c r="E1364">
        <v>1</v>
      </c>
      <c r="F1364" t="s">
        <v>6141</v>
      </c>
      <c r="G1364">
        <v>0</v>
      </c>
      <c r="J1364" s="2">
        <v>4591.29</v>
      </c>
      <c r="L1364">
        <v>43266235</v>
      </c>
      <c r="M1364" s="1">
        <v>43858</v>
      </c>
      <c r="N1364" t="str">
        <f>"L200128"</f>
        <v>L200128</v>
      </c>
      <c r="O1364" t="s">
        <v>28</v>
      </c>
      <c r="Q1364" t="s">
        <v>29</v>
      </c>
      <c r="R1364" t="s">
        <v>28</v>
      </c>
      <c r="S1364" t="s">
        <v>6141</v>
      </c>
      <c r="T1364" t="s">
        <v>6142</v>
      </c>
      <c r="U1364" t="s">
        <v>6143</v>
      </c>
      <c r="V1364" t="s">
        <v>60</v>
      </c>
      <c r="W1364" t="s">
        <v>6144</v>
      </c>
      <c r="X1364" t="s">
        <v>2175</v>
      </c>
      <c r="Y1364" t="str">
        <f>"282460100   "</f>
        <v xml:space="preserve">282460100   </v>
      </c>
    </row>
    <row r="1365" spans="1:25" x14ac:dyDescent="0.25">
      <c r="A1365" t="s">
        <v>6145</v>
      </c>
      <c r="B1365" t="s">
        <v>6146</v>
      </c>
      <c r="C1365">
        <v>2020</v>
      </c>
      <c r="D1365">
        <v>8001</v>
      </c>
      <c r="E1365">
        <v>2</v>
      </c>
      <c r="F1365" t="s">
        <v>6147</v>
      </c>
      <c r="G1365">
        <v>29977992</v>
      </c>
      <c r="J1365">
        <v>20.72</v>
      </c>
      <c r="L1365">
        <v>47701108</v>
      </c>
      <c r="M1365" s="1">
        <v>44425</v>
      </c>
      <c r="N1365" t="str">
        <f>"RC210825"</f>
        <v>RC210825</v>
      </c>
      <c r="O1365" t="s">
        <v>28</v>
      </c>
      <c r="Q1365" t="s">
        <v>29</v>
      </c>
      <c r="R1365" t="s">
        <v>28</v>
      </c>
      <c r="S1365" t="s">
        <v>6148</v>
      </c>
      <c r="T1365" t="s">
        <v>6149</v>
      </c>
      <c r="W1365" t="s">
        <v>371</v>
      </c>
      <c r="X1365" t="s">
        <v>34</v>
      </c>
      <c r="Y1365" t="str">
        <f>"774775928"</f>
        <v>774775928</v>
      </c>
    </row>
    <row r="1366" spans="1:25" x14ac:dyDescent="0.25">
      <c r="A1366" t="s">
        <v>6150</v>
      </c>
      <c r="B1366" t="s">
        <v>6151</v>
      </c>
      <c r="C1366">
        <v>2019</v>
      </c>
      <c r="D1366">
        <v>8001</v>
      </c>
      <c r="E1366">
        <v>1</v>
      </c>
      <c r="F1366" t="s">
        <v>6152</v>
      </c>
      <c r="G1366">
        <v>0</v>
      </c>
      <c r="J1366">
        <v>48.41</v>
      </c>
      <c r="L1366">
        <v>42458614</v>
      </c>
      <c r="M1366" s="1">
        <v>43826</v>
      </c>
      <c r="N1366" t="str">
        <f>"L191227"</f>
        <v>L191227</v>
      </c>
      <c r="O1366" t="s">
        <v>28</v>
      </c>
      <c r="Q1366" t="s">
        <v>29</v>
      </c>
      <c r="R1366" t="s">
        <v>28</v>
      </c>
      <c r="S1366" t="s">
        <v>6152</v>
      </c>
      <c r="T1366" t="s">
        <v>6153</v>
      </c>
      <c r="U1366" t="s">
        <v>6154</v>
      </c>
      <c r="V1366" t="s">
        <v>60</v>
      </c>
      <c r="W1366" t="s">
        <v>6155</v>
      </c>
      <c r="X1366" t="s">
        <v>34</v>
      </c>
      <c r="Y1366" t="str">
        <f>"762483686   "</f>
        <v xml:space="preserve">762483686   </v>
      </c>
    </row>
    <row r="1367" spans="1:25" x14ac:dyDescent="0.25">
      <c r="A1367" t="s">
        <v>6156</v>
      </c>
      <c r="B1367" t="s">
        <v>6157</v>
      </c>
      <c r="C1367">
        <v>2019</v>
      </c>
      <c r="D1367">
        <v>8001</v>
      </c>
      <c r="E1367">
        <v>3</v>
      </c>
      <c r="F1367" t="s">
        <v>6158</v>
      </c>
      <c r="G1367">
        <v>0</v>
      </c>
      <c r="J1367">
        <v>153.19</v>
      </c>
      <c r="L1367">
        <v>44511743</v>
      </c>
      <c r="M1367" s="1">
        <v>44076</v>
      </c>
      <c r="N1367" t="str">
        <f>"T200902U1"</f>
        <v>T200902U1</v>
      </c>
      <c r="O1367" t="s">
        <v>28</v>
      </c>
      <c r="Q1367" t="s">
        <v>29</v>
      </c>
      <c r="R1367" t="s">
        <v>28</v>
      </c>
      <c r="S1367" t="s">
        <v>6158</v>
      </c>
      <c r="T1367" t="s">
        <v>6159</v>
      </c>
      <c r="U1367" t="s">
        <v>60</v>
      </c>
      <c r="V1367" t="s">
        <v>60</v>
      </c>
      <c r="W1367" t="s">
        <v>6160</v>
      </c>
      <c r="X1367" t="s">
        <v>245</v>
      </c>
      <c r="Y1367" t="str">
        <f>"495442516   "</f>
        <v xml:space="preserve">495442516   </v>
      </c>
    </row>
    <row r="1368" spans="1:25" x14ac:dyDescent="0.25">
      <c r="A1368" t="s">
        <v>6161</v>
      </c>
      <c r="B1368" t="s">
        <v>6162</v>
      </c>
      <c r="C1368">
        <v>2019</v>
      </c>
      <c r="D1368">
        <v>8001</v>
      </c>
      <c r="E1368">
        <v>2</v>
      </c>
      <c r="F1368" t="s">
        <v>6163</v>
      </c>
      <c r="G1368">
        <v>21507580</v>
      </c>
      <c r="J1368">
        <v>6.75</v>
      </c>
      <c r="L1368">
        <v>44319170</v>
      </c>
      <c r="M1368" s="1">
        <v>44000</v>
      </c>
      <c r="N1368" t="str">
        <f>"J200618U4"</f>
        <v>J200618U4</v>
      </c>
      <c r="O1368" t="s">
        <v>28</v>
      </c>
      <c r="Q1368" t="s">
        <v>29</v>
      </c>
      <c r="R1368" t="s">
        <v>28</v>
      </c>
      <c r="S1368" t="s">
        <v>6164</v>
      </c>
      <c r="T1368" t="s">
        <v>6165</v>
      </c>
      <c r="W1368" t="s">
        <v>154</v>
      </c>
      <c r="X1368" t="s">
        <v>34</v>
      </c>
      <c r="Y1368" t="str">
        <f>"77471"</f>
        <v>77471</v>
      </c>
    </row>
    <row r="1369" spans="1:25" x14ac:dyDescent="0.25">
      <c r="A1369" t="s">
        <v>6166</v>
      </c>
      <c r="B1369" t="s">
        <v>6167</v>
      </c>
      <c r="C1369">
        <v>2019</v>
      </c>
      <c r="D1369">
        <v>8001</v>
      </c>
      <c r="E1369">
        <v>1</v>
      </c>
      <c r="F1369" t="s">
        <v>6168</v>
      </c>
      <c r="G1369">
        <v>0</v>
      </c>
      <c r="J1369">
        <v>9.92</v>
      </c>
      <c r="L1369">
        <v>43891188</v>
      </c>
      <c r="M1369" s="1">
        <v>43895</v>
      </c>
      <c r="N1369" t="str">
        <f>"J200305K8"</f>
        <v>J200305K8</v>
      </c>
      <c r="O1369" t="s">
        <v>28</v>
      </c>
      <c r="Q1369" t="s">
        <v>29</v>
      </c>
      <c r="R1369" t="s">
        <v>28</v>
      </c>
      <c r="S1369" t="s">
        <v>6168</v>
      </c>
      <c r="T1369" t="s">
        <v>6169</v>
      </c>
      <c r="U1369" t="s">
        <v>60</v>
      </c>
      <c r="V1369" t="s">
        <v>60</v>
      </c>
      <c r="W1369" t="s">
        <v>214</v>
      </c>
      <c r="X1369" t="s">
        <v>34</v>
      </c>
      <c r="Y1369" t="str">
        <f>"774063754   "</f>
        <v xml:space="preserve">774063754   </v>
      </c>
    </row>
    <row r="1370" spans="1:25" x14ac:dyDescent="0.25">
      <c r="A1370" t="s">
        <v>6170</v>
      </c>
      <c r="B1370" t="s">
        <v>6171</v>
      </c>
      <c r="C1370">
        <v>2019</v>
      </c>
      <c r="D1370">
        <v>8001</v>
      </c>
      <c r="E1370">
        <v>1</v>
      </c>
      <c r="F1370" t="s">
        <v>6172</v>
      </c>
      <c r="G1370">
        <v>21344066</v>
      </c>
      <c r="J1370">
        <v>8.25</v>
      </c>
      <c r="L1370">
        <v>43711041</v>
      </c>
      <c r="M1370" s="1">
        <v>43872</v>
      </c>
      <c r="N1370" t="str">
        <f>"J200211AW13"</f>
        <v>J200211AW13</v>
      </c>
      <c r="O1370" t="s">
        <v>28</v>
      </c>
      <c r="Q1370" t="s">
        <v>29</v>
      </c>
      <c r="R1370" t="s">
        <v>28</v>
      </c>
      <c r="S1370" t="s">
        <v>6173</v>
      </c>
      <c r="T1370" t="s">
        <v>6174</v>
      </c>
      <c r="W1370" t="s">
        <v>6175</v>
      </c>
      <c r="X1370" t="s">
        <v>317</v>
      </c>
      <c r="Y1370" t="str">
        <f>"94538"</f>
        <v>94538</v>
      </c>
    </row>
    <row r="1371" spans="1:25" x14ac:dyDescent="0.25">
      <c r="A1371" t="s">
        <v>6176</v>
      </c>
      <c r="B1371" t="s">
        <v>6177</v>
      </c>
      <c r="C1371">
        <v>2021</v>
      </c>
      <c r="D1371">
        <v>8001</v>
      </c>
      <c r="E1371">
        <v>3</v>
      </c>
      <c r="F1371" t="s">
        <v>6178</v>
      </c>
      <c r="G1371">
        <v>0</v>
      </c>
      <c r="J1371">
        <v>47.07</v>
      </c>
      <c r="L1371">
        <v>48414952</v>
      </c>
      <c r="M1371" s="1">
        <v>44540</v>
      </c>
      <c r="N1371" t="str">
        <f>"EL211210"</f>
        <v>EL211210</v>
      </c>
      <c r="O1371" t="s">
        <v>28</v>
      </c>
      <c r="Q1371" t="s">
        <v>29</v>
      </c>
      <c r="R1371" t="s">
        <v>28</v>
      </c>
      <c r="S1371" t="s">
        <v>6178</v>
      </c>
      <c r="T1371" t="s">
        <v>6179</v>
      </c>
      <c r="U1371" t="s">
        <v>60</v>
      </c>
      <c r="V1371" t="s">
        <v>60</v>
      </c>
      <c r="W1371" t="s">
        <v>1137</v>
      </c>
      <c r="X1371" t="s">
        <v>34</v>
      </c>
      <c r="Y1371" t="str">
        <f>"774944222   "</f>
        <v xml:space="preserve">774944222   </v>
      </c>
    </row>
    <row r="1372" spans="1:25" x14ac:dyDescent="0.25">
      <c r="A1372" t="s">
        <v>6180</v>
      </c>
      <c r="B1372" t="s">
        <v>6181</v>
      </c>
      <c r="C1372">
        <v>2020</v>
      </c>
      <c r="D1372">
        <v>8001</v>
      </c>
      <c r="E1372">
        <v>1</v>
      </c>
      <c r="F1372" t="s">
        <v>6182</v>
      </c>
      <c r="G1372">
        <v>29461562</v>
      </c>
      <c r="J1372">
        <v>41.42</v>
      </c>
      <c r="L1372">
        <v>46728562</v>
      </c>
      <c r="M1372" s="1">
        <v>44230</v>
      </c>
      <c r="N1372" t="str">
        <f>"EK210203"</f>
        <v>EK210203</v>
      </c>
      <c r="O1372" t="s">
        <v>28</v>
      </c>
      <c r="Q1372" t="s">
        <v>29</v>
      </c>
      <c r="R1372" t="s">
        <v>28</v>
      </c>
      <c r="S1372" t="s">
        <v>6183</v>
      </c>
      <c r="T1372" t="s">
        <v>6184</v>
      </c>
      <c r="W1372" t="s">
        <v>81</v>
      </c>
      <c r="X1372" t="s">
        <v>34</v>
      </c>
      <c r="Y1372" t="str">
        <f>"774072836"</f>
        <v>774072836</v>
      </c>
    </row>
    <row r="1373" spans="1:25" x14ac:dyDescent="0.25">
      <c r="A1373" t="s">
        <v>6185</v>
      </c>
      <c r="B1373" t="s">
        <v>6186</v>
      </c>
      <c r="C1373">
        <v>2021</v>
      </c>
      <c r="D1373">
        <v>8001</v>
      </c>
      <c r="E1373">
        <v>1</v>
      </c>
      <c r="F1373" t="s">
        <v>6187</v>
      </c>
      <c r="G1373">
        <v>30459906</v>
      </c>
      <c r="J1373">
        <v>6.26</v>
      </c>
      <c r="L1373">
        <v>48947388</v>
      </c>
      <c r="M1373" s="1">
        <v>44567</v>
      </c>
      <c r="N1373" t="str">
        <f>"CC220106"</f>
        <v>CC220106</v>
      </c>
      <c r="O1373" t="s">
        <v>28</v>
      </c>
      <c r="Q1373" t="s">
        <v>29</v>
      </c>
      <c r="R1373" t="s">
        <v>28</v>
      </c>
      <c r="S1373" t="s">
        <v>6188</v>
      </c>
      <c r="T1373" t="s">
        <v>6189</v>
      </c>
      <c r="W1373" t="s">
        <v>936</v>
      </c>
      <c r="X1373" t="s">
        <v>34</v>
      </c>
      <c r="Y1373" t="str">
        <f>"77388"</f>
        <v>77388</v>
      </c>
    </row>
    <row r="1374" spans="1:25" x14ac:dyDescent="0.25">
      <c r="A1374" t="s">
        <v>6190</v>
      </c>
      <c r="B1374" t="s">
        <v>6191</v>
      </c>
      <c r="C1374">
        <v>2018</v>
      </c>
      <c r="D1374">
        <v>8001</v>
      </c>
      <c r="E1374">
        <v>1</v>
      </c>
      <c r="F1374" t="s">
        <v>6192</v>
      </c>
      <c r="G1374">
        <v>27468848</v>
      </c>
      <c r="J1374">
        <v>10.199999999999999</v>
      </c>
      <c r="L1374">
        <v>41375209</v>
      </c>
      <c r="M1374" s="1">
        <v>43649</v>
      </c>
      <c r="N1374" t="str">
        <f>"EK190703"</f>
        <v>EK190703</v>
      </c>
      <c r="O1374" t="s">
        <v>28</v>
      </c>
      <c r="Q1374" t="s">
        <v>29</v>
      </c>
      <c r="R1374" t="s">
        <v>28</v>
      </c>
      <c r="S1374" t="s">
        <v>6193</v>
      </c>
      <c r="T1374" t="s">
        <v>6194</v>
      </c>
      <c r="W1374" t="s">
        <v>81</v>
      </c>
      <c r="X1374" t="s">
        <v>34</v>
      </c>
      <c r="Y1374" t="str">
        <f>"77469"</f>
        <v>77469</v>
      </c>
    </row>
    <row r="1375" spans="1:25" x14ac:dyDescent="0.25">
      <c r="A1375" t="s">
        <v>6195</v>
      </c>
      <c r="B1375" t="s">
        <v>6196</v>
      </c>
      <c r="C1375">
        <v>2020</v>
      </c>
      <c r="D1375">
        <v>8001</v>
      </c>
      <c r="E1375">
        <v>1</v>
      </c>
      <c r="F1375" t="s">
        <v>6197</v>
      </c>
      <c r="G1375">
        <v>0</v>
      </c>
      <c r="J1375">
        <v>37.51</v>
      </c>
      <c r="L1375">
        <v>46335703</v>
      </c>
      <c r="M1375" s="1">
        <v>44222</v>
      </c>
      <c r="N1375" t="str">
        <f>"L210126"</f>
        <v>L210126</v>
      </c>
      <c r="O1375" t="s">
        <v>28</v>
      </c>
      <c r="Q1375" t="s">
        <v>29</v>
      </c>
      <c r="R1375" t="s">
        <v>28</v>
      </c>
      <c r="S1375" t="s">
        <v>6197</v>
      </c>
      <c r="T1375" t="s">
        <v>6198</v>
      </c>
      <c r="U1375" t="s">
        <v>60</v>
      </c>
      <c r="V1375" t="s">
        <v>60</v>
      </c>
      <c r="W1375" t="s">
        <v>1137</v>
      </c>
      <c r="X1375" t="s">
        <v>34</v>
      </c>
      <c r="Y1375" t="str">
        <f>"774941666   "</f>
        <v xml:space="preserve">774941666   </v>
      </c>
    </row>
    <row r="1376" spans="1:25" x14ac:dyDescent="0.25">
      <c r="A1376" t="s">
        <v>6199</v>
      </c>
      <c r="B1376" t="s">
        <v>6200</v>
      </c>
      <c r="C1376">
        <v>2019</v>
      </c>
      <c r="D1376">
        <v>8001</v>
      </c>
      <c r="E1376">
        <v>1</v>
      </c>
      <c r="F1376" t="s">
        <v>6201</v>
      </c>
      <c r="G1376">
        <v>0</v>
      </c>
      <c r="J1376">
        <v>13.98</v>
      </c>
      <c r="L1376">
        <v>42162896</v>
      </c>
      <c r="M1376" s="1">
        <v>43808</v>
      </c>
      <c r="N1376" t="str">
        <f>"L191209"</f>
        <v>L191209</v>
      </c>
      <c r="O1376" t="s">
        <v>28</v>
      </c>
      <c r="Q1376" t="s">
        <v>29</v>
      </c>
      <c r="R1376" t="s">
        <v>28</v>
      </c>
      <c r="S1376" t="s">
        <v>6201</v>
      </c>
      <c r="T1376" t="s">
        <v>6202</v>
      </c>
      <c r="U1376" t="s">
        <v>6203</v>
      </c>
      <c r="V1376" t="s">
        <v>60</v>
      </c>
      <c r="W1376" t="s">
        <v>6204</v>
      </c>
      <c r="X1376" t="s">
        <v>169</v>
      </c>
      <c r="Y1376" t="str">
        <f>"805037752   "</f>
        <v xml:space="preserve">805037752   </v>
      </c>
    </row>
    <row r="1377" spans="1:25" x14ac:dyDescent="0.25">
      <c r="A1377" t="s">
        <v>6205</v>
      </c>
      <c r="B1377" t="s">
        <v>6206</v>
      </c>
      <c r="C1377">
        <v>2020</v>
      </c>
      <c r="D1377">
        <v>8001</v>
      </c>
      <c r="E1377">
        <v>1</v>
      </c>
      <c r="F1377" t="s">
        <v>6207</v>
      </c>
      <c r="G1377">
        <v>29596105</v>
      </c>
      <c r="J1377">
        <v>93.29</v>
      </c>
      <c r="L1377">
        <v>47018874</v>
      </c>
      <c r="M1377" s="1">
        <v>44258</v>
      </c>
      <c r="N1377" t="str">
        <f>"EK210303"</f>
        <v>EK210303</v>
      </c>
      <c r="O1377" t="s">
        <v>28</v>
      </c>
      <c r="Q1377" t="s">
        <v>29</v>
      </c>
      <c r="R1377" t="s">
        <v>28</v>
      </c>
      <c r="S1377" t="s">
        <v>6208</v>
      </c>
      <c r="T1377" t="s">
        <v>6209</v>
      </c>
      <c r="W1377" t="s">
        <v>46</v>
      </c>
      <c r="X1377" t="s">
        <v>34</v>
      </c>
      <c r="Y1377" t="str">
        <f>"77430"</f>
        <v>77430</v>
      </c>
    </row>
    <row r="1378" spans="1:25" x14ac:dyDescent="0.25">
      <c r="A1378" t="s">
        <v>6210</v>
      </c>
      <c r="B1378" t="s">
        <v>6211</v>
      </c>
      <c r="C1378">
        <v>2020</v>
      </c>
      <c r="D1378">
        <v>8001</v>
      </c>
      <c r="E1378">
        <v>1</v>
      </c>
      <c r="F1378" t="s">
        <v>6212</v>
      </c>
      <c r="G1378">
        <v>29461737</v>
      </c>
      <c r="J1378">
        <v>189.12</v>
      </c>
      <c r="L1378">
        <v>46728737</v>
      </c>
      <c r="M1378" s="1">
        <v>44230</v>
      </c>
      <c r="N1378" t="str">
        <f>"EK210203"</f>
        <v>EK210203</v>
      </c>
      <c r="O1378" t="s">
        <v>28</v>
      </c>
      <c r="Q1378" t="s">
        <v>29</v>
      </c>
      <c r="R1378" t="s">
        <v>28</v>
      </c>
      <c r="S1378" t="s">
        <v>6213</v>
      </c>
      <c r="T1378" t="s">
        <v>6214</v>
      </c>
      <c r="W1378" t="s">
        <v>40</v>
      </c>
      <c r="X1378" t="s">
        <v>34</v>
      </c>
      <c r="Y1378" t="str">
        <f>"77479"</f>
        <v>77479</v>
      </c>
    </row>
    <row r="1379" spans="1:25" x14ac:dyDescent="0.25">
      <c r="A1379" t="s">
        <v>6215</v>
      </c>
      <c r="B1379" t="s">
        <v>6216</v>
      </c>
      <c r="C1379">
        <v>2020</v>
      </c>
      <c r="D1379">
        <v>8001</v>
      </c>
      <c r="E1379">
        <v>2</v>
      </c>
      <c r="F1379" t="s">
        <v>6217</v>
      </c>
      <c r="G1379">
        <v>28772667</v>
      </c>
      <c r="J1379">
        <v>17.14</v>
      </c>
      <c r="L1379">
        <v>44858199</v>
      </c>
      <c r="M1379" s="1">
        <v>44148</v>
      </c>
      <c r="N1379" t="str">
        <f>"O201113AB1"</f>
        <v>O201113AB1</v>
      </c>
      <c r="O1379" t="s">
        <v>28</v>
      </c>
      <c r="Q1379" t="s">
        <v>29</v>
      </c>
      <c r="R1379" t="s">
        <v>28</v>
      </c>
      <c r="S1379" t="s">
        <v>6218</v>
      </c>
      <c r="T1379" t="s">
        <v>6219</v>
      </c>
      <c r="W1379" t="s">
        <v>107</v>
      </c>
      <c r="X1379" t="s">
        <v>34</v>
      </c>
      <c r="Y1379" t="str">
        <f>"77493"</f>
        <v>77493</v>
      </c>
    </row>
    <row r="1380" spans="1:25" x14ac:dyDescent="0.25">
      <c r="A1380" t="s">
        <v>6220</v>
      </c>
      <c r="B1380" t="s">
        <v>6221</v>
      </c>
      <c r="C1380">
        <v>2020</v>
      </c>
      <c r="D1380">
        <v>8001</v>
      </c>
      <c r="E1380">
        <v>1</v>
      </c>
      <c r="F1380" t="s">
        <v>6222</v>
      </c>
      <c r="G1380">
        <v>22708786</v>
      </c>
      <c r="J1380">
        <v>13.59</v>
      </c>
      <c r="L1380">
        <v>45194934</v>
      </c>
      <c r="M1380" s="1">
        <v>44174</v>
      </c>
      <c r="N1380" t="str">
        <f>"RC201217"</f>
        <v>RC201217</v>
      </c>
      <c r="O1380" t="s">
        <v>28</v>
      </c>
      <c r="Q1380" t="s">
        <v>29</v>
      </c>
      <c r="R1380" t="s">
        <v>28</v>
      </c>
      <c r="S1380" t="s">
        <v>6222</v>
      </c>
      <c r="T1380" t="s">
        <v>6223</v>
      </c>
      <c r="W1380" t="s">
        <v>81</v>
      </c>
      <c r="X1380" t="s">
        <v>34</v>
      </c>
      <c r="Y1380" t="str">
        <f>"77407"</f>
        <v>77407</v>
      </c>
    </row>
    <row r="1381" spans="1:25" x14ac:dyDescent="0.25">
      <c r="A1381" t="s">
        <v>6224</v>
      </c>
      <c r="B1381" t="s">
        <v>6225</v>
      </c>
      <c r="C1381">
        <v>2021</v>
      </c>
      <c r="D1381">
        <v>8001</v>
      </c>
      <c r="E1381">
        <v>1</v>
      </c>
      <c r="F1381" t="s">
        <v>6226</v>
      </c>
      <c r="G1381">
        <v>1390852</v>
      </c>
      <c r="J1381">
        <v>105.83</v>
      </c>
      <c r="L1381">
        <v>49496382</v>
      </c>
      <c r="M1381" s="1">
        <v>44586</v>
      </c>
      <c r="N1381" t="str">
        <f>"RC220309"</f>
        <v>RC220309</v>
      </c>
      <c r="O1381" t="s">
        <v>28</v>
      </c>
      <c r="Q1381" t="s">
        <v>29</v>
      </c>
      <c r="R1381" t="s">
        <v>28</v>
      </c>
      <c r="S1381" t="s">
        <v>6227</v>
      </c>
      <c r="T1381" t="s">
        <v>6228</v>
      </c>
      <c r="W1381" t="s">
        <v>6229</v>
      </c>
      <c r="X1381" t="s">
        <v>34</v>
      </c>
      <c r="Y1381" t="str">
        <f>"97228"</f>
        <v>97228</v>
      </c>
    </row>
    <row r="1382" spans="1:25" x14ac:dyDescent="0.25">
      <c r="A1382" t="s">
        <v>6230</v>
      </c>
      <c r="B1382" t="s">
        <v>6231</v>
      </c>
      <c r="C1382">
        <v>2018</v>
      </c>
      <c r="D1382">
        <v>8001</v>
      </c>
      <c r="E1382">
        <v>4</v>
      </c>
      <c r="F1382" t="s">
        <v>6232</v>
      </c>
      <c r="G1382">
        <v>0</v>
      </c>
      <c r="J1382">
        <v>129.08000000000001</v>
      </c>
      <c r="L1382">
        <v>41209884</v>
      </c>
      <c r="M1382" s="1">
        <v>43605</v>
      </c>
      <c r="N1382" t="str">
        <f>"J190520B1"</f>
        <v>J190520B1</v>
      </c>
      <c r="O1382" t="s">
        <v>28</v>
      </c>
      <c r="Q1382" t="s">
        <v>29</v>
      </c>
      <c r="R1382" t="s">
        <v>28</v>
      </c>
      <c r="S1382" t="s">
        <v>6232</v>
      </c>
      <c r="T1382" t="s">
        <v>6233</v>
      </c>
      <c r="U1382" t="s">
        <v>60</v>
      </c>
      <c r="V1382" t="s">
        <v>60</v>
      </c>
      <c r="W1382" t="s">
        <v>135</v>
      </c>
      <c r="X1382" t="s">
        <v>34</v>
      </c>
      <c r="Y1382" t="str">
        <f>"770532134   "</f>
        <v xml:space="preserve">770532134   </v>
      </c>
    </row>
    <row r="1383" spans="1:25" x14ac:dyDescent="0.25">
      <c r="A1383" t="s">
        <v>6234</v>
      </c>
      <c r="B1383" t="s">
        <v>6235</v>
      </c>
      <c r="C1383">
        <v>2018</v>
      </c>
      <c r="D1383">
        <v>8001</v>
      </c>
      <c r="E1383">
        <v>1</v>
      </c>
      <c r="F1383" t="s">
        <v>6236</v>
      </c>
      <c r="G1383">
        <v>0</v>
      </c>
      <c r="J1383">
        <v>6.29</v>
      </c>
      <c r="L1383">
        <v>40871538</v>
      </c>
      <c r="M1383" s="1">
        <v>43525</v>
      </c>
      <c r="N1383" t="str">
        <f>"L190301"</f>
        <v>L190301</v>
      </c>
      <c r="O1383" t="s">
        <v>28</v>
      </c>
      <c r="Q1383" t="s">
        <v>29</v>
      </c>
      <c r="R1383" t="s">
        <v>28</v>
      </c>
      <c r="S1383" t="s">
        <v>6236</v>
      </c>
      <c r="T1383" t="s">
        <v>6237</v>
      </c>
      <c r="U1383" t="s">
        <v>60</v>
      </c>
      <c r="V1383" t="s">
        <v>60</v>
      </c>
      <c r="W1383" t="s">
        <v>1333</v>
      </c>
      <c r="X1383" t="s">
        <v>34</v>
      </c>
      <c r="Y1383" t="str">
        <f>"77459       "</f>
        <v xml:space="preserve">77459       </v>
      </c>
    </row>
    <row r="1384" spans="1:25" x14ac:dyDescent="0.25">
      <c r="A1384" t="s">
        <v>6238</v>
      </c>
      <c r="B1384" t="s">
        <v>6239</v>
      </c>
      <c r="C1384">
        <v>2019</v>
      </c>
      <c r="D1384">
        <v>8001</v>
      </c>
      <c r="E1384">
        <v>1</v>
      </c>
      <c r="F1384" t="s">
        <v>6240</v>
      </c>
      <c r="G1384">
        <v>0</v>
      </c>
      <c r="J1384">
        <v>14.58</v>
      </c>
      <c r="L1384">
        <v>42019038</v>
      </c>
      <c r="M1384" s="1">
        <v>43795</v>
      </c>
      <c r="N1384" t="str">
        <f>"L191126"</f>
        <v>L191126</v>
      </c>
      <c r="O1384" t="s">
        <v>28</v>
      </c>
      <c r="Q1384" t="s">
        <v>29</v>
      </c>
      <c r="R1384" t="s">
        <v>28</v>
      </c>
      <c r="S1384" t="s">
        <v>6240</v>
      </c>
      <c r="T1384" t="s">
        <v>6241</v>
      </c>
      <c r="U1384" t="s">
        <v>60</v>
      </c>
      <c r="V1384" t="s">
        <v>60</v>
      </c>
      <c r="W1384" t="s">
        <v>135</v>
      </c>
      <c r="X1384" t="s">
        <v>34</v>
      </c>
      <c r="Y1384" t="str">
        <f>"770964610   "</f>
        <v xml:space="preserve">770964610   </v>
      </c>
    </row>
    <row r="1385" spans="1:25" x14ac:dyDescent="0.25">
      <c r="A1385" t="s">
        <v>6242</v>
      </c>
      <c r="B1385" t="s">
        <v>6243</v>
      </c>
      <c r="C1385">
        <v>2019</v>
      </c>
      <c r="D1385">
        <v>8001</v>
      </c>
      <c r="E1385">
        <v>4</v>
      </c>
      <c r="F1385" t="s">
        <v>6244</v>
      </c>
      <c r="G1385">
        <v>24965414</v>
      </c>
      <c r="J1385">
        <v>146.65</v>
      </c>
      <c r="L1385">
        <v>43909346</v>
      </c>
      <c r="M1385" s="1">
        <v>43899</v>
      </c>
      <c r="N1385" t="str">
        <f>"J200309AW5"</f>
        <v>J200309AW5</v>
      </c>
      <c r="O1385" t="s">
        <v>28</v>
      </c>
      <c r="Q1385" t="s">
        <v>29</v>
      </c>
      <c r="R1385" t="s">
        <v>28</v>
      </c>
      <c r="S1385" t="s">
        <v>6245</v>
      </c>
      <c r="T1385" t="s">
        <v>6246</v>
      </c>
      <c r="W1385" t="s">
        <v>392</v>
      </c>
      <c r="X1385" t="s">
        <v>34</v>
      </c>
      <c r="Y1385" t="str">
        <f>"774596232"</f>
        <v>774596232</v>
      </c>
    </row>
    <row r="1386" spans="1:25" x14ac:dyDescent="0.25">
      <c r="A1386" t="s">
        <v>6247</v>
      </c>
      <c r="B1386" t="s">
        <v>6248</v>
      </c>
      <c r="C1386">
        <v>2018</v>
      </c>
      <c r="D1386">
        <v>8001</v>
      </c>
      <c r="E1386">
        <v>3</v>
      </c>
      <c r="F1386" t="s">
        <v>6249</v>
      </c>
      <c r="G1386">
        <v>27291031</v>
      </c>
      <c r="J1386">
        <v>17.989999999999998</v>
      </c>
      <c r="L1386">
        <v>41182660</v>
      </c>
      <c r="M1386" s="1">
        <v>43594</v>
      </c>
      <c r="N1386" t="str">
        <f>"R190509E1"</f>
        <v>R190509E1</v>
      </c>
      <c r="O1386" t="s">
        <v>28</v>
      </c>
      <c r="Q1386" t="s">
        <v>29</v>
      </c>
      <c r="R1386" t="s">
        <v>28</v>
      </c>
      <c r="S1386" t="s">
        <v>6249</v>
      </c>
      <c r="T1386" t="s">
        <v>6250</v>
      </c>
      <c r="U1386" t="s">
        <v>6251</v>
      </c>
      <c r="W1386" t="s">
        <v>40</v>
      </c>
      <c r="X1386" t="s">
        <v>34</v>
      </c>
      <c r="Y1386" t="str">
        <f>"77479"</f>
        <v>77479</v>
      </c>
    </row>
    <row r="1387" spans="1:25" x14ac:dyDescent="0.25">
      <c r="A1387" t="s">
        <v>6252</v>
      </c>
      <c r="B1387" t="s">
        <v>6253</v>
      </c>
      <c r="C1387">
        <v>2020</v>
      </c>
      <c r="D1387">
        <v>8001</v>
      </c>
      <c r="E1387">
        <v>3</v>
      </c>
      <c r="F1387" t="s">
        <v>6254</v>
      </c>
      <c r="G1387">
        <v>27719850</v>
      </c>
      <c r="J1387">
        <v>81.95</v>
      </c>
      <c r="L1387">
        <v>47646642</v>
      </c>
      <c r="M1387" s="1">
        <v>44405</v>
      </c>
      <c r="N1387" t="str">
        <f>"RC210809"</f>
        <v>RC210809</v>
      </c>
      <c r="O1387" t="s">
        <v>28</v>
      </c>
      <c r="Q1387" t="s">
        <v>29</v>
      </c>
      <c r="R1387" t="s">
        <v>28</v>
      </c>
      <c r="S1387" t="s">
        <v>6255</v>
      </c>
      <c r="T1387" t="s">
        <v>6256</v>
      </c>
      <c r="U1387" t="s">
        <v>6257</v>
      </c>
      <c r="W1387" t="s">
        <v>75</v>
      </c>
      <c r="X1387" t="s">
        <v>34</v>
      </c>
      <c r="Y1387" t="str">
        <f>"772450004"</f>
        <v>772450004</v>
      </c>
    </row>
    <row r="1388" spans="1:25" x14ac:dyDescent="0.25">
      <c r="A1388" t="s">
        <v>6258</v>
      </c>
      <c r="B1388" t="s">
        <v>6259</v>
      </c>
      <c r="C1388">
        <v>2019</v>
      </c>
      <c r="D1388">
        <v>8001</v>
      </c>
      <c r="E1388">
        <v>2</v>
      </c>
      <c r="F1388" t="s">
        <v>6260</v>
      </c>
      <c r="G1388">
        <v>28337634</v>
      </c>
      <c r="J1388">
        <v>27.32</v>
      </c>
      <c r="L1388">
        <v>44270647</v>
      </c>
      <c r="M1388" s="1">
        <v>43985</v>
      </c>
      <c r="N1388" t="str">
        <f>"J200603K1"</f>
        <v>J200603K1</v>
      </c>
      <c r="O1388" t="s">
        <v>28</v>
      </c>
      <c r="Q1388" t="s">
        <v>29</v>
      </c>
      <c r="R1388" t="s">
        <v>28</v>
      </c>
      <c r="S1388" t="s">
        <v>6261</v>
      </c>
      <c r="T1388" t="s">
        <v>6262</v>
      </c>
      <c r="U1388" t="s">
        <v>6263</v>
      </c>
      <c r="W1388" t="s">
        <v>392</v>
      </c>
      <c r="X1388" t="s">
        <v>34</v>
      </c>
      <c r="Y1388" t="str">
        <f>"774892602"</f>
        <v>774892602</v>
      </c>
    </row>
    <row r="1389" spans="1:25" x14ac:dyDescent="0.25">
      <c r="A1389" t="s">
        <v>6264</v>
      </c>
      <c r="B1389" t="s">
        <v>6265</v>
      </c>
      <c r="C1389">
        <v>2020</v>
      </c>
      <c r="D1389">
        <v>8001</v>
      </c>
      <c r="E1389">
        <v>2</v>
      </c>
      <c r="F1389" t="s">
        <v>6266</v>
      </c>
      <c r="G1389">
        <v>25810520</v>
      </c>
      <c r="J1389" s="2">
        <v>5977.66</v>
      </c>
      <c r="L1389">
        <v>46974471</v>
      </c>
      <c r="M1389" s="1">
        <v>44252</v>
      </c>
      <c r="N1389" t="str">
        <f>"P210225AZ1"</f>
        <v>P210225AZ1</v>
      </c>
      <c r="O1389" t="s">
        <v>28</v>
      </c>
      <c r="Q1389" t="s">
        <v>29</v>
      </c>
      <c r="R1389" t="s">
        <v>28</v>
      </c>
      <c r="S1389" t="s">
        <v>6267</v>
      </c>
      <c r="T1389" t="s">
        <v>6268</v>
      </c>
      <c r="W1389" t="s">
        <v>6269</v>
      </c>
      <c r="X1389" t="s">
        <v>34</v>
      </c>
      <c r="Y1389" t="str">
        <f>"760114310"</f>
        <v>760114310</v>
      </c>
    </row>
    <row r="1390" spans="1:25" x14ac:dyDescent="0.25">
      <c r="A1390" t="s">
        <v>6270</v>
      </c>
      <c r="B1390" t="s">
        <v>6271</v>
      </c>
      <c r="C1390">
        <v>2020</v>
      </c>
      <c r="D1390">
        <v>8001</v>
      </c>
      <c r="E1390">
        <v>2</v>
      </c>
      <c r="F1390" t="s">
        <v>6272</v>
      </c>
      <c r="G1390">
        <v>0</v>
      </c>
      <c r="J1390">
        <v>68.52</v>
      </c>
      <c r="L1390">
        <v>47705165</v>
      </c>
      <c r="M1390" s="1">
        <v>44426</v>
      </c>
      <c r="N1390" t="str">
        <f>"J210818BW1"</f>
        <v>J210818BW1</v>
      </c>
      <c r="O1390" t="s">
        <v>28</v>
      </c>
      <c r="Q1390" t="s">
        <v>29</v>
      </c>
      <c r="R1390" t="s">
        <v>28</v>
      </c>
      <c r="S1390" t="s">
        <v>6272</v>
      </c>
      <c r="T1390" t="s">
        <v>6273</v>
      </c>
      <c r="U1390" t="s">
        <v>60</v>
      </c>
      <c r="V1390" t="s">
        <v>60</v>
      </c>
      <c r="W1390" t="s">
        <v>6274</v>
      </c>
      <c r="X1390" t="s">
        <v>34</v>
      </c>
      <c r="Y1390" t="str">
        <f>"78205       "</f>
        <v xml:space="preserve">78205       </v>
      </c>
    </row>
    <row r="1391" spans="1:25" x14ac:dyDescent="0.25">
      <c r="A1391" t="s">
        <v>6275</v>
      </c>
      <c r="B1391" t="s">
        <v>6276</v>
      </c>
      <c r="C1391">
        <v>2021</v>
      </c>
      <c r="D1391">
        <v>8001</v>
      </c>
      <c r="E1391">
        <v>1</v>
      </c>
      <c r="F1391" t="s">
        <v>6277</v>
      </c>
      <c r="G1391">
        <v>0</v>
      </c>
      <c r="J1391">
        <v>6</v>
      </c>
      <c r="L1391">
        <v>49087006</v>
      </c>
      <c r="M1391" s="1">
        <v>44572</v>
      </c>
      <c r="N1391" t="str">
        <f>"J220111K3"</f>
        <v>J220111K3</v>
      </c>
      <c r="O1391" t="s">
        <v>28</v>
      </c>
      <c r="Q1391" t="s">
        <v>29</v>
      </c>
      <c r="R1391" t="s">
        <v>28</v>
      </c>
      <c r="S1391" t="s">
        <v>6277</v>
      </c>
      <c r="T1391" t="s">
        <v>6278</v>
      </c>
      <c r="U1391" t="s">
        <v>6279</v>
      </c>
      <c r="V1391" t="s">
        <v>60</v>
      </c>
      <c r="W1391" t="s">
        <v>649</v>
      </c>
      <c r="X1391" t="s">
        <v>34</v>
      </c>
      <c r="Y1391" t="str">
        <f>"774718691   "</f>
        <v xml:space="preserve">774718691   </v>
      </c>
    </row>
    <row r="1392" spans="1:25" x14ac:dyDescent="0.25">
      <c r="A1392" t="s">
        <v>6280</v>
      </c>
      <c r="B1392" t="s">
        <v>6281</v>
      </c>
      <c r="C1392">
        <v>2019</v>
      </c>
      <c r="D1392">
        <v>8001</v>
      </c>
      <c r="E1392">
        <v>2</v>
      </c>
      <c r="F1392" t="s">
        <v>6282</v>
      </c>
      <c r="G1392">
        <v>0</v>
      </c>
      <c r="J1392">
        <v>17.11</v>
      </c>
      <c r="L1392">
        <v>43885481</v>
      </c>
      <c r="M1392" s="1">
        <v>43895</v>
      </c>
      <c r="N1392" t="str">
        <f>"J200305K2"</f>
        <v>J200305K2</v>
      </c>
      <c r="O1392" t="s">
        <v>28</v>
      </c>
      <c r="Q1392" t="s">
        <v>29</v>
      </c>
      <c r="R1392" t="s">
        <v>28</v>
      </c>
      <c r="S1392" t="s">
        <v>6282</v>
      </c>
      <c r="T1392" t="s">
        <v>6283</v>
      </c>
      <c r="U1392" t="s">
        <v>6284</v>
      </c>
      <c r="V1392" t="s">
        <v>60</v>
      </c>
      <c r="W1392" t="s">
        <v>135</v>
      </c>
      <c r="X1392" t="s">
        <v>34</v>
      </c>
      <c r="Y1392" t="str">
        <f>"770533659   "</f>
        <v xml:space="preserve">770533659   </v>
      </c>
    </row>
    <row r="1393" spans="1:25" x14ac:dyDescent="0.25">
      <c r="A1393" t="s">
        <v>6285</v>
      </c>
      <c r="B1393" t="s">
        <v>6286</v>
      </c>
      <c r="C1393">
        <v>2019</v>
      </c>
      <c r="D1393">
        <v>8001</v>
      </c>
      <c r="E1393">
        <v>1</v>
      </c>
      <c r="F1393" t="s">
        <v>6287</v>
      </c>
      <c r="G1393">
        <v>0</v>
      </c>
      <c r="J1393">
        <v>23.45</v>
      </c>
      <c r="L1393">
        <v>44284805</v>
      </c>
      <c r="M1393" s="1">
        <v>43990</v>
      </c>
      <c r="N1393" t="str">
        <f>"J200608K2"</f>
        <v>J200608K2</v>
      </c>
      <c r="O1393" t="s">
        <v>28</v>
      </c>
      <c r="Q1393" t="s">
        <v>29</v>
      </c>
      <c r="R1393" t="s">
        <v>28</v>
      </c>
      <c r="S1393" t="s">
        <v>6287</v>
      </c>
      <c r="T1393" t="s">
        <v>6288</v>
      </c>
      <c r="U1393" t="s">
        <v>60</v>
      </c>
      <c r="V1393" t="s">
        <v>60</v>
      </c>
      <c r="W1393" t="s">
        <v>1137</v>
      </c>
      <c r="X1393" t="s">
        <v>34</v>
      </c>
      <c r="Y1393" t="str">
        <f>"774944403   "</f>
        <v xml:space="preserve">774944403   </v>
      </c>
    </row>
    <row r="1394" spans="1:25" x14ac:dyDescent="0.25">
      <c r="A1394" t="s">
        <v>6289</v>
      </c>
      <c r="B1394" t="s">
        <v>6290</v>
      </c>
      <c r="C1394">
        <v>2018</v>
      </c>
      <c r="D1394">
        <v>8001</v>
      </c>
      <c r="E1394">
        <v>5</v>
      </c>
      <c r="F1394" t="s">
        <v>6291</v>
      </c>
      <c r="G1394">
        <v>26101300</v>
      </c>
      <c r="J1394">
        <v>7.33</v>
      </c>
      <c r="L1394">
        <v>41210782</v>
      </c>
      <c r="M1394" s="1">
        <v>43605</v>
      </c>
      <c r="N1394" t="str">
        <f>"R190520E1"</f>
        <v>R190520E1</v>
      </c>
      <c r="O1394" t="s">
        <v>28</v>
      </c>
      <c r="Q1394" t="s">
        <v>29</v>
      </c>
      <c r="R1394" t="s">
        <v>28</v>
      </c>
      <c r="S1394" t="s">
        <v>6292</v>
      </c>
      <c r="T1394" t="s">
        <v>6293</v>
      </c>
      <c r="W1394" t="s">
        <v>40</v>
      </c>
      <c r="X1394" t="s">
        <v>34</v>
      </c>
      <c r="Y1394" t="str">
        <f>"77498"</f>
        <v>77498</v>
      </c>
    </row>
    <row r="1395" spans="1:25" x14ac:dyDescent="0.25">
      <c r="A1395" t="s">
        <v>6294</v>
      </c>
      <c r="B1395" t="s">
        <v>6295</v>
      </c>
      <c r="C1395">
        <v>2020</v>
      </c>
      <c r="D1395">
        <v>8001</v>
      </c>
      <c r="E1395">
        <v>2</v>
      </c>
      <c r="F1395" t="s">
        <v>6296</v>
      </c>
      <c r="G1395">
        <v>29742357</v>
      </c>
      <c r="J1395" s="2">
        <v>1941.34</v>
      </c>
      <c r="L1395">
        <v>47220017</v>
      </c>
      <c r="M1395" s="1">
        <v>44286</v>
      </c>
      <c r="N1395" t="str">
        <f>"RC210414"</f>
        <v>RC210414</v>
      </c>
      <c r="O1395" t="s">
        <v>28</v>
      </c>
      <c r="Q1395" t="s">
        <v>29</v>
      </c>
      <c r="R1395" t="s">
        <v>28</v>
      </c>
      <c r="S1395" t="s">
        <v>6123</v>
      </c>
      <c r="T1395" t="s">
        <v>6297</v>
      </c>
      <c r="U1395" t="s">
        <v>6298</v>
      </c>
      <c r="W1395" t="s">
        <v>226</v>
      </c>
      <c r="X1395" t="s">
        <v>227</v>
      </c>
      <c r="Y1395" t="str">
        <f>"85254"</f>
        <v>85254</v>
      </c>
    </row>
    <row r="1396" spans="1:25" x14ac:dyDescent="0.25">
      <c r="A1396" t="s">
        <v>6299</v>
      </c>
      <c r="B1396" t="s">
        <v>6300</v>
      </c>
      <c r="C1396">
        <v>2020</v>
      </c>
      <c r="D1396">
        <v>8001</v>
      </c>
      <c r="E1396">
        <v>1</v>
      </c>
      <c r="F1396" t="s">
        <v>6301</v>
      </c>
      <c r="G1396">
        <v>29596073</v>
      </c>
      <c r="J1396">
        <v>95.08</v>
      </c>
      <c r="L1396">
        <v>47018842</v>
      </c>
      <c r="M1396" s="1">
        <v>44258</v>
      </c>
      <c r="N1396" t="str">
        <f>"EK210303"</f>
        <v>EK210303</v>
      </c>
      <c r="O1396" t="s">
        <v>28</v>
      </c>
      <c r="Q1396" t="s">
        <v>29</v>
      </c>
      <c r="R1396" t="s">
        <v>28</v>
      </c>
      <c r="S1396" t="s">
        <v>6302</v>
      </c>
      <c r="T1396" t="s">
        <v>6303</v>
      </c>
      <c r="W1396" t="s">
        <v>81</v>
      </c>
      <c r="X1396" t="s">
        <v>34</v>
      </c>
      <c r="Y1396" t="str">
        <f>"77406"</f>
        <v>77406</v>
      </c>
    </row>
    <row r="1397" spans="1:25" x14ac:dyDescent="0.25">
      <c r="A1397" t="s">
        <v>6304</v>
      </c>
      <c r="B1397" t="s">
        <v>6305</v>
      </c>
      <c r="C1397">
        <v>2020</v>
      </c>
      <c r="D1397">
        <v>8001</v>
      </c>
      <c r="E1397">
        <v>3</v>
      </c>
      <c r="F1397" t="s">
        <v>6306</v>
      </c>
      <c r="G1397">
        <v>0</v>
      </c>
      <c r="J1397">
        <v>43.56</v>
      </c>
      <c r="L1397">
        <v>47737600</v>
      </c>
      <c r="M1397" s="1">
        <v>44447</v>
      </c>
      <c r="N1397" t="str">
        <f>"O210908AB1"</f>
        <v>O210908AB1</v>
      </c>
      <c r="O1397" t="s">
        <v>28</v>
      </c>
      <c r="Q1397" t="s">
        <v>29</v>
      </c>
      <c r="R1397" t="s">
        <v>28</v>
      </c>
      <c r="S1397" t="s">
        <v>6306</v>
      </c>
      <c r="T1397" t="s">
        <v>6307</v>
      </c>
      <c r="U1397" t="s">
        <v>60</v>
      </c>
      <c r="V1397" t="s">
        <v>60</v>
      </c>
      <c r="W1397" t="s">
        <v>6308</v>
      </c>
      <c r="X1397" t="s">
        <v>317</v>
      </c>
      <c r="Y1397" t="str">
        <f>"900645088   "</f>
        <v xml:space="preserve">900645088   </v>
      </c>
    </row>
    <row r="1398" spans="1:25" x14ac:dyDescent="0.25">
      <c r="A1398" t="s">
        <v>6309</v>
      </c>
      <c r="B1398" t="s">
        <v>6310</v>
      </c>
      <c r="C1398">
        <v>2020</v>
      </c>
      <c r="D1398">
        <v>8001</v>
      </c>
      <c r="E1398">
        <v>1</v>
      </c>
      <c r="F1398" t="s">
        <v>6311</v>
      </c>
      <c r="G1398">
        <v>29859271</v>
      </c>
      <c r="J1398">
        <v>6.83</v>
      </c>
      <c r="L1398">
        <v>47500770</v>
      </c>
      <c r="M1398" s="1">
        <v>44351</v>
      </c>
      <c r="N1398" t="str">
        <f>"CC210604"</f>
        <v>CC210604</v>
      </c>
      <c r="O1398" t="s">
        <v>28</v>
      </c>
      <c r="Q1398" t="s">
        <v>29</v>
      </c>
      <c r="R1398" t="s">
        <v>28</v>
      </c>
      <c r="S1398" t="s">
        <v>6312</v>
      </c>
      <c r="T1398" t="s">
        <v>6313</v>
      </c>
      <c r="W1398" t="s">
        <v>193</v>
      </c>
      <c r="X1398" t="s">
        <v>34</v>
      </c>
      <c r="Y1398" t="str">
        <f>"77441"</f>
        <v>77441</v>
      </c>
    </row>
    <row r="1399" spans="1:25" x14ac:dyDescent="0.25">
      <c r="A1399" t="s">
        <v>6314</v>
      </c>
      <c r="B1399" t="s">
        <v>6315</v>
      </c>
      <c r="C1399">
        <v>2020</v>
      </c>
      <c r="D1399">
        <v>8001</v>
      </c>
      <c r="E1399">
        <v>1</v>
      </c>
      <c r="F1399" t="s">
        <v>6316</v>
      </c>
      <c r="G1399">
        <v>27143412</v>
      </c>
      <c r="J1399">
        <v>10.72</v>
      </c>
      <c r="L1399">
        <v>45192909</v>
      </c>
      <c r="M1399" s="1">
        <v>44174</v>
      </c>
      <c r="N1399" t="str">
        <f>"RC201217"</f>
        <v>RC201217</v>
      </c>
      <c r="O1399" t="s">
        <v>28</v>
      </c>
      <c r="Q1399" t="s">
        <v>29</v>
      </c>
      <c r="R1399" t="s">
        <v>28</v>
      </c>
      <c r="S1399" t="s">
        <v>6317</v>
      </c>
      <c r="T1399" t="s">
        <v>6318</v>
      </c>
      <c r="W1399" t="s">
        <v>75</v>
      </c>
      <c r="X1399" t="s">
        <v>34</v>
      </c>
      <c r="Y1399" t="str">
        <f>"770532149"</f>
        <v>770532149</v>
      </c>
    </row>
    <row r="1400" spans="1:25" x14ac:dyDescent="0.25">
      <c r="A1400" t="s">
        <v>6319</v>
      </c>
      <c r="B1400" t="s">
        <v>6320</v>
      </c>
      <c r="C1400">
        <v>2018</v>
      </c>
      <c r="D1400">
        <v>8001</v>
      </c>
      <c r="E1400">
        <v>2</v>
      </c>
      <c r="F1400" t="s">
        <v>6321</v>
      </c>
      <c r="G1400">
        <v>25358982</v>
      </c>
      <c r="J1400">
        <v>126.19</v>
      </c>
      <c r="L1400">
        <v>41072159</v>
      </c>
      <c r="M1400" s="1">
        <v>43559</v>
      </c>
      <c r="N1400" t="str">
        <f>"J190404K3"</f>
        <v>J190404K3</v>
      </c>
      <c r="O1400" t="s">
        <v>28</v>
      </c>
      <c r="Q1400" t="s">
        <v>29</v>
      </c>
      <c r="R1400" t="s">
        <v>28</v>
      </c>
      <c r="S1400" t="s">
        <v>363</v>
      </c>
      <c r="T1400" t="s">
        <v>6322</v>
      </c>
      <c r="W1400" t="s">
        <v>226</v>
      </c>
      <c r="X1400" t="s">
        <v>227</v>
      </c>
      <c r="Y1400" t="str">
        <f>"85258"</f>
        <v>85258</v>
      </c>
    </row>
    <row r="1401" spans="1:25" x14ac:dyDescent="0.25">
      <c r="A1401" t="s">
        <v>6323</v>
      </c>
      <c r="B1401" t="s">
        <v>6324</v>
      </c>
      <c r="C1401">
        <v>2019</v>
      </c>
      <c r="D1401">
        <v>8001</v>
      </c>
      <c r="E1401">
        <v>1</v>
      </c>
      <c r="F1401" t="s">
        <v>6325</v>
      </c>
      <c r="G1401">
        <v>21634705</v>
      </c>
      <c r="J1401">
        <v>7.12</v>
      </c>
      <c r="L1401">
        <v>43907845</v>
      </c>
      <c r="M1401" s="1">
        <v>43899</v>
      </c>
      <c r="N1401" t="str">
        <f>"J200309AW1"</f>
        <v>J200309AW1</v>
      </c>
      <c r="O1401" t="s">
        <v>28</v>
      </c>
      <c r="Q1401" t="s">
        <v>29</v>
      </c>
      <c r="R1401" t="s">
        <v>28</v>
      </c>
      <c r="S1401" t="s">
        <v>6326</v>
      </c>
      <c r="T1401" t="s">
        <v>6327</v>
      </c>
      <c r="W1401" t="s">
        <v>81</v>
      </c>
      <c r="X1401" t="s">
        <v>34</v>
      </c>
      <c r="Y1401" t="str">
        <f>"77406"</f>
        <v>77406</v>
      </c>
    </row>
    <row r="1402" spans="1:25" x14ac:dyDescent="0.25">
      <c r="A1402" t="s">
        <v>6328</v>
      </c>
      <c r="B1402" t="s">
        <v>6329</v>
      </c>
      <c r="C1402">
        <v>2020</v>
      </c>
      <c r="D1402">
        <v>8001</v>
      </c>
      <c r="E1402">
        <v>1</v>
      </c>
      <c r="F1402" t="s">
        <v>6330</v>
      </c>
      <c r="G1402">
        <v>0</v>
      </c>
      <c r="J1402">
        <v>65.67</v>
      </c>
      <c r="L1402">
        <v>47055309</v>
      </c>
      <c r="M1402" s="1">
        <v>44263</v>
      </c>
      <c r="N1402" t="str">
        <f>"L210308"</f>
        <v>L210308</v>
      </c>
      <c r="O1402" t="s">
        <v>28</v>
      </c>
      <c r="Q1402" t="s">
        <v>29</v>
      </c>
      <c r="R1402" t="s">
        <v>28</v>
      </c>
      <c r="S1402" t="s">
        <v>6330</v>
      </c>
      <c r="T1402" t="s">
        <v>6331</v>
      </c>
      <c r="U1402" t="s">
        <v>6332</v>
      </c>
      <c r="V1402" t="s">
        <v>60</v>
      </c>
      <c r="W1402" t="s">
        <v>1137</v>
      </c>
      <c r="X1402" t="s">
        <v>34</v>
      </c>
      <c r="Y1402" t="str">
        <f>"774920654   "</f>
        <v xml:space="preserve">774920654   </v>
      </c>
    </row>
    <row r="1403" spans="1:25" x14ac:dyDescent="0.25">
      <c r="A1403" t="s">
        <v>6333</v>
      </c>
      <c r="B1403" t="s">
        <v>6334</v>
      </c>
      <c r="C1403">
        <v>2021</v>
      </c>
      <c r="D1403">
        <v>8001</v>
      </c>
      <c r="E1403">
        <v>1</v>
      </c>
      <c r="F1403" t="s">
        <v>6335</v>
      </c>
      <c r="G1403">
        <v>25519900</v>
      </c>
      <c r="J1403">
        <v>28.09</v>
      </c>
      <c r="L1403">
        <v>50090004</v>
      </c>
      <c r="M1403" s="1">
        <v>44600</v>
      </c>
      <c r="N1403" t="str">
        <f>"RC220315"</f>
        <v>RC220315</v>
      </c>
      <c r="O1403" t="s">
        <v>28</v>
      </c>
      <c r="Q1403" t="s">
        <v>29</v>
      </c>
      <c r="R1403" t="s">
        <v>28</v>
      </c>
      <c r="S1403" t="s">
        <v>6336</v>
      </c>
      <c r="T1403" t="s">
        <v>6337</v>
      </c>
      <c r="W1403" t="s">
        <v>618</v>
      </c>
      <c r="X1403" t="s">
        <v>34</v>
      </c>
      <c r="Y1403" t="str">
        <f>"774618425"</f>
        <v>774618425</v>
      </c>
    </row>
    <row r="1404" spans="1:25" x14ac:dyDescent="0.25">
      <c r="A1404" t="s">
        <v>6338</v>
      </c>
      <c r="B1404" t="s">
        <v>6339</v>
      </c>
      <c r="C1404">
        <v>2021</v>
      </c>
      <c r="D1404">
        <v>8001</v>
      </c>
      <c r="E1404">
        <v>1</v>
      </c>
      <c r="F1404" t="s">
        <v>6340</v>
      </c>
      <c r="G1404">
        <v>0</v>
      </c>
      <c r="J1404">
        <v>39.19</v>
      </c>
      <c r="L1404">
        <v>48846000</v>
      </c>
      <c r="M1404" s="1">
        <v>44564</v>
      </c>
      <c r="N1404" t="str">
        <f>"L220103"</f>
        <v>L220103</v>
      </c>
      <c r="O1404" t="s">
        <v>28</v>
      </c>
      <c r="Q1404" t="s">
        <v>29</v>
      </c>
      <c r="R1404" t="s">
        <v>28</v>
      </c>
      <c r="S1404" t="s">
        <v>6340</v>
      </c>
      <c r="T1404" t="s">
        <v>6341</v>
      </c>
      <c r="U1404" t="s">
        <v>60</v>
      </c>
      <c r="V1404" t="s">
        <v>60</v>
      </c>
      <c r="W1404" t="s">
        <v>219</v>
      </c>
      <c r="X1404" t="s">
        <v>34</v>
      </c>
      <c r="Y1404" t="str">
        <f>"774783554   "</f>
        <v xml:space="preserve">774783554   </v>
      </c>
    </row>
    <row r="1405" spans="1:25" x14ac:dyDescent="0.25">
      <c r="A1405" t="s">
        <v>6342</v>
      </c>
      <c r="B1405" t="s">
        <v>6343</v>
      </c>
      <c r="C1405">
        <v>2020</v>
      </c>
      <c r="D1405">
        <v>8001</v>
      </c>
      <c r="E1405">
        <v>1</v>
      </c>
      <c r="F1405" t="s">
        <v>6344</v>
      </c>
      <c r="G1405">
        <v>0</v>
      </c>
      <c r="J1405">
        <v>204.68</v>
      </c>
      <c r="L1405">
        <v>45525220</v>
      </c>
      <c r="M1405" s="1">
        <v>44194</v>
      </c>
      <c r="N1405" t="str">
        <f>"EL201229"</f>
        <v>EL201229</v>
      </c>
      <c r="O1405" t="s">
        <v>28</v>
      </c>
      <c r="Q1405" t="s">
        <v>29</v>
      </c>
      <c r="R1405" t="s">
        <v>28</v>
      </c>
      <c r="S1405" t="s">
        <v>6344</v>
      </c>
      <c r="T1405" t="s">
        <v>6345</v>
      </c>
      <c r="U1405" t="s">
        <v>6346</v>
      </c>
      <c r="V1405" t="s">
        <v>60</v>
      </c>
      <c r="W1405" t="s">
        <v>273</v>
      </c>
      <c r="X1405" t="s">
        <v>34</v>
      </c>
      <c r="Y1405" t="str">
        <f>"774411514   "</f>
        <v xml:space="preserve">774411514   </v>
      </c>
    </row>
    <row r="1406" spans="1:25" x14ac:dyDescent="0.25">
      <c r="A1406" t="s">
        <v>6347</v>
      </c>
      <c r="B1406" t="s">
        <v>6348</v>
      </c>
      <c r="C1406">
        <v>2020</v>
      </c>
      <c r="D1406">
        <v>8001</v>
      </c>
      <c r="E1406">
        <v>1</v>
      </c>
      <c r="F1406" t="s">
        <v>6349</v>
      </c>
      <c r="G1406">
        <v>29137164</v>
      </c>
      <c r="J1406">
        <v>8.09</v>
      </c>
      <c r="L1406">
        <v>45708232</v>
      </c>
      <c r="M1406" s="1">
        <v>44201</v>
      </c>
      <c r="N1406" t="str">
        <f>"RC210120"</f>
        <v>RC210120</v>
      </c>
      <c r="O1406" t="s">
        <v>28</v>
      </c>
      <c r="Q1406" t="s">
        <v>29</v>
      </c>
      <c r="R1406" t="s">
        <v>28</v>
      </c>
      <c r="S1406" t="s">
        <v>6349</v>
      </c>
      <c r="T1406" t="s">
        <v>6350</v>
      </c>
      <c r="W1406" t="s">
        <v>193</v>
      </c>
      <c r="X1406" t="s">
        <v>34</v>
      </c>
      <c r="Y1406" t="str">
        <f>"77441"</f>
        <v>77441</v>
      </c>
    </row>
    <row r="1407" spans="1:25" x14ac:dyDescent="0.25">
      <c r="A1407" t="s">
        <v>6351</v>
      </c>
      <c r="B1407" t="s">
        <v>6352</v>
      </c>
      <c r="C1407">
        <v>2020</v>
      </c>
      <c r="D1407">
        <v>8001</v>
      </c>
      <c r="E1407">
        <v>3</v>
      </c>
      <c r="F1407" t="s">
        <v>6353</v>
      </c>
      <c r="G1407">
        <v>30081991</v>
      </c>
      <c r="J1407">
        <v>14.5</v>
      </c>
      <c r="L1407">
        <v>47939666</v>
      </c>
      <c r="M1407" s="1">
        <v>44502</v>
      </c>
      <c r="N1407" t="str">
        <f>"CC211102"</f>
        <v>CC211102</v>
      </c>
      <c r="O1407" t="s">
        <v>28</v>
      </c>
      <c r="Q1407" t="s">
        <v>29</v>
      </c>
      <c r="R1407" t="s">
        <v>28</v>
      </c>
      <c r="S1407" t="s">
        <v>3744</v>
      </c>
      <c r="T1407" t="s">
        <v>3745</v>
      </c>
      <c r="W1407" t="s">
        <v>392</v>
      </c>
      <c r="X1407" t="s">
        <v>34</v>
      </c>
      <c r="Y1407" t="str">
        <f>"77489"</f>
        <v>77489</v>
      </c>
    </row>
    <row r="1408" spans="1:25" x14ac:dyDescent="0.25">
      <c r="A1408" t="s">
        <v>6354</v>
      </c>
      <c r="B1408" t="s">
        <v>6355</v>
      </c>
      <c r="C1408">
        <v>2020</v>
      </c>
      <c r="D1408">
        <v>8001</v>
      </c>
      <c r="E1408">
        <v>1</v>
      </c>
      <c r="F1408" t="s">
        <v>6356</v>
      </c>
      <c r="G1408">
        <v>29461890</v>
      </c>
      <c r="J1408">
        <v>34.58</v>
      </c>
      <c r="L1408">
        <v>46728890</v>
      </c>
      <c r="M1408" s="1">
        <v>44230</v>
      </c>
      <c r="N1408" t="str">
        <f>"EK210203"</f>
        <v>EK210203</v>
      </c>
      <c r="O1408" t="s">
        <v>28</v>
      </c>
      <c r="Q1408" t="s">
        <v>29</v>
      </c>
      <c r="R1408" t="s">
        <v>28</v>
      </c>
      <c r="S1408" t="s">
        <v>6357</v>
      </c>
      <c r="T1408" t="s">
        <v>6358</v>
      </c>
      <c r="W1408" t="s">
        <v>727</v>
      </c>
      <c r="X1408" t="s">
        <v>34</v>
      </c>
      <c r="Y1408" t="str">
        <f>"77583"</f>
        <v>77583</v>
      </c>
    </row>
    <row r="1409" spans="1:25" x14ac:dyDescent="0.25">
      <c r="A1409" t="s">
        <v>6359</v>
      </c>
      <c r="B1409" t="s">
        <v>6360</v>
      </c>
      <c r="C1409">
        <v>2020</v>
      </c>
      <c r="D1409">
        <v>8001</v>
      </c>
      <c r="E1409">
        <v>1</v>
      </c>
      <c r="F1409" t="s">
        <v>6361</v>
      </c>
      <c r="G1409">
        <v>0</v>
      </c>
      <c r="J1409">
        <v>13.28</v>
      </c>
      <c r="L1409">
        <v>46880570</v>
      </c>
      <c r="M1409" s="1">
        <v>44236</v>
      </c>
      <c r="N1409" t="str">
        <f>"J210209K5"</f>
        <v>J210209K5</v>
      </c>
      <c r="O1409" t="s">
        <v>28</v>
      </c>
      <c r="Q1409" t="s">
        <v>29</v>
      </c>
      <c r="R1409" t="s">
        <v>28</v>
      </c>
      <c r="S1409" t="s">
        <v>3251</v>
      </c>
      <c r="T1409" t="s">
        <v>3252</v>
      </c>
      <c r="U1409" t="s">
        <v>60</v>
      </c>
      <c r="V1409" t="s">
        <v>60</v>
      </c>
      <c r="W1409" t="s">
        <v>214</v>
      </c>
      <c r="X1409" t="s">
        <v>34</v>
      </c>
      <c r="Y1409" t="str">
        <f>"774692524   "</f>
        <v xml:space="preserve">774692524   </v>
      </c>
    </row>
    <row r="1410" spans="1:25" x14ac:dyDescent="0.25">
      <c r="A1410" t="s">
        <v>6362</v>
      </c>
      <c r="B1410" t="s">
        <v>6363</v>
      </c>
      <c r="C1410">
        <v>2020</v>
      </c>
      <c r="D1410">
        <v>8001</v>
      </c>
      <c r="E1410">
        <v>1</v>
      </c>
      <c r="F1410" t="s">
        <v>6364</v>
      </c>
      <c r="G1410">
        <v>0</v>
      </c>
      <c r="J1410">
        <v>22.67</v>
      </c>
      <c r="L1410">
        <v>47046475</v>
      </c>
      <c r="M1410" s="1">
        <v>44260</v>
      </c>
      <c r="N1410" t="str">
        <f>"J210305BW6"</f>
        <v>J210305BW6</v>
      </c>
      <c r="O1410" t="s">
        <v>28</v>
      </c>
      <c r="Q1410" t="s">
        <v>29</v>
      </c>
      <c r="R1410" t="s">
        <v>28</v>
      </c>
      <c r="S1410" t="s">
        <v>6364</v>
      </c>
      <c r="T1410" t="s">
        <v>6365</v>
      </c>
      <c r="U1410" t="s">
        <v>6366</v>
      </c>
      <c r="V1410" t="s">
        <v>60</v>
      </c>
      <c r="W1410" t="s">
        <v>376</v>
      </c>
      <c r="X1410" t="s">
        <v>34</v>
      </c>
      <c r="Y1410" t="str">
        <f>"774775511   "</f>
        <v xml:space="preserve">774775511   </v>
      </c>
    </row>
    <row r="1411" spans="1:25" x14ac:dyDescent="0.25">
      <c r="A1411" t="s">
        <v>6367</v>
      </c>
      <c r="B1411" t="s">
        <v>6368</v>
      </c>
      <c r="C1411">
        <v>2020</v>
      </c>
      <c r="D1411">
        <v>8001</v>
      </c>
      <c r="E1411">
        <v>1</v>
      </c>
      <c r="F1411" t="s">
        <v>6369</v>
      </c>
      <c r="G1411">
        <v>29624095</v>
      </c>
      <c r="J1411">
        <v>7.7</v>
      </c>
      <c r="L1411">
        <v>47068254</v>
      </c>
      <c r="M1411" s="1">
        <v>44265</v>
      </c>
      <c r="N1411" t="str">
        <f>"O210310BE1"</f>
        <v>O210310BE1</v>
      </c>
      <c r="O1411" t="s">
        <v>28</v>
      </c>
      <c r="Q1411" t="s">
        <v>29</v>
      </c>
      <c r="R1411" t="s">
        <v>28</v>
      </c>
      <c r="S1411" t="s">
        <v>6370</v>
      </c>
      <c r="T1411" t="s">
        <v>6371</v>
      </c>
      <c r="U1411" t="s">
        <v>6372</v>
      </c>
      <c r="W1411" t="s">
        <v>75</v>
      </c>
      <c r="X1411" t="s">
        <v>34</v>
      </c>
      <c r="Y1411" t="str">
        <f>"770831620"</f>
        <v>770831620</v>
      </c>
    </row>
    <row r="1412" spans="1:25" x14ac:dyDescent="0.25">
      <c r="A1412" t="s">
        <v>6373</v>
      </c>
      <c r="B1412" t="s">
        <v>6374</v>
      </c>
      <c r="C1412">
        <v>2019</v>
      </c>
      <c r="D1412">
        <v>8001</v>
      </c>
      <c r="E1412">
        <v>3</v>
      </c>
      <c r="F1412" t="s">
        <v>6375</v>
      </c>
      <c r="G1412">
        <v>0</v>
      </c>
      <c r="J1412">
        <v>7.32</v>
      </c>
      <c r="L1412">
        <v>43954605</v>
      </c>
      <c r="M1412" s="1">
        <v>43908</v>
      </c>
      <c r="N1412" t="str">
        <f>"J200318K5"</f>
        <v>J200318K5</v>
      </c>
      <c r="O1412" t="s">
        <v>28</v>
      </c>
      <c r="Q1412" t="s">
        <v>29</v>
      </c>
      <c r="R1412" t="s">
        <v>28</v>
      </c>
      <c r="S1412" t="s">
        <v>6375</v>
      </c>
      <c r="T1412" t="s">
        <v>6376</v>
      </c>
      <c r="U1412" t="s">
        <v>60</v>
      </c>
      <c r="V1412" t="s">
        <v>60</v>
      </c>
      <c r="W1412" t="s">
        <v>219</v>
      </c>
      <c r="X1412" t="s">
        <v>34</v>
      </c>
      <c r="Y1412" t="str">
        <f>"774693952   "</f>
        <v xml:space="preserve">774693952   </v>
      </c>
    </row>
    <row r="1413" spans="1:25" x14ac:dyDescent="0.25">
      <c r="A1413" t="s">
        <v>6377</v>
      </c>
      <c r="B1413" t="s">
        <v>6378</v>
      </c>
      <c r="C1413">
        <v>2019</v>
      </c>
      <c r="D1413">
        <v>8001</v>
      </c>
      <c r="E1413">
        <v>1</v>
      </c>
      <c r="F1413" t="s">
        <v>6379</v>
      </c>
      <c r="G1413">
        <v>0</v>
      </c>
      <c r="J1413">
        <v>8.5399999999999991</v>
      </c>
      <c r="L1413">
        <v>43891548</v>
      </c>
      <c r="M1413" s="1">
        <v>43895</v>
      </c>
      <c r="N1413" t="str">
        <f>"J200305K10"</f>
        <v>J200305K10</v>
      </c>
      <c r="O1413" t="s">
        <v>28</v>
      </c>
      <c r="Q1413" t="s">
        <v>29</v>
      </c>
      <c r="R1413" t="s">
        <v>28</v>
      </c>
      <c r="S1413" t="s">
        <v>6379</v>
      </c>
      <c r="T1413" t="s">
        <v>6380</v>
      </c>
      <c r="U1413" t="s">
        <v>60</v>
      </c>
      <c r="V1413" t="s">
        <v>60</v>
      </c>
      <c r="W1413" t="s">
        <v>214</v>
      </c>
      <c r="X1413" t="s">
        <v>34</v>
      </c>
      <c r="Y1413" t="str">
        <f>"774065819   "</f>
        <v xml:space="preserve">774065819   </v>
      </c>
    </row>
    <row r="1414" spans="1:25" x14ac:dyDescent="0.25">
      <c r="A1414" t="s">
        <v>6381</v>
      </c>
      <c r="B1414" t="s">
        <v>6382</v>
      </c>
      <c r="C1414">
        <v>2020</v>
      </c>
      <c r="D1414">
        <v>8001</v>
      </c>
      <c r="E1414">
        <v>2</v>
      </c>
      <c r="F1414" t="s">
        <v>6383</v>
      </c>
      <c r="G1414">
        <v>29833761</v>
      </c>
      <c r="J1414">
        <v>55.13</v>
      </c>
      <c r="L1414">
        <v>47682230</v>
      </c>
      <c r="M1414" s="1">
        <v>44414</v>
      </c>
      <c r="N1414" t="str">
        <f>"RC210810"</f>
        <v>RC210810</v>
      </c>
      <c r="O1414" t="s">
        <v>28</v>
      </c>
      <c r="Q1414" t="s">
        <v>29</v>
      </c>
      <c r="R1414" t="s">
        <v>28</v>
      </c>
      <c r="S1414" t="s">
        <v>6383</v>
      </c>
      <c r="T1414" t="s">
        <v>6384</v>
      </c>
      <c r="W1414" t="s">
        <v>6385</v>
      </c>
      <c r="X1414" t="s">
        <v>162</v>
      </c>
      <c r="Y1414" t="str">
        <f>"073101686"</f>
        <v>073101686</v>
      </c>
    </row>
    <row r="1415" spans="1:25" x14ac:dyDescent="0.25">
      <c r="A1415" t="s">
        <v>6386</v>
      </c>
      <c r="B1415" t="s">
        <v>6387</v>
      </c>
      <c r="C1415">
        <v>2019</v>
      </c>
      <c r="D1415">
        <v>8001</v>
      </c>
      <c r="E1415">
        <v>1</v>
      </c>
      <c r="F1415" t="s">
        <v>6388</v>
      </c>
      <c r="G1415">
        <v>28305665</v>
      </c>
      <c r="J1415">
        <v>14.72</v>
      </c>
      <c r="L1415">
        <v>43875720</v>
      </c>
      <c r="M1415" s="1">
        <v>43894</v>
      </c>
      <c r="N1415" t="str">
        <f>"EK200304"</f>
        <v>EK200304</v>
      </c>
      <c r="O1415" t="s">
        <v>28</v>
      </c>
      <c r="Q1415" t="s">
        <v>29</v>
      </c>
      <c r="R1415" t="s">
        <v>28</v>
      </c>
      <c r="S1415" t="s">
        <v>6389</v>
      </c>
      <c r="T1415" t="s">
        <v>6390</v>
      </c>
      <c r="W1415" t="s">
        <v>40</v>
      </c>
      <c r="X1415" t="s">
        <v>34</v>
      </c>
      <c r="Y1415" t="str">
        <f>"77498"</f>
        <v>77498</v>
      </c>
    </row>
    <row r="1416" spans="1:25" x14ac:dyDescent="0.25">
      <c r="A1416" t="s">
        <v>6391</v>
      </c>
      <c r="B1416" t="s">
        <v>6392</v>
      </c>
      <c r="C1416">
        <v>2020</v>
      </c>
      <c r="D1416">
        <v>8001</v>
      </c>
      <c r="E1416">
        <v>1</v>
      </c>
      <c r="F1416" t="s">
        <v>6393</v>
      </c>
      <c r="G1416">
        <v>29955720</v>
      </c>
      <c r="J1416">
        <v>5.4</v>
      </c>
      <c r="L1416">
        <v>47679404</v>
      </c>
      <c r="M1416" s="1">
        <v>44413</v>
      </c>
      <c r="N1416" t="str">
        <f>"CC210805"</f>
        <v>CC210805</v>
      </c>
      <c r="O1416" t="s">
        <v>28</v>
      </c>
      <c r="Q1416" t="s">
        <v>29</v>
      </c>
      <c r="R1416" t="s">
        <v>28</v>
      </c>
      <c r="S1416" t="s">
        <v>6394</v>
      </c>
      <c r="T1416" t="s">
        <v>6395</v>
      </c>
      <c r="W1416" t="s">
        <v>1160</v>
      </c>
      <c r="X1416" t="s">
        <v>34</v>
      </c>
      <c r="Y1416" t="str">
        <f>"77545"</f>
        <v>77545</v>
      </c>
    </row>
    <row r="1417" spans="1:25" x14ac:dyDescent="0.25">
      <c r="A1417" t="s">
        <v>6396</v>
      </c>
      <c r="B1417" t="s">
        <v>6397</v>
      </c>
      <c r="C1417">
        <v>2021</v>
      </c>
      <c r="D1417">
        <v>8001</v>
      </c>
      <c r="E1417">
        <v>1</v>
      </c>
      <c r="F1417" t="s">
        <v>6398</v>
      </c>
      <c r="G1417">
        <v>0</v>
      </c>
      <c r="J1417">
        <v>36.61</v>
      </c>
      <c r="L1417">
        <v>49598351</v>
      </c>
      <c r="M1417" s="1">
        <v>44588</v>
      </c>
      <c r="N1417" t="str">
        <f>"L220127"</f>
        <v>L220127</v>
      </c>
      <c r="O1417" t="s">
        <v>28</v>
      </c>
      <c r="Q1417" t="s">
        <v>29</v>
      </c>
      <c r="R1417" t="s">
        <v>28</v>
      </c>
      <c r="S1417" t="s">
        <v>6398</v>
      </c>
      <c r="T1417" t="s">
        <v>6399</v>
      </c>
      <c r="U1417" t="s">
        <v>60</v>
      </c>
      <c r="V1417" t="s">
        <v>60</v>
      </c>
      <c r="W1417" t="s">
        <v>1333</v>
      </c>
      <c r="X1417" t="s">
        <v>34</v>
      </c>
      <c r="Y1417" t="str">
        <f>"774591802   "</f>
        <v xml:space="preserve">774591802   </v>
      </c>
    </row>
    <row r="1418" spans="1:25" x14ac:dyDescent="0.25">
      <c r="A1418" t="s">
        <v>6400</v>
      </c>
      <c r="B1418" t="s">
        <v>6401</v>
      </c>
      <c r="C1418">
        <v>2019</v>
      </c>
      <c r="D1418">
        <v>8001</v>
      </c>
      <c r="E1418">
        <v>1</v>
      </c>
      <c r="F1418" t="s">
        <v>6402</v>
      </c>
      <c r="G1418">
        <v>0</v>
      </c>
      <c r="J1418">
        <v>79.5</v>
      </c>
      <c r="L1418">
        <v>42506460</v>
      </c>
      <c r="M1418" s="1">
        <v>43829</v>
      </c>
      <c r="N1418" t="str">
        <f>"J191230AW16"</f>
        <v>J191230AW16</v>
      </c>
      <c r="O1418" t="s">
        <v>28</v>
      </c>
      <c r="Q1418" t="s">
        <v>29</v>
      </c>
      <c r="R1418" t="s">
        <v>28</v>
      </c>
      <c r="S1418" t="s">
        <v>6402</v>
      </c>
      <c r="T1418" t="s">
        <v>6403</v>
      </c>
      <c r="U1418" t="s">
        <v>6404</v>
      </c>
      <c r="V1418">
        <v>400</v>
      </c>
      <c r="W1418" t="s">
        <v>219</v>
      </c>
      <c r="X1418" t="s">
        <v>34</v>
      </c>
      <c r="Y1418" t="str">
        <f>"774783842   "</f>
        <v xml:space="preserve">774783842   </v>
      </c>
    </row>
    <row r="1419" spans="1:25" x14ac:dyDescent="0.25">
      <c r="A1419" t="s">
        <v>6405</v>
      </c>
      <c r="B1419" t="s">
        <v>6406</v>
      </c>
      <c r="C1419">
        <v>2020</v>
      </c>
      <c r="D1419">
        <v>8001</v>
      </c>
      <c r="E1419">
        <v>1</v>
      </c>
      <c r="F1419" t="s">
        <v>6407</v>
      </c>
      <c r="G1419">
        <v>29489439</v>
      </c>
      <c r="J1419">
        <v>67.66</v>
      </c>
      <c r="L1419">
        <v>46782138</v>
      </c>
      <c r="M1419" s="1">
        <v>44231</v>
      </c>
      <c r="N1419" t="str">
        <f>"CC210204"</f>
        <v>CC210204</v>
      </c>
      <c r="O1419" t="s">
        <v>28</v>
      </c>
      <c r="Q1419" t="s">
        <v>29</v>
      </c>
      <c r="R1419" t="s">
        <v>28</v>
      </c>
      <c r="S1419" t="s">
        <v>6408</v>
      </c>
      <c r="T1419" t="s">
        <v>6409</v>
      </c>
      <c r="W1419" t="s">
        <v>6410</v>
      </c>
      <c r="X1419" t="s">
        <v>264</v>
      </c>
      <c r="Y1419" t="str">
        <f>"641050000"</f>
        <v>641050000</v>
      </c>
    </row>
    <row r="1420" spans="1:25" x14ac:dyDescent="0.25">
      <c r="A1420" t="s">
        <v>6411</v>
      </c>
      <c r="B1420" t="s">
        <v>6412</v>
      </c>
      <c r="C1420">
        <v>2020</v>
      </c>
      <c r="D1420">
        <v>8001</v>
      </c>
      <c r="E1420">
        <v>2</v>
      </c>
      <c r="F1420" t="s">
        <v>6413</v>
      </c>
      <c r="G1420">
        <v>27365235</v>
      </c>
      <c r="J1420">
        <v>12.73</v>
      </c>
      <c r="L1420">
        <v>47290977</v>
      </c>
      <c r="M1420" s="1">
        <v>44300</v>
      </c>
      <c r="N1420" t="str">
        <f>"RC210425"</f>
        <v>RC210425</v>
      </c>
      <c r="O1420" t="s">
        <v>28</v>
      </c>
      <c r="Q1420" t="s">
        <v>29</v>
      </c>
      <c r="R1420" t="s">
        <v>28</v>
      </c>
      <c r="S1420" t="s">
        <v>6414</v>
      </c>
      <c r="T1420" t="s">
        <v>6415</v>
      </c>
      <c r="W1420" t="s">
        <v>81</v>
      </c>
      <c r="X1420" t="s">
        <v>34</v>
      </c>
      <c r="Y1420" t="str">
        <f>"774070825"</f>
        <v>774070825</v>
      </c>
    </row>
    <row r="1421" spans="1:25" x14ac:dyDescent="0.25">
      <c r="A1421" t="s">
        <v>6416</v>
      </c>
      <c r="B1421" t="s">
        <v>6417</v>
      </c>
      <c r="C1421">
        <v>2020</v>
      </c>
      <c r="D1421">
        <v>8001</v>
      </c>
      <c r="E1421">
        <v>1</v>
      </c>
      <c r="F1421" t="s">
        <v>6418</v>
      </c>
      <c r="G1421">
        <v>28897467</v>
      </c>
      <c r="J1421">
        <v>27.45</v>
      </c>
      <c r="L1421">
        <v>45218425</v>
      </c>
      <c r="M1421" s="1">
        <v>44175</v>
      </c>
      <c r="N1421" t="str">
        <f>"RC201217"</f>
        <v>RC201217</v>
      </c>
      <c r="O1421" t="s">
        <v>28</v>
      </c>
      <c r="Q1421" t="s">
        <v>29</v>
      </c>
      <c r="R1421" t="s">
        <v>28</v>
      </c>
      <c r="S1421" t="s">
        <v>6419</v>
      </c>
      <c r="T1421" t="s">
        <v>6420</v>
      </c>
      <c r="W1421" t="s">
        <v>40</v>
      </c>
      <c r="X1421" t="s">
        <v>34</v>
      </c>
      <c r="Y1421" t="str">
        <f>"774982316"</f>
        <v>774982316</v>
      </c>
    </row>
    <row r="1422" spans="1:25" x14ac:dyDescent="0.25">
      <c r="A1422" t="s">
        <v>6421</v>
      </c>
      <c r="B1422" t="s">
        <v>6422</v>
      </c>
      <c r="C1422">
        <v>2019</v>
      </c>
      <c r="D1422">
        <v>8001</v>
      </c>
      <c r="E1422">
        <v>1</v>
      </c>
      <c r="F1422" t="s">
        <v>6423</v>
      </c>
      <c r="G1422">
        <v>28310305</v>
      </c>
      <c r="J1422">
        <v>39.270000000000003</v>
      </c>
      <c r="L1422">
        <v>43887126</v>
      </c>
      <c r="M1422" s="1">
        <v>43895</v>
      </c>
      <c r="N1422" t="str">
        <f>"CC200305"</f>
        <v>CC200305</v>
      </c>
      <c r="O1422" t="s">
        <v>28</v>
      </c>
      <c r="Q1422" t="s">
        <v>29</v>
      </c>
      <c r="R1422" t="s">
        <v>28</v>
      </c>
      <c r="S1422" t="s">
        <v>6424</v>
      </c>
      <c r="T1422" t="s">
        <v>6425</v>
      </c>
      <c r="W1422" t="s">
        <v>371</v>
      </c>
      <c r="X1422" t="s">
        <v>34</v>
      </c>
      <c r="Y1422" t="str">
        <f>"77477"</f>
        <v>77477</v>
      </c>
    </row>
    <row r="1423" spans="1:25" x14ac:dyDescent="0.25">
      <c r="A1423" t="s">
        <v>6426</v>
      </c>
      <c r="B1423" t="s">
        <v>6427</v>
      </c>
      <c r="C1423">
        <v>2020</v>
      </c>
      <c r="D1423">
        <v>8001</v>
      </c>
      <c r="E1423">
        <v>1</v>
      </c>
      <c r="F1423" t="s">
        <v>6428</v>
      </c>
      <c r="G1423">
        <v>30087216</v>
      </c>
      <c r="J1423">
        <v>8.48</v>
      </c>
      <c r="L1423">
        <v>47955632</v>
      </c>
      <c r="M1423" s="1">
        <v>44503</v>
      </c>
      <c r="N1423" t="str">
        <f>"EK211103"</f>
        <v>EK211103</v>
      </c>
      <c r="O1423" t="s">
        <v>28</v>
      </c>
      <c r="Q1423" t="s">
        <v>29</v>
      </c>
      <c r="R1423" t="s">
        <v>28</v>
      </c>
      <c r="S1423" t="s">
        <v>6429</v>
      </c>
      <c r="T1423" t="s">
        <v>6430</v>
      </c>
      <c r="W1423" t="s">
        <v>6431</v>
      </c>
      <c r="X1423" t="s">
        <v>6432</v>
      </c>
      <c r="Y1423" t="str">
        <f>"021085004"</f>
        <v>021085004</v>
      </c>
    </row>
    <row r="1424" spans="1:25" x14ac:dyDescent="0.25">
      <c r="A1424" t="s">
        <v>6433</v>
      </c>
      <c r="B1424" t="s">
        <v>6434</v>
      </c>
      <c r="C1424">
        <v>2019</v>
      </c>
      <c r="D1424">
        <v>8001</v>
      </c>
      <c r="E1424">
        <v>4</v>
      </c>
      <c r="F1424" t="s">
        <v>6435</v>
      </c>
      <c r="G1424">
        <v>0</v>
      </c>
      <c r="J1424">
        <v>475.08</v>
      </c>
      <c r="L1424">
        <v>44153004</v>
      </c>
      <c r="M1424" s="1">
        <v>43962</v>
      </c>
      <c r="N1424" t="str">
        <f>"RPS200511U1"</f>
        <v>RPS200511U1</v>
      </c>
      <c r="O1424" t="s">
        <v>28</v>
      </c>
      <c r="Q1424" t="s">
        <v>29</v>
      </c>
      <c r="R1424" t="s">
        <v>28</v>
      </c>
      <c r="S1424" t="s">
        <v>6435</v>
      </c>
      <c r="T1424" t="s">
        <v>6436</v>
      </c>
      <c r="U1424" t="s">
        <v>60</v>
      </c>
      <c r="V1424" t="s">
        <v>60</v>
      </c>
      <c r="W1424" t="s">
        <v>2098</v>
      </c>
      <c r="X1424" t="s">
        <v>317</v>
      </c>
      <c r="Y1424" t="str">
        <f>"941052979   "</f>
        <v xml:space="preserve">941052979   </v>
      </c>
    </row>
    <row r="1425" spans="1:25" x14ac:dyDescent="0.25">
      <c r="A1425" t="s">
        <v>6437</v>
      </c>
      <c r="B1425" t="s">
        <v>6438</v>
      </c>
      <c r="C1425">
        <v>2020</v>
      </c>
      <c r="D1425">
        <v>8001</v>
      </c>
      <c r="E1425">
        <v>1</v>
      </c>
      <c r="F1425" t="s">
        <v>6439</v>
      </c>
      <c r="G1425">
        <v>29489485</v>
      </c>
      <c r="J1425">
        <v>27.75</v>
      </c>
      <c r="L1425">
        <v>46782184</v>
      </c>
      <c r="M1425" s="1">
        <v>44231</v>
      </c>
      <c r="N1425" t="str">
        <f>"CC210204"</f>
        <v>CC210204</v>
      </c>
      <c r="O1425" t="s">
        <v>28</v>
      </c>
      <c r="Q1425" t="s">
        <v>29</v>
      </c>
      <c r="R1425" t="s">
        <v>28</v>
      </c>
      <c r="S1425" t="s">
        <v>6440</v>
      </c>
      <c r="T1425" t="s">
        <v>6441</v>
      </c>
      <c r="W1425" t="s">
        <v>40</v>
      </c>
      <c r="X1425" t="s">
        <v>34</v>
      </c>
      <c r="Y1425" t="str">
        <f>"77479"</f>
        <v>77479</v>
      </c>
    </row>
    <row r="1426" spans="1:25" x14ac:dyDescent="0.25">
      <c r="A1426" t="s">
        <v>6442</v>
      </c>
      <c r="B1426" t="s">
        <v>6443</v>
      </c>
      <c r="C1426">
        <v>2019</v>
      </c>
      <c r="D1426">
        <v>8001</v>
      </c>
      <c r="E1426">
        <v>1</v>
      </c>
      <c r="F1426" t="s">
        <v>6444</v>
      </c>
      <c r="G1426">
        <v>0</v>
      </c>
      <c r="J1426">
        <v>19.760000000000002</v>
      </c>
      <c r="L1426">
        <v>43606613</v>
      </c>
      <c r="M1426" s="1">
        <v>43866</v>
      </c>
      <c r="N1426" t="str">
        <f>"L200205"</f>
        <v>L200205</v>
      </c>
      <c r="O1426" t="s">
        <v>28</v>
      </c>
      <c r="Q1426" t="s">
        <v>29</v>
      </c>
      <c r="R1426" t="s">
        <v>28</v>
      </c>
      <c r="S1426" t="s">
        <v>6444</v>
      </c>
      <c r="T1426" t="s">
        <v>6445</v>
      </c>
      <c r="U1426" t="s">
        <v>60</v>
      </c>
      <c r="V1426" t="s">
        <v>60</v>
      </c>
      <c r="W1426" t="s">
        <v>214</v>
      </c>
      <c r="X1426" t="s">
        <v>34</v>
      </c>
      <c r="Y1426" t="str">
        <f>"774695418   "</f>
        <v xml:space="preserve">774695418   </v>
      </c>
    </row>
    <row r="1427" spans="1:25" x14ac:dyDescent="0.25">
      <c r="A1427" t="s">
        <v>6446</v>
      </c>
      <c r="B1427" t="s">
        <v>6447</v>
      </c>
      <c r="C1427">
        <v>2019</v>
      </c>
      <c r="D1427">
        <v>8001</v>
      </c>
      <c r="E1427">
        <v>2</v>
      </c>
      <c r="F1427" t="s">
        <v>6448</v>
      </c>
      <c r="G1427">
        <v>0</v>
      </c>
      <c r="J1427">
        <v>5.63</v>
      </c>
      <c r="L1427">
        <v>43910228</v>
      </c>
      <c r="M1427" s="1">
        <v>43899</v>
      </c>
      <c r="N1427" t="str">
        <f>"O200309F1"</f>
        <v>O200309F1</v>
      </c>
      <c r="O1427" t="s">
        <v>28</v>
      </c>
      <c r="Q1427" t="s">
        <v>29</v>
      </c>
      <c r="R1427" t="s">
        <v>28</v>
      </c>
      <c r="S1427" t="s">
        <v>6448</v>
      </c>
      <c r="T1427" t="s">
        <v>6449</v>
      </c>
      <c r="U1427" t="s">
        <v>60</v>
      </c>
      <c r="V1427" t="s">
        <v>60</v>
      </c>
      <c r="W1427" t="s">
        <v>98</v>
      </c>
      <c r="X1427" t="s">
        <v>34</v>
      </c>
      <c r="Y1427" t="str">
        <f>"774610329   "</f>
        <v xml:space="preserve">774610329   </v>
      </c>
    </row>
    <row r="1428" spans="1:25" x14ac:dyDescent="0.25">
      <c r="A1428" t="s">
        <v>6450</v>
      </c>
      <c r="B1428" t="s">
        <v>6451</v>
      </c>
      <c r="C1428">
        <v>2020</v>
      </c>
      <c r="D1428">
        <v>8001</v>
      </c>
      <c r="E1428">
        <v>1</v>
      </c>
      <c r="F1428" t="s">
        <v>6452</v>
      </c>
      <c r="G1428">
        <v>28606595</v>
      </c>
      <c r="J1428">
        <v>39.57</v>
      </c>
      <c r="L1428">
        <v>47078224</v>
      </c>
      <c r="M1428" s="1">
        <v>44266</v>
      </c>
      <c r="N1428" t="str">
        <f>"RC210317"</f>
        <v>RC210317</v>
      </c>
      <c r="O1428" t="s">
        <v>28</v>
      </c>
      <c r="Q1428" t="s">
        <v>29</v>
      </c>
      <c r="R1428" t="s">
        <v>28</v>
      </c>
      <c r="S1428" t="s">
        <v>6453</v>
      </c>
      <c r="T1428" t="s">
        <v>6454</v>
      </c>
      <c r="W1428" t="s">
        <v>371</v>
      </c>
      <c r="X1428" t="s">
        <v>34</v>
      </c>
      <c r="Y1428" t="str">
        <f>"774775517"</f>
        <v>774775517</v>
      </c>
    </row>
    <row r="1429" spans="1:25" x14ac:dyDescent="0.25">
      <c r="A1429" t="s">
        <v>6455</v>
      </c>
      <c r="B1429" t="s">
        <v>6456</v>
      </c>
      <c r="C1429">
        <v>2019</v>
      </c>
      <c r="D1429">
        <v>8001</v>
      </c>
      <c r="E1429">
        <v>1</v>
      </c>
      <c r="F1429" t="s">
        <v>6457</v>
      </c>
      <c r="G1429">
        <v>0</v>
      </c>
      <c r="J1429" s="2">
        <v>1000</v>
      </c>
      <c r="L1429">
        <v>43323612</v>
      </c>
      <c r="M1429" s="1">
        <v>43859</v>
      </c>
      <c r="N1429" t="str">
        <f>"L200129"</f>
        <v>L200129</v>
      </c>
      <c r="O1429" t="s">
        <v>28</v>
      </c>
      <c r="Q1429" t="s">
        <v>29</v>
      </c>
      <c r="R1429" t="s">
        <v>28</v>
      </c>
      <c r="S1429" t="s">
        <v>6457</v>
      </c>
      <c r="T1429" t="s">
        <v>6458</v>
      </c>
      <c r="U1429" t="s">
        <v>6459</v>
      </c>
      <c r="V1429" t="s">
        <v>60</v>
      </c>
      <c r="W1429" t="s">
        <v>6460</v>
      </c>
      <c r="X1429" t="s">
        <v>6461</v>
      </c>
      <c r="Y1429" t="str">
        <f>"530515660   "</f>
        <v xml:space="preserve">530515660   </v>
      </c>
    </row>
    <row r="1430" spans="1:25" x14ac:dyDescent="0.25">
      <c r="A1430" t="s">
        <v>6462</v>
      </c>
      <c r="B1430" t="s">
        <v>6463</v>
      </c>
      <c r="C1430">
        <v>2020</v>
      </c>
      <c r="D1430">
        <v>8001</v>
      </c>
      <c r="E1430">
        <v>1</v>
      </c>
      <c r="F1430" t="s">
        <v>6464</v>
      </c>
      <c r="G1430">
        <v>29604541</v>
      </c>
      <c r="J1430">
        <v>20.45</v>
      </c>
      <c r="L1430">
        <v>47034723</v>
      </c>
      <c r="M1430" s="1">
        <v>44259</v>
      </c>
      <c r="N1430" t="str">
        <f>"CC210304"</f>
        <v>CC210304</v>
      </c>
      <c r="O1430" t="s">
        <v>28</v>
      </c>
      <c r="Q1430" t="s">
        <v>29</v>
      </c>
      <c r="R1430" t="s">
        <v>28</v>
      </c>
      <c r="S1430" t="s">
        <v>6465</v>
      </c>
      <c r="T1430" t="s">
        <v>6466</v>
      </c>
      <c r="W1430" t="s">
        <v>81</v>
      </c>
      <c r="X1430" t="s">
        <v>34</v>
      </c>
      <c r="Y1430" t="str">
        <f>"77406"</f>
        <v>77406</v>
      </c>
    </row>
    <row r="1431" spans="1:25" x14ac:dyDescent="0.25">
      <c r="A1431" t="s">
        <v>6467</v>
      </c>
      <c r="B1431" t="s">
        <v>6468</v>
      </c>
      <c r="C1431">
        <v>2020</v>
      </c>
      <c r="D1431">
        <v>8001</v>
      </c>
      <c r="E1431">
        <v>1</v>
      </c>
      <c r="F1431" t="s">
        <v>6469</v>
      </c>
      <c r="G1431">
        <v>29604530</v>
      </c>
      <c r="J1431">
        <v>19.11</v>
      </c>
      <c r="L1431">
        <v>47034712</v>
      </c>
      <c r="M1431" s="1">
        <v>44259</v>
      </c>
      <c r="N1431" t="str">
        <f>"CC210304"</f>
        <v>CC210304</v>
      </c>
      <c r="O1431" t="s">
        <v>28</v>
      </c>
      <c r="Q1431" t="s">
        <v>29</v>
      </c>
      <c r="R1431" t="s">
        <v>28</v>
      </c>
      <c r="S1431" t="s">
        <v>6470</v>
      </c>
      <c r="T1431" t="s">
        <v>6471</v>
      </c>
      <c r="W1431" t="s">
        <v>371</v>
      </c>
      <c r="X1431" t="s">
        <v>34</v>
      </c>
      <c r="Y1431" t="str">
        <f>"77477"</f>
        <v>77477</v>
      </c>
    </row>
    <row r="1432" spans="1:25" x14ac:dyDescent="0.25">
      <c r="A1432" t="s">
        <v>6472</v>
      </c>
      <c r="B1432" t="s">
        <v>6473</v>
      </c>
      <c r="C1432">
        <v>2020</v>
      </c>
      <c r="D1432">
        <v>8001</v>
      </c>
      <c r="E1432">
        <v>3</v>
      </c>
      <c r="F1432" t="s">
        <v>6474</v>
      </c>
      <c r="G1432">
        <v>0</v>
      </c>
      <c r="J1432">
        <v>446.04</v>
      </c>
      <c r="L1432">
        <v>47579693</v>
      </c>
      <c r="M1432" s="1">
        <v>44379</v>
      </c>
      <c r="N1432" t="str">
        <f>"EL210702"</f>
        <v>EL210702</v>
      </c>
      <c r="O1432" t="s">
        <v>28</v>
      </c>
      <c r="Q1432" t="s">
        <v>29</v>
      </c>
      <c r="R1432" t="s">
        <v>28</v>
      </c>
      <c r="S1432" t="s">
        <v>6474</v>
      </c>
      <c r="T1432" t="s">
        <v>6475</v>
      </c>
      <c r="U1432" t="s">
        <v>60</v>
      </c>
      <c r="V1432" t="s">
        <v>60</v>
      </c>
      <c r="W1432" t="s">
        <v>214</v>
      </c>
      <c r="X1432" t="s">
        <v>34</v>
      </c>
      <c r="Y1432" t="str">
        <f>"774067835   "</f>
        <v xml:space="preserve">774067835   </v>
      </c>
    </row>
    <row r="1433" spans="1:25" x14ac:dyDescent="0.25">
      <c r="A1433" t="s">
        <v>6476</v>
      </c>
      <c r="B1433" t="s">
        <v>6477</v>
      </c>
      <c r="C1433">
        <v>2019</v>
      </c>
      <c r="D1433">
        <v>8001</v>
      </c>
      <c r="E1433">
        <v>1</v>
      </c>
      <c r="F1433" t="s">
        <v>6478</v>
      </c>
      <c r="G1433">
        <v>27934329</v>
      </c>
      <c r="J1433">
        <v>36.76</v>
      </c>
      <c r="L1433">
        <v>42924086</v>
      </c>
      <c r="M1433" s="1">
        <v>43846</v>
      </c>
      <c r="N1433" t="str">
        <f>"O200116AB1"</f>
        <v>O200116AB1</v>
      </c>
      <c r="O1433" t="s">
        <v>28</v>
      </c>
      <c r="Q1433" t="s">
        <v>29</v>
      </c>
      <c r="R1433" t="s">
        <v>28</v>
      </c>
      <c r="S1433" t="s">
        <v>6478</v>
      </c>
      <c r="T1433" t="s">
        <v>6479</v>
      </c>
      <c r="U1433" t="s">
        <v>6480</v>
      </c>
      <c r="W1433" t="s">
        <v>6481</v>
      </c>
      <c r="X1433" t="s">
        <v>6482</v>
      </c>
      <c r="Y1433" t="str">
        <f>"40218"</f>
        <v>40218</v>
      </c>
    </row>
    <row r="1434" spans="1:25" x14ac:dyDescent="0.25">
      <c r="A1434" t="s">
        <v>6483</v>
      </c>
      <c r="B1434" t="s">
        <v>6484</v>
      </c>
      <c r="C1434">
        <v>2019</v>
      </c>
      <c r="D1434">
        <v>8001</v>
      </c>
      <c r="E1434">
        <v>1</v>
      </c>
      <c r="F1434" t="s">
        <v>6485</v>
      </c>
      <c r="G1434">
        <v>22825511</v>
      </c>
      <c r="J1434">
        <v>22.23</v>
      </c>
      <c r="L1434">
        <v>42173507</v>
      </c>
      <c r="M1434" s="1">
        <v>43809</v>
      </c>
      <c r="N1434" t="str">
        <f>"J191210AW4"</f>
        <v>J191210AW4</v>
      </c>
      <c r="O1434" t="s">
        <v>28</v>
      </c>
      <c r="Q1434" t="s">
        <v>29</v>
      </c>
      <c r="R1434" t="s">
        <v>28</v>
      </c>
      <c r="S1434" t="s">
        <v>6486</v>
      </c>
      <c r="T1434" t="s">
        <v>6487</v>
      </c>
      <c r="W1434" t="s">
        <v>40</v>
      </c>
      <c r="X1434" t="s">
        <v>34</v>
      </c>
      <c r="Y1434" t="str">
        <f>"77478"</f>
        <v>77478</v>
      </c>
    </row>
    <row r="1435" spans="1:25" x14ac:dyDescent="0.25">
      <c r="A1435" t="s">
        <v>6488</v>
      </c>
      <c r="B1435" t="s">
        <v>6489</v>
      </c>
      <c r="C1435">
        <v>2020</v>
      </c>
      <c r="D1435">
        <v>8001</v>
      </c>
      <c r="E1435">
        <v>3</v>
      </c>
      <c r="F1435" t="s">
        <v>6490</v>
      </c>
      <c r="G1435">
        <v>0</v>
      </c>
      <c r="J1435">
        <v>209.9</v>
      </c>
      <c r="L1435">
        <v>45748435</v>
      </c>
      <c r="M1435" s="1">
        <v>44202</v>
      </c>
      <c r="N1435" t="str">
        <f>"L210106A"</f>
        <v>L210106A</v>
      </c>
      <c r="O1435" t="s">
        <v>28</v>
      </c>
      <c r="Q1435" t="s">
        <v>29</v>
      </c>
      <c r="R1435" t="s">
        <v>28</v>
      </c>
      <c r="S1435" t="s">
        <v>6490</v>
      </c>
      <c r="T1435" t="s">
        <v>6491</v>
      </c>
      <c r="U1435" t="s">
        <v>1361</v>
      </c>
      <c r="V1435" t="s">
        <v>60</v>
      </c>
      <c r="W1435" t="s">
        <v>214</v>
      </c>
      <c r="X1435" t="s">
        <v>34</v>
      </c>
      <c r="Y1435" t="str">
        <f>"774062013   "</f>
        <v xml:space="preserve">774062013   </v>
      </c>
    </row>
    <row r="1436" spans="1:25" x14ac:dyDescent="0.25">
      <c r="A1436" t="s">
        <v>6492</v>
      </c>
      <c r="B1436" t="s">
        <v>6493</v>
      </c>
      <c r="C1436">
        <v>2018</v>
      </c>
      <c r="D1436">
        <v>8001</v>
      </c>
      <c r="E1436">
        <v>3</v>
      </c>
      <c r="F1436" t="s">
        <v>6494</v>
      </c>
      <c r="G1436">
        <v>27341824</v>
      </c>
      <c r="J1436">
        <v>66.23</v>
      </c>
      <c r="L1436">
        <v>41484605</v>
      </c>
      <c r="M1436" s="1">
        <v>43686</v>
      </c>
      <c r="N1436" t="str">
        <f>"R190809BI1"</f>
        <v>R190809BI1</v>
      </c>
      <c r="O1436" t="s">
        <v>28</v>
      </c>
      <c r="Q1436" t="s">
        <v>29</v>
      </c>
      <c r="R1436" t="s">
        <v>28</v>
      </c>
      <c r="S1436" t="s">
        <v>6495</v>
      </c>
      <c r="T1436" t="s">
        <v>6496</v>
      </c>
      <c r="W1436" t="s">
        <v>392</v>
      </c>
      <c r="X1436" t="s">
        <v>34</v>
      </c>
      <c r="Y1436" t="str">
        <f>"77459-4378"</f>
        <v>77459-4378</v>
      </c>
    </row>
    <row r="1437" spans="1:25" x14ac:dyDescent="0.25">
      <c r="A1437" t="s">
        <v>6497</v>
      </c>
      <c r="B1437" t="s">
        <v>6498</v>
      </c>
      <c r="C1437">
        <v>2020</v>
      </c>
      <c r="D1437">
        <v>8001</v>
      </c>
      <c r="E1437">
        <v>1</v>
      </c>
      <c r="F1437" t="s">
        <v>6499</v>
      </c>
      <c r="G1437">
        <v>0</v>
      </c>
      <c r="J1437">
        <v>351.51</v>
      </c>
      <c r="L1437">
        <v>46894518</v>
      </c>
      <c r="M1437" s="1">
        <v>44237</v>
      </c>
      <c r="N1437" t="str">
        <f>"J210210K3"</f>
        <v>J210210K3</v>
      </c>
      <c r="O1437" t="s">
        <v>28</v>
      </c>
      <c r="Q1437" t="s">
        <v>29</v>
      </c>
      <c r="R1437" t="s">
        <v>28</v>
      </c>
      <c r="S1437" t="s">
        <v>6499</v>
      </c>
      <c r="T1437" t="s">
        <v>6500</v>
      </c>
      <c r="U1437" t="s">
        <v>6501</v>
      </c>
      <c r="V1437" t="s">
        <v>60</v>
      </c>
      <c r="W1437" t="s">
        <v>135</v>
      </c>
      <c r="X1437" t="s">
        <v>34</v>
      </c>
      <c r="Y1437" t="str">
        <f>"770941710   "</f>
        <v xml:space="preserve">770941710   </v>
      </c>
    </row>
    <row r="1438" spans="1:25" x14ac:dyDescent="0.25">
      <c r="A1438" t="s">
        <v>6502</v>
      </c>
      <c r="B1438" t="s">
        <v>6503</v>
      </c>
      <c r="C1438">
        <v>2020</v>
      </c>
      <c r="D1438">
        <v>8001</v>
      </c>
      <c r="E1438">
        <v>1</v>
      </c>
      <c r="F1438" t="s">
        <v>6504</v>
      </c>
      <c r="G1438">
        <v>0</v>
      </c>
      <c r="J1438">
        <v>46.09</v>
      </c>
      <c r="L1438">
        <v>46888331</v>
      </c>
      <c r="M1438" s="1">
        <v>44236</v>
      </c>
      <c r="N1438" t="str">
        <f>"L210209"</f>
        <v>L210209</v>
      </c>
      <c r="O1438" t="s">
        <v>28</v>
      </c>
      <c r="Q1438" t="s">
        <v>29</v>
      </c>
      <c r="R1438" t="s">
        <v>28</v>
      </c>
      <c r="S1438" t="s">
        <v>6504</v>
      </c>
      <c r="T1438" t="s">
        <v>6505</v>
      </c>
      <c r="U1438" t="s">
        <v>60</v>
      </c>
      <c r="V1438" t="s">
        <v>60</v>
      </c>
      <c r="W1438" t="s">
        <v>135</v>
      </c>
      <c r="X1438" t="s">
        <v>34</v>
      </c>
      <c r="Y1438" t="str">
        <f>"770533546   "</f>
        <v xml:space="preserve">770533546   </v>
      </c>
    </row>
    <row r="1439" spans="1:25" x14ac:dyDescent="0.25">
      <c r="A1439" t="s">
        <v>6506</v>
      </c>
      <c r="B1439" t="s">
        <v>6507</v>
      </c>
      <c r="C1439">
        <v>2019</v>
      </c>
      <c r="D1439">
        <v>8001</v>
      </c>
      <c r="E1439">
        <v>1</v>
      </c>
      <c r="F1439" t="s">
        <v>6508</v>
      </c>
      <c r="G1439">
        <v>28305491</v>
      </c>
      <c r="J1439">
        <v>31.61</v>
      </c>
      <c r="L1439">
        <v>43875243</v>
      </c>
      <c r="M1439" s="1">
        <v>43894</v>
      </c>
      <c r="N1439" t="str">
        <f>"CC400304"</f>
        <v>CC400304</v>
      </c>
      <c r="O1439" t="s">
        <v>28</v>
      </c>
      <c r="Q1439" t="s">
        <v>29</v>
      </c>
      <c r="R1439" t="s">
        <v>28</v>
      </c>
      <c r="S1439" t="s">
        <v>6509</v>
      </c>
      <c r="T1439" t="s">
        <v>6510</v>
      </c>
      <c r="W1439" t="s">
        <v>40</v>
      </c>
      <c r="X1439" t="s">
        <v>34</v>
      </c>
      <c r="Y1439" t="str">
        <f>"77459"</f>
        <v>77459</v>
      </c>
    </row>
    <row r="1440" spans="1:25" x14ac:dyDescent="0.25">
      <c r="A1440" t="s">
        <v>6511</v>
      </c>
      <c r="B1440" t="s">
        <v>6512</v>
      </c>
      <c r="C1440">
        <v>2020</v>
      </c>
      <c r="D1440">
        <v>8001</v>
      </c>
      <c r="E1440">
        <v>1</v>
      </c>
      <c r="F1440" t="s">
        <v>6513</v>
      </c>
      <c r="G1440">
        <v>29596069</v>
      </c>
      <c r="J1440">
        <v>5.25</v>
      </c>
      <c r="L1440">
        <v>47018838</v>
      </c>
      <c r="M1440" s="1">
        <v>44258</v>
      </c>
      <c r="N1440" t="str">
        <f>"EK210303"</f>
        <v>EK210303</v>
      </c>
      <c r="O1440" t="s">
        <v>28</v>
      </c>
      <c r="Q1440" t="s">
        <v>29</v>
      </c>
      <c r="R1440" t="s">
        <v>28</v>
      </c>
      <c r="S1440" t="s">
        <v>6514</v>
      </c>
      <c r="T1440" t="s">
        <v>6515</v>
      </c>
      <c r="W1440" t="s">
        <v>371</v>
      </c>
      <c r="X1440" t="s">
        <v>34</v>
      </c>
      <c r="Y1440" t="str">
        <f>"77497"</f>
        <v>77497</v>
      </c>
    </row>
    <row r="1441" spans="1:25" x14ac:dyDescent="0.25">
      <c r="A1441" t="s">
        <v>6516</v>
      </c>
      <c r="B1441" t="s">
        <v>6517</v>
      </c>
      <c r="C1441">
        <v>2020</v>
      </c>
      <c r="D1441">
        <v>8001</v>
      </c>
      <c r="E1441">
        <v>1</v>
      </c>
      <c r="F1441" t="s">
        <v>6494</v>
      </c>
      <c r="G1441">
        <v>29604573</v>
      </c>
      <c r="J1441">
        <v>20.99</v>
      </c>
      <c r="L1441">
        <v>47034755</v>
      </c>
      <c r="M1441" s="1">
        <v>44259</v>
      </c>
      <c r="N1441" t="str">
        <f>"CC210304"</f>
        <v>CC210304</v>
      </c>
      <c r="O1441" t="s">
        <v>28</v>
      </c>
      <c r="Q1441" t="s">
        <v>29</v>
      </c>
      <c r="R1441" t="s">
        <v>28</v>
      </c>
      <c r="S1441" t="s">
        <v>6518</v>
      </c>
      <c r="T1441" t="s">
        <v>6519</v>
      </c>
      <c r="W1441" t="s">
        <v>392</v>
      </c>
      <c r="X1441" t="s">
        <v>34</v>
      </c>
      <c r="Y1441" t="str">
        <f>"77459"</f>
        <v>77459</v>
      </c>
    </row>
    <row r="1442" spans="1:25" x14ac:dyDescent="0.25">
      <c r="A1442" t="s">
        <v>6520</v>
      </c>
      <c r="B1442" t="s">
        <v>6521</v>
      </c>
      <c r="C1442">
        <v>2020</v>
      </c>
      <c r="D1442">
        <v>8001</v>
      </c>
      <c r="E1442">
        <v>1</v>
      </c>
      <c r="F1442" t="s">
        <v>6522</v>
      </c>
      <c r="G1442">
        <v>0</v>
      </c>
      <c r="J1442">
        <v>411.39</v>
      </c>
      <c r="L1442">
        <v>45279790</v>
      </c>
      <c r="M1442" s="1">
        <v>44180</v>
      </c>
      <c r="N1442" t="str">
        <f>"O201215BD1"</f>
        <v>O201215BD1</v>
      </c>
      <c r="O1442" t="s">
        <v>28</v>
      </c>
      <c r="Q1442" t="s">
        <v>29</v>
      </c>
      <c r="R1442" t="s">
        <v>28</v>
      </c>
      <c r="S1442" t="s">
        <v>6522</v>
      </c>
      <c r="T1442" t="s">
        <v>6523</v>
      </c>
      <c r="U1442" t="s">
        <v>60</v>
      </c>
      <c r="V1442" t="s">
        <v>60</v>
      </c>
      <c r="W1442" t="s">
        <v>135</v>
      </c>
      <c r="X1442" t="s">
        <v>34</v>
      </c>
      <c r="Y1442" t="str">
        <f>"770994755   "</f>
        <v xml:space="preserve">770994755   </v>
      </c>
    </row>
    <row r="1443" spans="1:25" x14ac:dyDescent="0.25">
      <c r="A1443" t="s">
        <v>6524</v>
      </c>
      <c r="B1443" t="s">
        <v>6525</v>
      </c>
      <c r="C1443">
        <v>2020</v>
      </c>
      <c r="D1443">
        <v>8001</v>
      </c>
      <c r="E1443">
        <v>1</v>
      </c>
      <c r="F1443" t="s">
        <v>6526</v>
      </c>
      <c r="G1443">
        <v>29489568</v>
      </c>
      <c r="J1443">
        <v>13.41</v>
      </c>
      <c r="L1443">
        <v>46782268</v>
      </c>
      <c r="M1443" s="1">
        <v>44231</v>
      </c>
      <c r="N1443" t="str">
        <f>"CC210204"</f>
        <v>CC210204</v>
      </c>
      <c r="O1443" t="s">
        <v>28</v>
      </c>
      <c r="Q1443" t="s">
        <v>29</v>
      </c>
      <c r="R1443" t="s">
        <v>28</v>
      </c>
      <c r="S1443" t="s">
        <v>987</v>
      </c>
      <c r="T1443" t="s">
        <v>988</v>
      </c>
      <c r="W1443" t="s">
        <v>618</v>
      </c>
      <c r="X1443" t="s">
        <v>34</v>
      </c>
      <c r="Y1443" t="str">
        <f>"77461"</f>
        <v>77461</v>
      </c>
    </row>
    <row r="1444" spans="1:25" x14ac:dyDescent="0.25">
      <c r="A1444" t="s">
        <v>6527</v>
      </c>
      <c r="B1444" t="s">
        <v>6528</v>
      </c>
      <c r="C1444">
        <v>2020</v>
      </c>
      <c r="D1444">
        <v>8001</v>
      </c>
      <c r="E1444">
        <v>1</v>
      </c>
      <c r="F1444" t="s">
        <v>6529</v>
      </c>
      <c r="G1444">
        <v>29323214</v>
      </c>
      <c r="J1444">
        <v>75.819999999999993</v>
      </c>
      <c r="L1444">
        <v>46463316</v>
      </c>
      <c r="M1444" s="1">
        <v>44224</v>
      </c>
      <c r="N1444" t="str">
        <f>"O210128AB1"</f>
        <v>O210128AB1</v>
      </c>
      <c r="O1444" t="s">
        <v>28</v>
      </c>
      <c r="Q1444" t="s">
        <v>29</v>
      </c>
      <c r="R1444" t="s">
        <v>28</v>
      </c>
      <c r="S1444" t="s">
        <v>6529</v>
      </c>
      <c r="T1444" t="s">
        <v>6530</v>
      </c>
      <c r="U1444" t="s">
        <v>6531</v>
      </c>
      <c r="W1444" t="s">
        <v>75</v>
      </c>
      <c r="X1444" t="s">
        <v>34</v>
      </c>
      <c r="Y1444" t="str">
        <f>"77024"</f>
        <v>77024</v>
      </c>
    </row>
    <row r="1445" spans="1:25" x14ac:dyDescent="0.25">
      <c r="A1445" t="s">
        <v>6532</v>
      </c>
      <c r="B1445" t="s">
        <v>6533</v>
      </c>
      <c r="C1445">
        <v>2020</v>
      </c>
      <c r="D1445">
        <v>8001</v>
      </c>
      <c r="E1445">
        <v>2</v>
      </c>
      <c r="F1445" t="s">
        <v>6534</v>
      </c>
      <c r="G1445">
        <v>0</v>
      </c>
      <c r="J1445">
        <v>15.07</v>
      </c>
      <c r="L1445">
        <v>47057114</v>
      </c>
      <c r="M1445" s="1">
        <v>44263</v>
      </c>
      <c r="N1445" t="str">
        <f>"RP210308F1"</f>
        <v>RP210308F1</v>
      </c>
      <c r="O1445" t="s">
        <v>28</v>
      </c>
      <c r="Q1445" t="s">
        <v>29</v>
      </c>
      <c r="R1445" t="s">
        <v>28</v>
      </c>
      <c r="S1445" t="s">
        <v>6534</v>
      </c>
      <c r="T1445" t="s">
        <v>6535</v>
      </c>
      <c r="U1445" t="s">
        <v>60</v>
      </c>
      <c r="V1445" t="s">
        <v>60</v>
      </c>
      <c r="W1445" t="s">
        <v>1333</v>
      </c>
      <c r="X1445" t="s">
        <v>34</v>
      </c>
      <c r="Y1445" t="str">
        <f>"774592635   "</f>
        <v xml:space="preserve">774592635   </v>
      </c>
    </row>
    <row r="1446" spans="1:25" x14ac:dyDescent="0.25">
      <c r="A1446" t="s">
        <v>6536</v>
      </c>
      <c r="B1446" t="s">
        <v>6537</v>
      </c>
      <c r="C1446">
        <v>2019</v>
      </c>
      <c r="D1446">
        <v>8001</v>
      </c>
      <c r="E1446">
        <v>2</v>
      </c>
      <c r="F1446" t="s">
        <v>6122</v>
      </c>
      <c r="G1446">
        <v>28063011</v>
      </c>
      <c r="J1446" s="2">
        <v>7520.72</v>
      </c>
      <c r="L1446">
        <v>43330779</v>
      </c>
      <c r="M1446" s="1">
        <v>43859</v>
      </c>
      <c r="N1446" t="str">
        <f>"O200129AX1"</f>
        <v>O200129AX1</v>
      </c>
      <c r="O1446" t="s">
        <v>28</v>
      </c>
      <c r="Q1446" t="s">
        <v>29</v>
      </c>
      <c r="R1446" t="s">
        <v>28</v>
      </c>
      <c r="S1446" t="s">
        <v>6123</v>
      </c>
      <c r="T1446" t="s">
        <v>6124</v>
      </c>
      <c r="U1446" t="s">
        <v>225</v>
      </c>
      <c r="W1446" t="s">
        <v>226</v>
      </c>
      <c r="X1446" t="s">
        <v>227</v>
      </c>
      <c r="Y1446" t="str">
        <f>"852541720"</f>
        <v>852541720</v>
      </c>
    </row>
    <row r="1447" spans="1:25" x14ac:dyDescent="0.25">
      <c r="A1447" t="s">
        <v>6538</v>
      </c>
      <c r="B1447" t="s">
        <v>6539</v>
      </c>
      <c r="C1447">
        <v>2020</v>
      </c>
      <c r="D1447">
        <v>8001</v>
      </c>
      <c r="E1447">
        <v>1</v>
      </c>
      <c r="F1447" t="s">
        <v>6540</v>
      </c>
      <c r="G1447">
        <v>0</v>
      </c>
      <c r="J1447">
        <v>8.77</v>
      </c>
      <c r="L1447">
        <v>45359205</v>
      </c>
      <c r="M1447" s="1">
        <v>44183</v>
      </c>
      <c r="N1447" t="str">
        <f>"L201218"</f>
        <v>L201218</v>
      </c>
      <c r="O1447" t="s">
        <v>28</v>
      </c>
      <c r="Q1447" t="s">
        <v>29</v>
      </c>
      <c r="R1447" t="s">
        <v>28</v>
      </c>
      <c r="S1447" t="s">
        <v>6540</v>
      </c>
      <c r="T1447" t="s">
        <v>6541</v>
      </c>
      <c r="U1447" t="s">
        <v>60</v>
      </c>
      <c r="V1447" t="s">
        <v>60</v>
      </c>
      <c r="W1447" t="s">
        <v>376</v>
      </c>
      <c r="X1447" t="s">
        <v>34</v>
      </c>
      <c r="Y1447" t="str">
        <f>"774773035   "</f>
        <v xml:space="preserve">774773035   </v>
      </c>
    </row>
    <row r="1448" spans="1:25" x14ac:dyDescent="0.25">
      <c r="A1448" t="s">
        <v>6542</v>
      </c>
      <c r="B1448" t="s">
        <v>6543</v>
      </c>
      <c r="C1448">
        <v>2020</v>
      </c>
      <c r="D1448">
        <v>8001</v>
      </c>
      <c r="E1448">
        <v>1</v>
      </c>
      <c r="F1448" t="s">
        <v>6544</v>
      </c>
      <c r="G1448">
        <v>27328985</v>
      </c>
      <c r="J1448">
        <v>17.97</v>
      </c>
      <c r="L1448">
        <v>47413061</v>
      </c>
      <c r="M1448" s="1">
        <v>44334</v>
      </c>
      <c r="N1448" t="str">
        <f>"RC210524"</f>
        <v>RC210524</v>
      </c>
      <c r="O1448" t="s">
        <v>28</v>
      </c>
      <c r="Q1448" t="s">
        <v>29</v>
      </c>
      <c r="R1448" t="s">
        <v>28</v>
      </c>
      <c r="S1448" t="s">
        <v>6545</v>
      </c>
      <c r="T1448" t="s">
        <v>6546</v>
      </c>
      <c r="U1448" t="s">
        <v>6547</v>
      </c>
      <c r="W1448" t="s">
        <v>6548</v>
      </c>
      <c r="X1448" t="s">
        <v>34</v>
      </c>
      <c r="Y1448" t="str">
        <f>"79424"</f>
        <v>79424</v>
      </c>
    </row>
    <row r="1449" spans="1:25" x14ac:dyDescent="0.25">
      <c r="A1449" t="s">
        <v>6549</v>
      </c>
      <c r="B1449" t="s">
        <v>6550</v>
      </c>
      <c r="C1449">
        <v>2020</v>
      </c>
      <c r="D1449">
        <v>8001</v>
      </c>
      <c r="E1449">
        <v>1</v>
      </c>
      <c r="F1449" t="s">
        <v>6551</v>
      </c>
      <c r="G1449">
        <v>0</v>
      </c>
      <c r="J1449">
        <v>87.31</v>
      </c>
      <c r="L1449">
        <v>45475039</v>
      </c>
      <c r="M1449" s="1">
        <v>44193</v>
      </c>
      <c r="N1449" t="str">
        <f>"L201228A"</f>
        <v>L201228A</v>
      </c>
      <c r="O1449" t="s">
        <v>28</v>
      </c>
      <c r="Q1449" t="s">
        <v>29</v>
      </c>
      <c r="R1449" t="s">
        <v>28</v>
      </c>
      <c r="S1449" t="s">
        <v>6551</v>
      </c>
      <c r="T1449" t="s">
        <v>6552</v>
      </c>
      <c r="U1449" t="s">
        <v>6553</v>
      </c>
      <c r="V1449" t="s">
        <v>60</v>
      </c>
      <c r="W1449" t="s">
        <v>376</v>
      </c>
      <c r="X1449" t="s">
        <v>34</v>
      </c>
      <c r="Y1449" t="str">
        <f>"774772836   "</f>
        <v xml:space="preserve">774772836   </v>
      </c>
    </row>
    <row r="1450" spans="1:25" x14ac:dyDescent="0.25">
      <c r="A1450" t="s">
        <v>6554</v>
      </c>
      <c r="B1450" t="s">
        <v>6555</v>
      </c>
      <c r="C1450">
        <v>2018</v>
      </c>
      <c r="D1450">
        <v>8001</v>
      </c>
      <c r="E1450">
        <v>2</v>
      </c>
      <c r="F1450" t="s">
        <v>6556</v>
      </c>
      <c r="G1450">
        <v>22549674</v>
      </c>
      <c r="J1450">
        <v>124.87</v>
      </c>
      <c r="L1450">
        <v>41394509</v>
      </c>
      <c r="M1450" s="1">
        <v>43658</v>
      </c>
      <c r="N1450" t="str">
        <f>"O190712AB1"</f>
        <v>O190712AB1</v>
      </c>
      <c r="O1450" t="s">
        <v>28</v>
      </c>
      <c r="Q1450" t="s">
        <v>29</v>
      </c>
      <c r="R1450" t="s">
        <v>28</v>
      </c>
      <c r="S1450" t="s">
        <v>6557</v>
      </c>
      <c r="T1450" t="s">
        <v>6558</v>
      </c>
      <c r="U1450" t="s">
        <v>6559</v>
      </c>
      <c r="W1450" t="s">
        <v>107</v>
      </c>
      <c r="X1450" t="s">
        <v>34</v>
      </c>
      <c r="Y1450" t="str">
        <f>"774505694"</f>
        <v>774505694</v>
      </c>
    </row>
    <row r="1451" spans="1:25" x14ac:dyDescent="0.25">
      <c r="A1451" t="s">
        <v>6560</v>
      </c>
      <c r="B1451" t="s">
        <v>6561</v>
      </c>
      <c r="C1451">
        <v>2019</v>
      </c>
      <c r="D1451">
        <v>8001</v>
      </c>
      <c r="E1451">
        <v>2</v>
      </c>
      <c r="F1451" t="s">
        <v>6122</v>
      </c>
      <c r="G1451">
        <v>28063011</v>
      </c>
      <c r="J1451" s="2">
        <v>3841.72</v>
      </c>
      <c r="L1451">
        <v>43330779</v>
      </c>
      <c r="M1451" s="1">
        <v>43859</v>
      </c>
      <c r="N1451" t="str">
        <f>"O200129AX1"</f>
        <v>O200129AX1</v>
      </c>
      <c r="O1451" t="s">
        <v>28</v>
      </c>
      <c r="Q1451" t="s">
        <v>29</v>
      </c>
      <c r="R1451" t="s">
        <v>28</v>
      </c>
      <c r="S1451" t="s">
        <v>6123</v>
      </c>
      <c r="T1451" t="s">
        <v>6124</v>
      </c>
      <c r="U1451" t="s">
        <v>225</v>
      </c>
      <c r="W1451" t="s">
        <v>226</v>
      </c>
      <c r="X1451" t="s">
        <v>227</v>
      </c>
      <c r="Y1451" t="str">
        <f>"852541720"</f>
        <v>852541720</v>
      </c>
    </row>
    <row r="1452" spans="1:25" x14ac:dyDescent="0.25">
      <c r="A1452" t="s">
        <v>6562</v>
      </c>
      <c r="B1452" t="s">
        <v>6563</v>
      </c>
      <c r="C1452">
        <v>2019</v>
      </c>
      <c r="D1452">
        <v>8001</v>
      </c>
      <c r="E1452">
        <v>2</v>
      </c>
      <c r="F1452" t="s">
        <v>6122</v>
      </c>
      <c r="G1452">
        <v>28063011</v>
      </c>
      <c r="J1452" s="2">
        <v>3812.43</v>
      </c>
      <c r="L1452">
        <v>43330779</v>
      </c>
      <c r="M1452" s="1">
        <v>43859</v>
      </c>
      <c r="N1452" t="str">
        <f>"O200129AX1"</f>
        <v>O200129AX1</v>
      </c>
      <c r="O1452" t="s">
        <v>28</v>
      </c>
      <c r="Q1452" t="s">
        <v>29</v>
      </c>
      <c r="R1452" t="s">
        <v>28</v>
      </c>
      <c r="S1452" t="s">
        <v>6123</v>
      </c>
      <c r="T1452" t="s">
        <v>6124</v>
      </c>
      <c r="U1452" t="s">
        <v>225</v>
      </c>
      <c r="W1452" t="s">
        <v>226</v>
      </c>
      <c r="X1452" t="s">
        <v>227</v>
      </c>
      <c r="Y1452" t="str">
        <f>"852541720"</f>
        <v>852541720</v>
      </c>
    </row>
    <row r="1453" spans="1:25" x14ac:dyDescent="0.25">
      <c r="A1453" t="s">
        <v>6564</v>
      </c>
      <c r="B1453" t="s">
        <v>6565</v>
      </c>
      <c r="C1453">
        <v>2020</v>
      </c>
      <c r="D1453">
        <v>8001</v>
      </c>
      <c r="E1453">
        <v>1</v>
      </c>
      <c r="F1453" t="s">
        <v>6566</v>
      </c>
      <c r="G1453">
        <v>29489560</v>
      </c>
      <c r="J1453">
        <v>11.89</v>
      </c>
      <c r="L1453">
        <v>46782259</v>
      </c>
      <c r="M1453" s="1">
        <v>44231</v>
      </c>
      <c r="N1453" t="str">
        <f>"CC210204"</f>
        <v>CC210204</v>
      </c>
      <c r="O1453" t="s">
        <v>28</v>
      </c>
      <c r="Q1453" t="s">
        <v>29</v>
      </c>
      <c r="R1453" t="s">
        <v>28</v>
      </c>
      <c r="S1453" t="s">
        <v>6567</v>
      </c>
      <c r="T1453" t="s">
        <v>6568</v>
      </c>
      <c r="W1453" t="s">
        <v>40</v>
      </c>
      <c r="X1453" t="s">
        <v>34</v>
      </c>
      <c r="Y1453" t="str">
        <f>"77498"</f>
        <v>77498</v>
      </c>
    </row>
    <row r="1454" spans="1:25" x14ac:dyDescent="0.25">
      <c r="A1454" t="s">
        <v>6569</v>
      </c>
      <c r="B1454" t="s">
        <v>6570</v>
      </c>
      <c r="C1454">
        <v>2019</v>
      </c>
      <c r="D1454">
        <v>8001</v>
      </c>
      <c r="E1454">
        <v>1</v>
      </c>
      <c r="F1454" t="s">
        <v>6571</v>
      </c>
      <c r="G1454">
        <v>28305714</v>
      </c>
      <c r="J1454">
        <v>18.420000000000002</v>
      </c>
      <c r="L1454">
        <v>43875769</v>
      </c>
      <c r="M1454" s="1">
        <v>43894</v>
      </c>
      <c r="N1454" t="str">
        <f>"EK200304"</f>
        <v>EK200304</v>
      </c>
      <c r="O1454" t="s">
        <v>28</v>
      </c>
      <c r="Q1454" t="s">
        <v>29</v>
      </c>
      <c r="R1454" t="s">
        <v>28</v>
      </c>
      <c r="S1454" t="s">
        <v>6571</v>
      </c>
      <c r="T1454" t="s">
        <v>6572</v>
      </c>
      <c r="W1454" t="s">
        <v>6573</v>
      </c>
      <c r="X1454" t="s">
        <v>317</v>
      </c>
      <c r="Y1454" t="str">
        <f>"90808"</f>
        <v>90808</v>
      </c>
    </row>
    <row r="1455" spans="1:25" x14ac:dyDescent="0.25">
      <c r="A1455" t="s">
        <v>6574</v>
      </c>
      <c r="B1455" t="s">
        <v>6575</v>
      </c>
      <c r="C1455">
        <v>2019</v>
      </c>
      <c r="D1455">
        <v>8001</v>
      </c>
      <c r="E1455">
        <v>2</v>
      </c>
      <c r="F1455" t="s">
        <v>6576</v>
      </c>
      <c r="G1455">
        <v>0</v>
      </c>
      <c r="J1455">
        <v>44.71</v>
      </c>
      <c r="L1455">
        <v>43916216</v>
      </c>
      <c r="M1455" s="1">
        <v>43900</v>
      </c>
      <c r="N1455" t="str">
        <f>"J200310AW9"</f>
        <v>J200310AW9</v>
      </c>
      <c r="O1455" t="s">
        <v>28</v>
      </c>
      <c r="Q1455" t="s">
        <v>29</v>
      </c>
      <c r="R1455" t="s">
        <v>28</v>
      </c>
      <c r="S1455" t="s">
        <v>6576</v>
      </c>
      <c r="T1455" t="s">
        <v>6577</v>
      </c>
      <c r="U1455" t="s">
        <v>6578</v>
      </c>
      <c r="V1455" t="s">
        <v>60</v>
      </c>
      <c r="W1455" t="s">
        <v>219</v>
      </c>
      <c r="X1455" t="s">
        <v>34</v>
      </c>
      <c r="Y1455" t="str">
        <f>"774791643   "</f>
        <v xml:space="preserve">774791643   </v>
      </c>
    </row>
    <row r="1456" spans="1:25" x14ac:dyDescent="0.25">
      <c r="A1456" t="s">
        <v>6579</v>
      </c>
      <c r="B1456" t="s">
        <v>6580</v>
      </c>
      <c r="C1456">
        <v>2019</v>
      </c>
      <c r="D1456">
        <v>8001</v>
      </c>
      <c r="E1456">
        <v>1</v>
      </c>
      <c r="F1456" t="s">
        <v>6544</v>
      </c>
      <c r="G1456">
        <v>27328985</v>
      </c>
      <c r="J1456">
        <v>72.92</v>
      </c>
      <c r="L1456">
        <v>42513240</v>
      </c>
      <c r="M1456" s="1">
        <v>43830</v>
      </c>
      <c r="N1456" t="str">
        <f>"O191231AT1"</f>
        <v>O191231AT1</v>
      </c>
      <c r="O1456" t="s">
        <v>28</v>
      </c>
      <c r="Q1456" t="s">
        <v>29</v>
      </c>
      <c r="R1456" t="s">
        <v>28</v>
      </c>
      <c r="S1456" t="s">
        <v>6545</v>
      </c>
      <c r="T1456" t="s">
        <v>6546</v>
      </c>
      <c r="U1456" t="s">
        <v>6547</v>
      </c>
      <c r="W1456" t="s">
        <v>6548</v>
      </c>
      <c r="X1456" t="s">
        <v>34</v>
      </c>
      <c r="Y1456" t="str">
        <f>"79424"</f>
        <v>79424</v>
      </c>
    </row>
    <row r="1457" spans="1:25" x14ac:dyDescent="0.25">
      <c r="A1457" t="s">
        <v>6581</v>
      </c>
      <c r="B1457" t="s">
        <v>6582</v>
      </c>
      <c r="C1457">
        <v>2020</v>
      </c>
      <c r="D1457">
        <v>8001</v>
      </c>
      <c r="E1457">
        <v>1</v>
      </c>
      <c r="F1457" t="s">
        <v>6583</v>
      </c>
      <c r="G1457">
        <v>20345215</v>
      </c>
      <c r="J1457">
        <v>18.559999999999999</v>
      </c>
      <c r="L1457">
        <v>47681824</v>
      </c>
      <c r="M1457" s="1">
        <v>44413</v>
      </c>
      <c r="N1457" t="str">
        <f>"RC210810"</f>
        <v>RC210810</v>
      </c>
      <c r="O1457" t="s">
        <v>28</v>
      </c>
      <c r="Q1457" t="s">
        <v>29</v>
      </c>
      <c r="R1457" t="s">
        <v>28</v>
      </c>
      <c r="S1457" t="s">
        <v>6584</v>
      </c>
      <c r="T1457" t="s">
        <v>6585</v>
      </c>
      <c r="W1457" t="s">
        <v>75</v>
      </c>
      <c r="X1457" t="s">
        <v>34</v>
      </c>
      <c r="Y1457" t="str">
        <f>"77082"</f>
        <v>77082</v>
      </c>
    </row>
    <row r="1458" spans="1:25" x14ac:dyDescent="0.25">
      <c r="A1458" t="s">
        <v>6586</v>
      </c>
      <c r="B1458" t="s">
        <v>6587</v>
      </c>
      <c r="C1458">
        <v>2020</v>
      </c>
      <c r="D1458">
        <v>8001</v>
      </c>
      <c r="E1458">
        <v>1</v>
      </c>
      <c r="F1458" t="s">
        <v>6588</v>
      </c>
      <c r="G1458">
        <v>29604585</v>
      </c>
      <c r="J1458">
        <v>6.28</v>
      </c>
      <c r="L1458">
        <v>47034767</v>
      </c>
      <c r="M1458" s="1">
        <v>44259</v>
      </c>
      <c r="N1458" t="str">
        <f>"CC210304"</f>
        <v>CC210304</v>
      </c>
      <c r="O1458" t="s">
        <v>28</v>
      </c>
      <c r="Q1458" t="s">
        <v>29</v>
      </c>
      <c r="R1458" t="s">
        <v>28</v>
      </c>
      <c r="S1458" t="s">
        <v>6589</v>
      </c>
      <c r="T1458" t="s">
        <v>6590</v>
      </c>
      <c r="W1458" t="s">
        <v>81</v>
      </c>
      <c r="X1458" t="s">
        <v>34</v>
      </c>
      <c r="Y1458" t="str">
        <f>"77469"</f>
        <v>77469</v>
      </c>
    </row>
    <row r="1459" spans="1:25" x14ac:dyDescent="0.25">
      <c r="A1459" t="s">
        <v>6591</v>
      </c>
      <c r="B1459" t="s">
        <v>6592</v>
      </c>
      <c r="C1459">
        <v>2020</v>
      </c>
      <c r="D1459">
        <v>8001</v>
      </c>
      <c r="E1459">
        <v>1</v>
      </c>
      <c r="F1459" t="s">
        <v>6593</v>
      </c>
      <c r="G1459">
        <v>29604583</v>
      </c>
      <c r="J1459">
        <v>76.540000000000006</v>
      </c>
      <c r="L1459">
        <v>47034765</v>
      </c>
      <c r="M1459" s="1">
        <v>44259</v>
      </c>
      <c r="N1459" t="str">
        <f>"CC210304"</f>
        <v>CC210304</v>
      </c>
      <c r="O1459" t="s">
        <v>28</v>
      </c>
      <c r="Q1459" t="s">
        <v>29</v>
      </c>
      <c r="R1459" t="s">
        <v>28</v>
      </c>
      <c r="S1459" t="s">
        <v>6589</v>
      </c>
      <c r="T1459" t="s">
        <v>6590</v>
      </c>
      <c r="W1459" t="s">
        <v>81</v>
      </c>
      <c r="X1459" t="s">
        <v>34</v>
      </c>
      <c r="Y1459" t="str">
        <f>"77469"</f>
        <v>77469</v>
      </c>
    </row>
    <row r="1460" spans="1:25" x14ac:dyDescent="0.25">
      <c r="A1460" t="s">
        <v>6594</v>
      </c>
      <c r="B1460" t="s">
        <v>6595</v>
      </c>
      <c r="C1460">
        <v>2021</v>
      </c>
      <c r="D1460">
        <v>8001</v>
      </c>
      <c r="E1460">
        <v>1</v>
      </c>
      <c r="F1460" t="s">
        <v>6596</v>
      </c>
      <c r="G1460">
        <v>27861344</v>
      </c>
      <c r="J1460">
        <v>18.899999999999999</v>
      </c>
      <c r="L1460">
        <v>48435349</v>
      </c>
      <c r="M1460" s="1">
        <v>44543</v>
      </c>
      <c r="N1460" t="str">
        <f>"RC220114"</f>
        <v>RC220114</v>
      </c>
      <c r="O1460" t="s">
        <v>28</v>
      </c>
      <c r="Q1460" t="s">
        <v>29</v>
      </c>
      <c r="R1460" t="s">
        <v>28</v>
      </c>
      <c r="S1460" t="s">
        <v>6597</v>
      </c>
      <c r="T1460" t="s">
        <v>6598</v>
      </c>
      <c r="W1460" t="s">
        <v>40</v>
      </c>
      <c r="X1460" t="s">
        <v>34</v>
      </c>
      <c r="Y1460" t="str">
        <f>"774792596"</f>
        <v>774792596</v>
      </c>
    </row>
    <row r="1461" spans="1:25" x14ac:dyDescent="0.25">
      <c r="A1461" t="s">
        <v>6599</v>
      </c>
      <c r="B1461" t="s">
        <v>6600</v>
      </c>
      <c r="C1461">
        <v>2020</v>
      </c>
      <c r="D1461">
        <v>8001</v>
      </c>
      <c r="E1461">
        <v>1</v>
      </c>
      <c r="F1461" t="s">
        <v>6601</v>
      </c>
      <c r="G1461">
        <v>22332855</v>
      </c>
      <c r="J1461">
        <v>9</v>
      </c>
      <c r="L1461">
        <v>46907838</v>
      </c>
      <c r="M1461" s="1">
        <v>44238</v>
      </c>
      <c r="N1461" t="str">
        <f>"O210211AZ1"</f>
        <v>O210211AZ1</v>
      </c>
      <c r="O1461" t="s">
        <v>28</v>
      </c>
      <c r="Q1461" t="s">
        <v>29</v>
      </c>
      <c r="R1461" t="s">
        <v>28</v>
      </c>
      <c r="S1461" t="s">
        <v>6602</v>
      </c>
      <c r="T1461" t="s">
        <v>6603</v>
      </c>
      <c r="W1461" t="s">
        <v>4762</v>
      </c>
      <c r="X1461" t="s">
        <v>34</v>
      </c>
      <c r="Y1461" t="str">
        <f>"750012629"</f>
        <v>750012629</v>
      </c>
    </row>
    <row r="1462" spans="1:25" x14ac:dyDescent="0.25">
      <c r="A1462" t="s">
        <v>6604</v>
      </c>
      <c r="B1462" t="s">
        <v>6605</v>
      </c>
      <c r="C1462">
        <v>2020</v>
      </c>
      <c r="D1462">
        <v>8001</v>
      </c>
      <c r="E1462">
        <v>1</v>
      </c>
      <c r="F1462" t="s">
        <v>1431</v>
      </c>
      <c r="G1462">
        <v>0</v>
      </c>
      <c r="J1462">
        <v>10.68</v>
      </c>
      <c r="L1462">
        <v>47055349</v>
      </c>
      <c r="M1462" s="1">
        <v>44263</v>
      </c>
      <c r="N1462" t="str">
        <f>"L210308"</f>
        <v>L210308</v>
      </c>
      <c r="O1462" t="s">
        <v>28</v>
      </c>
      <c r="Q1462" t="s">
        <v>29</v>
      </c>
      <c r="R1462" t="s">
        <v>28</v>
      </c>
      <c r="S1462" t="s">
        <v>1431</v>
      </c>
      <c r="T1462" t="s">
        <v>6606</v>
      </c>
      <c r="U1462" t="s">
        <v>6607</v>
      </c>
      <c r="V1462" t="s">
        <v>60</v>
      </c>
      <c r="W1462" t="s">
        <v>219</v>
      </c>
      <c r="X1462" t="s">
        <v>34</v>
      </c>
      <c r="Y1462" t="str">
        <f>"774783551   "</f>
        <v xml:space="preserve">774783551   </v>
      </c>
    </row>
    <row r="1463" spans="1:25" x14ac:dyDescent="0.25">
      <c r="A1463" t="s">
        <v>6608</v>
      </c>
      <c r="B1463" t="s">
        <v>6609</v>
      </c>
      <c r="C1463">
        <v>2019</v>
      </c>
      <c r="D1463">
        <v>8001</v>
      </c>
      <c r="E1463">
        <v>3</v>
      </c>
      <c r="F1463" t="s">
        <v>6610</v>
      </c>
      <c r="G1463">
        <v>28306931</v>
      </c>
      <c r="J1463">
        <v>84.11</v>
      </c>
      <c r="L1463">
        <v>43890184</v>
      </c>
      <c r="M1463" s="1">
        <v>43895</v>
      </c>
      <c r="N1463" t="str">
        <f>"J200305K3"</f>
        <v>J200305K3</v>
      </c>
      <c r="O1463" t="s">
        <v>28</v>
      </c>
      <c r="Q1463" t="s">
        <v>29</v>
      </c>
      <c r="R1463" t="s">
        <v>28</v>
      </c>
      <c r="S1463" t="s">
        <v>6611</v>
      </c>
      <c r="T1463" t="s">
        <v>6612</v>
      </c>
      <c r="U1463" t="s">
        <v>6613</v>
      </c>
      <c r="W1463" t="s">
        <v>392</v>
      </c>
      <c r="X1463" t="s">
        <v>34</v>
      </c>
      <c r="Y1463" t="str">
        <f>"774891111"</f>
        <v>774891111</v>
      </c>
    </row>
    <row r="1464" spans="1:25" x14ac:dyDescent="0.25">
      <c r="A1464" t="s">
        <v>6614</v>
      </c>
      <c r="B1464" t="s">
        <v>6615</v>
      </c>
      <c r="C1464">
        <v>2019</v>
      </c>
      <c r="D1464">
        <v>8001</v>
      </c>
      <c r="E1464">
        <v>3</v>
      </c>
      <c r="F1464" t="s">
        <v>6616</v>
      </c>
      <c r="G1464">
        <v>0</v>
      </c>
      <c r="J1464">
        <v>23.03</v>
      </c>
      <c r="L1464">
        <v>43915125</v>
      </c>
      <c r="M1464" s="1">
        <v>43900</v>
      </c>
      <c r="N1464" t="str">
        <f>"J200310AW3"</f>
        <v>J200310AW3</v>
      </c>
      <c r="O1464" t="s">
        <v>28</v>
      </c>
      <c r="Q1464" t="s">
        <v>29</v>
      </c>
      <c r="R1464" t="s">
        <v>28</v>
      </c>
      <c r="S1464" t="s">
        <v>6616</v>
      </c>
      <c r="T1464" t="s">
        <v>6617</v>
      </c>
      <c r="U1464" t="s">
        <v>6618</v>
      </c>
      <c r="V1464" t="s">
        <v>6619</v>
      </c>
      <c r="W1464" t="s">
        <v>219</v>
      </c>
      <c r="X1464" t="s">
        <v>34</v>
      </c>
      <c r="Y1464" t="str">
        <f>"774786212   "</f>
        <v xml:space="preserve">774786212   </v>
      </c>
    </row>
    <row r="1465" spans="1:25" x14ac:dyDescent="0.25">
      <c r="A1465" t="s">
        <v>6620</v>
      </c>
      <c r="B1465" t="s">
        <v>6621</v>
      </c>
      <c r="C1465">
        <v>2020</v>
      </c>
      <c r="D1465">
        <v>8001</v>
      </c>
      <c r="E1465">
        <v>2</v>
      </c>
      <c r="F1465" t="s">
        <v>6622</v>
      </c>
      <c r="G1465">
        <v>27117892</v>
      </c>
      <c r="J1465">
        <v>70.12</v>
      </c>
      <c r="L1465">
        <v>47057705</v>
      </c>
      <c r="M1465" s="1">
        <v>44263</v>
      </c>
      <c r="N1465" t="str">
        <f>"O210308BD1"</f>
        <v>O210308BD1</v>
      </c>
      <c r="O1465" t="s">
        <v>28</v>
      </c>
      <c r="Q1465" t="s">
        <v>29</v>
      </c>
      <c r="R1465" t="s">
        <v>28</v>
      </c>
      <c r="S1465" t="s">
        <v>6623</v>
      </c>
      <c r="T1465" t="s">
        <v>6624</v>
      </c>
      <c r="W1465" t="s">
        <v>75</v>
      </c>
      <c r="X1465" t="s">
        <v>34</v>
      </c>
      <c r="Y1465" t="str">
        <f>"770837217"</f>
        <v>770837217</v>
      </c>
    </row>
    <row r="1466" spans="1:25" x14ac:dyDescent="0.25">
      <c r="A1466" t="s">
        <v>6625</v>
      </c>
      <c r="B1466" t="s">
        <v>6626</v>
      </c>
      <c r="C1466">
        <v>2020</v>
      </c>
      <c r="D1466">
        <v>8001</v>
      </c>
      <c r="E1466">
        <v>1</v>
      </c>
      <c r="F1466" t="s">
        <v>6627</v>
      </c>
      <c r="G1466">
        <v>27085607</v>
      </c>
      <c r="J1466">
        <v>20.66</v>
      </c>
      <c r="L1466">
        <v>47055303</v>
      </c>
      <c r="M1466" s="1">
        <v>44263</v>
      </c>
      <c r="N1466" t="str">
        <f>"RC210317"</f>
        <v>RC210317</v>
      </c>
      <c r="O1466" t="s">
        <v>28</v>
      </c>
      <c r="Q1466" t="s">
        <v>29</v>
      </c>
      <c r="R1466" t="s">
        <v>28</v>
      </c>
      <c r="S1466" t="s">
        <v>6628</v>
      </c>
      <c r="T1466" t="s">
        <v>6629</v>
      </c>
      <c r="W1466" t="s">
        <v>107</v>
      </c>
      <c r="X1466" t="s">
        <v>34</v>
      </c>
      <c r="Y1466" t="str">
        <f>"77494"</f>
        <v>77494</v>
      </c>
    </row>
    <row r="1467" spans="1:25" x14ac:dyDescent="0.25">
      <c r="A1467" t="s">
        <v>6630</v>
      </c>
      <c r="B1467" t="s">
        <v>6631</v>
      </c>
      <c r="C1467">
        <v>2020</v>
      </c>
      <c r="D1467">
        <v>8001</v>
      </c>
      <c r="E1467">
        <v>1</v>
      </c>
      <c r="F1467" t="s">
        <v>6632</v>
      </c>
      <c r="G1467">
        <v>0</v>
      </c>
      <c r="J1467">
        <v>10.39</v>
      </c>
      <c r="L1467">
        <v>47506243</v>
      </c>
      <c r="M1467" s="1">
        <v>44354</v>
      </c>
      <c r="N1467" t="str">
        <f>"J210607BW2"</f>
        <v>J210607BW2</v>
      </c>
      <c r="O1467" t="s">
        <v>28</v>
      </c>
      <c r="Q1467" t="s">
        <v>29</v>
      </c>
      <c r="R1467" t="s">
        <v>28</v>
      </c>
      <c r="S1467" t="s">
        <v>6632</v>
      </c>
      <c r="T1467" t="s">
        <v>6633</v>
      </c>
      <c r="U1467" t="s">
        <v>60</v>
      </c>
      <c r="V1467" t="s">
        <v>60</v>
      </c>
      <c r="W1467" t="s">
        <v>6634</v>
      </c>
      <c r="X1467" t="s">
        <v>34</v>
      </c>
      <c r="Y1467" t="str">
        <f>"774239403   "</f>
        <v xml:space="preserve">774239403   </v>
      </c>
    </row>
    <row r="1468" spans="1:25" x14ac:dyDescent="0.25">
      <c r="A1468" t="s">
        <v>6635</v>
      </c>
      <c r="B1468" t="s">
        <v>6636</v>
      </c>
      <c r="C1468">
        <v>2020</v>
      </c>
      <c r="D1468">
        <v>8001</v>
      </c>
      <c r="E1468">
        <v>1</v>
      </c>
      <c r="F1468" t="s">
        <v>6637</v>
      </c>
      <c r="G1468">
        <v>29017067</v>
      </c>
      <c r="J1468">
        <v>14.77</v>
      </c>
      <c r="L1468">
        <v>45628419</v>
      </c>
      <c r="M1468" s="1">
        <v>44200</v>
      </c>
      <c r="N1468" t="str">
        <f>"O210104AO5"</f>
        <v>O210104AO5</v>
      </c>
      <c r="O1468" t="s">
        <v>28</v>
      </c>
      <c r="Q1468" t="s">
        <v>29</v>
      </c>
      <c r="R1468" t="s">
        <v>28</v>
      </c>
      <c r="S1468" t="s">
        <v>6638</v>
      </c>
      <c r="T1468" t="s">
        <v>6639</v>
      </c>
      <c r="U1468" t="s">
        <v>3299</v>
      </c>
      <c r="W1468" t="s">
        <v>1160</v>
      </c>
      <c r="X1468" t="s">
        <v>34</v>
      </c>
      <c r="Y1468" t="str">
        <f>"775452093"</f>
        <v>775452093</v>
      </c>
    </row>
    <row r="1469" spans="1:25" x14ac:dyDescent="0.25">
      <c r="A1469" t="s">
        <v>6640</v>
      </c>
      <c r="B1469" t="s">
        <v>6641</v>
      </c>
      <c r="C1469">
        <v>2020</v>
      </c>
      <c r="D1469">
        <v>8001</v>
      </c>
      <c r="E1469">
        <v>2</v>
      </c>
      <c r="F1469" t="s">
        <v>1201</v>
      </c>
      <c r="G1469">
        <v>26699210</v>
      </c>
      <c r="J1469">
        <v>261.33</v>
      </c>
      <c r="L1469">
        <v>47188432</v>
      </c>
      <c r="M1469" s="1">
        <v>44284</v>
      </c>
      <c r="N1469" t="str">
        <f>"RC210414"</f>
        <v>RC210414</v>
      </c>
      <c r="O1469" t="s">
        <v>28</v>
      </c>
      <c r="Q1469" t="s">
        <v>29</v>
      </c>
      <c r="R1469" t="s">
        <v>28</v>
      </c>
      <c r="S1469" t="s">
        <v>6642</v>
      </c>
      <c r="T1469" t="s">
        <v>1202</v>
      </c>
      <c r="W1469" t="s">
        <v>40</v>
      </c>
      <c r="X1469" t="s">
        <v>34</v>
      </c>
      <c r="Y1469" t="str">
        <f>"77479"</f>
        <v>77479</v>
      </c>
    </row>
    <row r="1470" spans="1:25" x14ac:dyDescent="0.25">
      <c r="A1470" t="s">
        <v>6643</v>
      </c>
      <c r="B1470" t="s">
        <v>6644</v>
      </c>
      <c r="C1470">
        <v>2020</v>
      </c>
      <c r="D1470">
        <v>8001</v>
      </c>
      <c r="E1470">
        <v>5</v>
      </c>
      <c r="F1470" t="s">
        <v>6645</v>
      </c>
      <c r="G1470">
        <v>29958469</v>
      </c>
      <c r="J1470">
        <v>604.45000000000005</v>
      </c>
      <c r="L1470">
        <v>47621332</v>
      </c>
      <c r="M1470" s="1">
        <v>44397</v>
      </c>
      <c r="N1470" t="str">
        <f>"RC210809"</f>
        <v>RC210809</v>
      </c>
      <c r="O1470" t="s">
        <v>28</v>
      </c>
      <c r="Q1470" t="s">
        <v>29</v>
      </c>
      <c r="R1470" t="s">
        <v>28</v>
      </c>
      <c r="S1470" t="s">
        <v>6646</v>
      </c>
      <c r="T1470" t="s">
        <v>6647</v>
      </c>
      <c r="W1470" t="s">
        <v>40</v>
      </c>
      <c r="X1470" t="s">
        <v>34</v>
      </c>
      <c r="Y1470" t="str">
        <f>"77498"</f>
        <v>77498</v>
      </c>
    </row>
    <row r="1471" spans="1:25" x14ac:dyDescent="0.25">
      <c r="A1471" t="s">
        <v>6648</v>
      </c>
      <c r="B1471" t="s">
        <v>6649</v>
      </c>
      <c r="C1471">
        <v>2020</v>
      </c>
      <c r="D1471">
        <v>8001</v>
      </c>
      <c r="E1471">
        <v>2</v>
      </c>
      <c r="F1471" t="s">
        <v>6650</v>
      </c>
      <c r="G1471">
        <v>0</v>
      </c>
      <c r="J1471">
        <v>114.52</v>
      </c>
      <c r="L1471">
        <v>45974498</v>
      </c>
      <c r="M1471" s="1">
        <v>44210</v>
      </c>
      <c r="N1471" t="str">
        <f>"L210114"</f>
        <v>L210114</v>
      </c>
      <c r="O1471" t="s">
        <v>28</v>
      </c>
      <c r="Q1471" t="s">
        <v>29</v>
      </c>
      <c r="R1471" t="s">
        <v>28</v>
      </c>
      <c r="S1471" t="s">
        <v>6650</v>
      </c>
      <c r="T1471" t="s">
        <v>6651</v>
      </c>
      <c r="U1471" t="s">
        <v>60</v>
      </c>
      <c r="V1471" t="s">
        <v>60</v>
      </c>
      <c r="W1471" t="s">
        <v>219</v>
      </c>
      <c r="X1471" t="s">
        <v>34</v>
      </c>
      <c r="Y1471" t="str">
        <f>"774784527   "</f>
        <v xml:space="preserve">774784527   </v>
      </c>
    </row>
    <row r="1472" spans="1:25" x14ac:dyDescent="0.25">
      <c r="A1472" t="s">
        <v>6652</v>
      </c>
      <c r="B1472" t="s">
        <v>6653</v>
      </c>
      <c r="C1472">
        <v>2020</v>
      </c>
      <c r="D1472">
        <v>8001</v>
      </c>
      <c r="E1472">
        <v>1</v>
      </c>
      <c r="F1472" t="s">
        <v>6654</v>
      </c>
      <c r="G1472">
        <v>29120602</v>
      </c>
      <c r="J1472">
        <v>72.73</v>
      </c>
      <c r="L1472">
        <v>45492393</v>
      </c>
      <c r="M1472" s="1">
        <v>44194</v>
      </c>
      <c r="N1472" t="str">
        <f>"RC210115"</f>
        <v>RC210115</v>
      </c>
      <c r="O1472" t="s">
        <v>28</v>
      </c>
      <c r="Q1472" t="s">
        <v>29</v>
      </c>
      <c r="R1472" t="s">
        <v>28</v>
      </c>
      <c r="S1472" t="s">
        <v>6655</v>
      </c>
      <c r="T1472" t="s">
        <v>6656</v>
      </c>
      <c r="W1472" t="s">
        <v>112</v>
      </c>
      <c r="X1472" t="s">
        <v>34</v>
      </c>
      <c r="Y1472" t="str">
        <f>"774783688"</f>
        <v>774783688</v>
      </c>
    </row>
    <row r="1473" spans="1:25" x14ac:dyDescent="0.25">
      <c r="A1473" t="s">
        <v>6657</v>
      </c>
      <c r="B1473" t="s">
        <v>6658</v>
      </c>
      <c r="C1473">
        <v>2021</v>
      </c>
      <c r="D1473">
        <v>8001</v>
      </c>
      <c r="E1473">
        <v>1</v>
      </c>
      <c r="F1473" t="s">
        <v>6659</v>
      </c>
      <c r="G1473">
        <v>30123930</v>
      </c>
      <c r="J1473">
        <v>7.13</v>
      </c>
      <c r="L1473">
        <v>48058049</v>
      </c>
      <c r="M1473" s="1">
        <v>44544</v>
      </c>
      <c r="N1473" t="str">
        <f>"T211214BI2"</f>
        <v>T211214BI2</v>
      </c>
      <c r="O1473" t="s">
        <v>28</v>
      </c>
      <c r="Q1473" t="s">
        <v>29</v>
      </c>
      <c r="R1473" t="s">
        <v>28</v>
      </c>
      <c r="S1473" t="s">
        <v>6660</v>
      </c>
      <c r="T1473" t="s">
        <v>6661</v>
      </c>
      <c r="W1473" t="s">
        <v>392</v>
      </c>
      <c r="X1473" t="s">
        <v>34</v>
      </c>
      <c r="Y1473" t="str">
        <f>"77459"</f>
        <v>77459</v>
      </c>
    </row>
    <row r="1474" spans="1:25" x14ac:dyDescent="0.25">
      <c r="A1474" t="s">
        <v>6662</v>
      </c>
      <c r="B1474" t="s">
        <v>6663</v>
      </c>
      <c r="C1474">
        <v>2019</v>
      </c>
      <c r="D1474">
        <v>8001</v>
      </c>
      <c r="E1474">
        <v>3</v>
      </c>
      <c r="F1474" t="s">
        <v>6664</v>
      </c>
      <c r="G1474">
        <v>0</v>
      </c>
      <c r="J1474">
        <v>24.98</v>
      </c>
      <c r="L1474">
        <v>43922768</v>
      </c>
      <c r="M1474" s="1">
        <v>43901</v>
      </c>
      <c r="N1474" t="str">
        <f>"J200311AW5"</f>
        <v>J200311AW5</v>
      </c>
      <c r="O1474" t="s">
        <v>28</v>
      </c>
      <c r="Q1474" t="s">
        <v>29</v>
      </c>
      <c r="R1474" t="s">
        <v>28</v>
      </c>
      <c r="S1474" t="s">
        <v>6664</v>
      </c>
      <c r="T1474" t="s">
        <v>6665</v>
      </c>
      <c r="U1474" t="s">
        <v>60</v>
      </c>
      <c r="V1474" t="s">
        <v>60</v>
      </c>
      <c r="W1474" t="s">
        <v>219</v>
      </c>
      <c r="X1474" t="s">
        <v>34</v>
      </c>
      <c r="Y1474" t="str">
        <f>"774784088   "</f>
        <v xml:space="preserve">774784088   </v>
      </c>
    </row>
    <row r="1475" spans="1:25" x14ac:dyDescent="0.25">
      <c r="A1475" t="s">
        <v>6666</v>
      </c>
      <c r="B1475" t="s">
        <v>6667</v>
      </c>
      <c r="C1475">
        <v>2020</v>
      </c>
      <c r="D1475">
        <v>8001</v>
      </c>
      <c r="E1475">
        <v>1</v>
      </c>
      <c r="F1475" t="s">
        <v>6668</v>
      </c>
      <c r="G1475">
        <v>29461855</v>
      </c>
      <c r="J1475">
        <v>402.1</v>
      </c>
      <c r="L1475">
        <v>46728855</v>
      </c>
      <c r="M1475" s="1">
        <v>44230</v>
      </c>
      <c r="N1475" t="str">
        <f>"EK210203"</f>
        <v>EK210203</v>
      </c>
      <c r="O1475" t="s">
        <v>28</v>
      </c>
      <c r="Q1475" t="s">
        <v>29</v>
      </c>
      <c r="R1475" t="s">
        <v>28</v>
      </c>
      <c r="S1475" t="s">
        <v>6668</v>
      </c>
      <c r="T1475" t="s">
        <v>6669</v>
      </c>
      <c r="W1475" t="s">
        <v>107</v>
      </c>
      <c r="X1475" t="s">
        <v>34</v>
      </c>
      <c r="Y1475" t="str">
        <f>"77494"</f>
        <v>77494</v>
      </c>
    </row>
    <row r="1476" spans="1:25" x14ac:dyDescent="0.25">
      <c r="A1476" t="s">
        <v>6670</v>
      </c>
      <c r="B1476" t="s">
        <v>6671</v>
      </c>
      <c r="C1476">
        <v>2020</v>
      </c>
      <c r="D1476">
        <v>8001</v>
      </c>
      <c r="E1476">
        <v>1</v>
      </c>
      <c r="F1476" t="s">
        <v>6672</v>
      </c>
      <c r="G1476">
        <v>0</v>
      </c>
      <c r="J1476">
        <v>7.23</v>
      </c>
      <c r="L1476">
        <v>46861462</v>
      </c>
      <c r="M1476" s="1">
        <v>44235</v>
      </c>
      <c r="N1476" t="str">
        <f>"L210208"</f>
        <v>L210208</v>
      </c>
      <c r="O1476" t="s">
        <v>28</v>
      </c>
      <c r="Q1476" t="s">
        <v>29</v>
      </c>
      <c r="R1476" t="s">
        <v>28</v>
      </c>
      <c r="S1476" t="s">
        <v>6672</v>
      </c>
      <c r="T1476" t="s">
        <v>6673</v>
      </c>
      <c r="U1476" t="s">
        <v>60</v>
      </c>
      <c r="V1476" t="s">
        <v>60</v>
      </c>
      <c r="W1476" t="s">
        <v>376</v>
      </c>
      <c r="X1476" t="s">
        <v>34</v>
      </c>
      <c r="Y1476" t="str">
        <f>"774774036   "</f>
        <v xml:space="preserve">774774036   </v>
      </c>
    </row>
    <row r="1477" spans="1:25" x14ac:dyDescent="0.25">
      <c r="A1477" t="s">
        <v>6674</v>
      </c>
      <c r="B1477" t="s">
        <v>6675</v>
      </c>
      <c r="C1477">
        <v>2020</v>
      </c>
      <c r="D1477">
        <v>8001</v>
      </c>
      <c r="E1477">
        <v>1</v>
      </c>
      <c r="F1477" t="s">
        <v>6676</v>
      </c>
      <c r="G1477">
        <v>29960599</v>
      </c>
      <c r="J1477">
        <v>10.9</v>
      </c>
      <c r="L1477">
        <v>47666685</v>
      </c>
      <c r="M1477" s="1">
        <v>44410</v>
      </c>
      <c r="N1477" t="str">
        <f>"RC210810"</f>
        <v>RC210810</v>
      </c>
      <c r="O1477" t="s">
        <v>28</v>
      </c>
      <c r="Q1477" t="s">
        <v>29</v>
      </c>
      <c r="R1477" t="s">
        <v>28</v>
      </c>
      <c r="S1477" t="s">
        <v>6677</v>
      </c>
      <c r="T1477" t="s">
        <v>6678</v>
      </c>
      <c r="W1477" t="s">
        <v>371</v>
      </c>
      <c r="X1477" t="s">
        <v>34</v>
      </c>
      <c r="Y1477" t="str">
        <f>"774772150"</f>
        <v>774772150</v>
      </c>
    </row>
    <row r="1478" spans="1:25" x14ac:dyDescent="0.25">
      <c r="A1478" t="s">
        <v>6679</v>
      </c>
      <c r="B1478" t="s">
        <v>6680</v>
      </c>
      <c r="C1478">
        <v>2020</v>
      </c>
      <c r="D1478">
        <v>8001</v>
      </c>
      <c r="E1478">
        <v>1</v>
      </c>
      <c r="F1478" t="s">
        <v>6681</v>
      </c>
      <c r="G1478">
        <v>29626964</v>
      </c>
      <c r="J1478">
        <v>77.77</v>
      </c>
      <c r="L1478">
        <v>47001503</v>
      </c>
      <c r="M1478" s="1">
        <v>44256</v>
      </c>
      <c r="N1478" t="str">
        <f>"RC210310"</f>
        <v>RC210310</v>
      </c>
      <c r="O1478" t="s">
        <v>28</v>
      </c>
      <c r="Q1478" t="s">
        <v>29</v>
      </c>
      <c r="R1478" t="s">
        <v>28</v>
      </c>
      <c r="S1478" t="s">
        <v>6682</v>
      </c>
      <c r="T1478" t="s">
        <v>6683</v>
      </c>
      <c r="W1478" t="s">
        <v>233</v>
      </c>
      <c r="X1478" t="s">
        <v>34</v>
      </c>
      <c r="Y1478" t="str">
        <f>"76092"</f>
        <v>76092</v>
      </c>
    </row>
    <row r="1479" spans="1:25" x14ac:dyDescent="0.25">
      <c r="A1479" t="s">
        <v>6684</v>
      </c>
      <c r="B1479" t="s">
        <v>6685</v>
      </c>
      <c r="C1479">
        <v>2020</v>
      </c>
      <c r="D1479">
        <v>8001</v>
      </c>
      <c r="E1479">
        <v>1</v>
      </c>
      <c r="F1479" t="s">
        <v>6686</v>
      </c>
      <c r="G1479">
        <v>0</v>
      </c>
      <c r="J1479">
        <v>70.22</v>
      </c>
      <c r="L1479">
        <v>45413408</v>
      </c>
      <c r="M1479" s="1">
        <v>44187</v>
      </c>
      <c r="N1479" t="str">
        <f>"L201222"</f>
        <v>L201222</v>
      </c>
      <c r="O1479" t="s">
        <v>28</v>
      </c>
      <c r="Q1479" t="s">
        <v>29</v>
      </c>
      <c r="R1479" t="s">
        <v>28</v>
      </c>
      <c r="S1479" t="s">
        <v>6686</v>
      </c>
      <c r="T1479" t="s">
        <v>6687</v>
      </c>
      <c r="U1479" t="s">
        <v>60</v>
      </c>
      <c r="V1479" t="s">
        <v>60</v>
      </c>
      <c r="W1479" t="s">
        <v>219</v>
      </c>
      <c r="X1479" t="s">
        <v>34</v>
      </c>
      <c r="Y1479" t="str">
        <f>"774986338   "</f>
        <v xml:space="preserve">774986338   </v>
      </c>
    </row>
    <row r="1480" spans="1:25" x14ac:dyDescent="0.25">
      <c r="A1480" t="s">
        <v>6688</v>
      </c>
      <c r="B1480" t="s">
        <v>6689</v>
      </c>
      <c r="C1480">
        <v>2020</v>
      </c>
      <c r="D1480">
        <v>8001</v>
      </c>
      <c r="E1480">
        <v>1</v>
      </c>
      <c r="F1480" t="s">
        <v>6690</v>
      </c>
      <c r="G1480">
        <v>0</v>
      </c>
      <c r="J1480">
        <v>70.38</v>
      </c>
      <c r="L1480">
        <v>45374388</v>
      </c>
      <c r="M1480" s="1">
        <v>44186</v>
      </c>
      <c r="N1480" t="str">
        <f>"J201221BW4"</f>
        <v>J201221BW4</v>
      </c>
      <c r="O1480" t="s">
        <v>28</v>
      </c>
      <c r="Q1480" t="s">
        <v>29</v>
      </c>
      <c r="R1480" t="s">
        <v>28</v>
      </c>
      <c r="S1480" t="s">
        <v>6690</v>
      </c>
      <c r="T1480" t="s">
        <v>6691</v>
      </c>
      <c r="U1480" t="s">
        <v>6692</v>
      </c>
      <c r="V1480" t="s">
        <v>60</v>
      </c>
      <c r="W1480" t="s">
        <v>6693</v>
      </c>
      <c r="X1480" t="s">
        <v>34</v>
      </c>
      <c r="Y1480" t="str">
        <f>"773513232   "</f>
        <v xml:space="preserve">773513232   </v>
      </c>
    </row>
    <row r="1481" spans="1:25" x14ac:dyDescent="0.25">
      <c r="A1481" t="s">
        <v>6694</v>
      </c>
      <c r="B1481" t="s">
        <v>6695</v>
      </c>
      <c r="C1481">
        <v>2019</v>
      </c>
      <c r="D1481">
        <v>8001</v>
      </c>
      <c r="E1481">
        <v>2</v>
      </c>
      <c r="F1481" t="s">
        <v>6696</v>
      </c>
      <c r="G1481">
        <v>28310731</v>
      </c>
      <c r="J1481">
        <v>45.38</v>
      </c>
      <c r="L1481">
        <v>43920142</v>
      </c>
      <c r="M1481" s="1">
        <v>43901</v>
      </c>
      <c r="N1481" t="str">
        <f>"R200311AJ1"</f>
        <v>R200311AJ1</v>
      </c>
      <c r="O1481" t="s">
        <v>28</v>
      </c>
      <c r="Q1481" t="s">
        <v>29</v>
      </c>
      <c r="R1481" t="s">
        <v>28</v>
      </c>
      <c r="S1481" t="s">
        <v>6697</v>
      </c>
      <c r="T1481" t="s">
        <v>6698</v>
      </c>
      <c r="W1481" t="s">
        <v>2902</v>
      </c>
      <c r="X1481" t="s">
        <v>317</v>
      </c>
      <c r="Y1481" t="str">
        <f>"91301"</f>
        <v>91301</v>
      </c>
    </row>
    <row r="1482" spans="1:25" x14ac:dyDescent="0.25">
      <c r="A1482" t="s">
        <v>6699</v>
      </c>
      <c r="B1482" t="s">
        <v>6700</v>
      </c>
      <c r="C1482">
        <v>2020</v>
      </c>
      <c r="D1482">
        <v>8001</v>
      </c>
      <c r="E1482">
        <v>1</v>
      </c>
      <c r="F1482" t="s">
        <v>6701</v>
      </c>
      <c r="G1482">
        <v>29604547</v>
      </c>
      <c r="J1482">
        <v>6.37</v>
      </c>
      <c r="L1482">
        <v>47034729</v>
      </c>
      <c r="M1482" s="1">
        <v>44259</v>
      </c>
      <c r="N1482" t="str">
        <f>"CC210304"</f>
        <v>CC210304</v>
      </c>
      <c r="O1482" t="s">
        <v>28</v>
      </c>
      <c r="Q1482" t="s">
        <v>29</v>
      </c>
      <c r="R1482" t="s">
        <v>28</v>
      </c>
      <c r="S1482" t="s">
        <v>6702</v>
      </c>
      <c r="T1482" t="s">
        <v>6703</v>
      </c>
      <c r="W1482" t="s">
        <v>40</v>
      </c>
      <c r="X1482" t="s">
        <v>34</v>
      </c>
      <c r="Y1482" t="str">
        <f>"77478"</f>
        <v>77478</v>
      </c>
    </row>
    <row r="1483" spans="1:25" x14ac:dyDescent="0.25">
      <c r="A1483" t="s">
        <v>6704</v>
      </c>
      <c r="B1483" t="s">
        <v>6705</v>
      </c>
      <c r="C1483">
        <v>2020</v>
      </c>
      <c r="D1483">
        <v>8001</v>
      </c>
      <c r="E1483">
        <v>2</v>
      </c>
      <c r="F1483" t="s">
        <v>6706</v>
      </c>
      <c r="G1483">
        <v>29739233</v>
      </c>
      <c r="J1483">
        <v>15.89</v>
      </c>
      <c r="L1483">
        <v>47282713</v>
      </c>
      <c r="M1483" s="1">
        <v>44298</v>
      </c>
      <c r="N1483" t="str">
        <f>"O210412F1"</f>
        <v>O210412F1</v>
      </c>
      <c r="O1483" t="s">
        <v>28</v>
      </c>
      <c r="Q1483" t="s">
        <v>29</v>
      </c>
      <c r="R1483" t="s">
        <v>28</v>
      </c>
      <c r="S1483" t="s">
        <v>6707</v>
      </c>
      <c r="T1483" t="s">
        <v>6708</v>
      </c>
      <c r="W1483" t="s">
        <v>899</v>
      </c>
      <c r="X1483" t="s">
        <v>900</v>
      </c>
      <c r="Y1483" t="str">
        <f>"606313515"</f>
        <v>606313515</v>
      </c>
    </row>
    <row r="1484" spans="1:25" x14ac:dyDescent="0.25">
      <c r="A1484" t="s">
        <v>6709</v>
      </c>
      <c r="B1484" t="s">
        <v>6710</v>
      </c>
      <c r="C1484">
        <v>2020</v>
      </c>
      <c r="D1484">
        <v>8001</v>
      </c>
      <c r="E1484">
        <v>2</v>
      </c>
      <c r="F1484" t="s">
        <v>6711</v>
      </c>
      <c r="G1484">
        <v>0</v>
      </c>
      <c r="J1484">
        <v>8.0399999999999991</v>
      </c>
      <c r="L1484">
        <v>46965527</v>
      </c>
      <c r="M1484" s="1">
        <v>44251</v>
      </c>
      <c r="N1484" t="str">
        <f>"O210224AR1"</f>
        <v>O210224AR1</v>
      </c>
      <c r="O1484" t="s">
        <v>28</v>
      </c>
      <c r="Q1484" t="s">
        <v>29</v>
      </c>
      <c r="R1484" t="s">
        <v>28</v>
      </c>
      <c r="S1484" t="s">
        <v>6711</v>
      </c>
      <c r="T1484" t="s">
        <v>6712</v>
      </c>
      <c r="U1484" t="s">
        <v>6713</v>
      </c>
      <c r="V1484" t="s">
        <v>60</v>
      </c>
      <c r="W1484" t="s">
        <v>649</v>
      </c>
      <c r="X1484" t="s">
        <v>34</v>
      </c>
      <c r="Y1484" t="str">
        <f>"774712833   "</f>
        <v xml:space="preserve">774712833   </v>
      </c>
    </row>
    <row r="1485" spans="1:25" x14ac:dyDescent="0.25">
      <c r="A1485" t="s">
        <v>6714</v>
      </c>
      <c r="B1485" t="s">
        <v>6715</v>
      </c>
      <c r="C1485">
        <v>2019</v>
      </c>
      <c r="D1485">
        <v>8001</v>
      </c>
      <c r="E1485">
        <v>1</v>
      </c>
      <c r="F1485" t="s">
        <v>6716</v>
      </c>
      <c r="G1485">
        <v>0</v>
      </c>
      <c r="J1485">
        <v>8.67</v>
      </c>
      <c r="L1485">
        <v>42057746</v>
      </c>
      <c r="M1485" s="1">
        <v>43801</v>
      </c>
      <c r="N1485" t="str">
        <f>"L191202"</f>
        <v>L191202</v>
      </c>
      <c r="O1485" t="s">
        <v>28</v>
      </c>
      <c r="Q1485" t="s">
        <v>29</v>
      </c>
      <c r="R1485" t="s">
        <v>28</v>
      </c>
      <c r="S1485" t="s">
        <v>6716</v>
      </c>
      <c r="T1485" t="s">
        <v>6717</v>
      </c>
      <c r="U1485" t="s">
        <v>60</v>
      </c>
      <c r="V1485" t="s">
        <v>60</v>
      </c>
      <c r="W1485" t="s">
        <v>2502</v>
      </c>
      <c r="X1485" t="s">
        <v>34</v>
      </c>
      <c r="Y1485" t="str">
        <f>"775451507   "</f>
        <v xml:space="preserve">775451507   </v>
      </c>
    </row>
    <row r="1486" spans="1:25" x14ac:dyDescent="0.25">
      <c r="A1486" t="s">
        <v>6718</v>
      </c>
      <c r="B1486" t="s">
        <v>6719</v>
      </c>
      <c r="C1486">
        <v>2019</v>
      </c>
      <c r="D1486">
        <v>8001</v>
      </c>
      <c r="E1486">
        <v>2</v>
      </c>
      <c r="F1486" t="s">
        <v>6720</v>
      </c>
      <c r="G1486">
        <v>28305500</v>
      </c>
      <c r="J1486">
        <v>6.29</v>
      </c>
      <c r="L1486">
        <v>43875252</v>
      </c>
      <c r="M1486" s="1">
        <v>43894</v>
      </c>
      <c r="N1486" t="str">
        <f>"CC400304"</f>
        <v>CC400304</v>
      </c>
      <c r="O1486" t="s">
        <v>28</v>
      </c>
      <c r="Q1486" t="s">
        <v>29</v>
      </c>
      <c r="R1486" t="s">
        <v>28</v>
      </c>
      <c r="S1486" t="s">
        <v>6721</v>
      </c>
      <c r="T1486" t="s">
        <v>6722</v>
      </c>
      <c r="W1486" t="s">
        <v>40</v>
      </c>
      <c r="X1486" t="s">
        <v>34</v>
      </c>
      <c r="Y1486" t="str">
        <f>"77479"</f>
        <v>77479</v>
      </c>
    </row>
    <row r="1487" spans="1:25" x14ac:dyDescent="0.25">
      <c r="A1487" t="s">
        <v>6723</v>
      </c>
      <c r="B1487" t="s">
        <v>6724</v>
      </c>
      <c r="C1487">
        <v>2018</v>
      </c>
      <c r="D1487">
        <v>8001</v>
      </c>
      <c r="E1487">
        <v>1</v>
      </c>
      <c r="F1487" t="s">
        <v>6725</v>
      </c>
      <c r="G1487">
        <v>27328750</v>
      </c>
      <c r="J1487">
        <v>23.29</v>
      </c>
      <c r="L1487">
        <v>41063791</v>
      </c>
      <c r="M1487" s="1">
        <v>43558</v>
      </c>
      <c r="N1487" t="str">
        <f>"EK190403"</f>
        <v>EK190403</v>
      </c>
      <c r="O1487" t="s">
        <v>28</v>
      </c>
      <c r="Q1487" t="s">
        <v>29</v>
      </c>
      <c r="R1487" t="s">
        <v>28</v>
      </c>
      <c r="S1487" t="s">
        <v>6726</v>
      </c>
      <c r="T1487" t="s">
        <v>6727</v>
      </c>
      <c r="W1487" t="s">
        <v>107</v>
      </c>
      <c r="X1487" t="s">
        <v>34</v>
      </c>
      <c r="Y1487" t="str">
        <f>"77494"</f>
        <v>77494</v>
      </c>
    </row>
    <row r="1488" spans="1:25" x14ac:dyDescent="0.25">
      <c r="A1488" t="s">
        <v>6728</v>
      </c>
      <c r="B1488" t="s">
        <v>6729</v>
      </c>
      <c r="C1488">
        <v>2020</v>
      </c>
      <c r="D1488">
        <v>8001</v>
      </c>
      <c r="E1488">
        <v>1</v>
      </c>
      <c r="F1488" t="s">
        <v>6730</v>
      </c>
      <c r="G1488">
        <v>29604576</v>
      </c>
      <c r="J1488">
        <v>16.899999999999999</v>
      </c>
      <c r="L1488">
        <v>47034758</v>
      </c>
      <c r="M1488" s="1">
        <v>44259</v>
      </c>
      <c r="N1488" t="str">
        <f>"CC210304"</f>
        <v>CC210304</v>
      </c>
      <c r="O1488" t="s">
        <v>28</v>
      </c>
      <c r="Q1488" t="s">
        <v>29</v>
      </c>
      <c r="R1488" t="s">
        <v>28</v>
      </c>
      <c r="S1488" t="s">
        <v>6731</v>
      </c>
      <c r="T1488" t="s">
        <v>6732</v>
      </c>
      <c r="W1488" t="s">
        <v>40</v>
      </c>
      <c r="X1488" t="s">
        <v>34</v>
      </c>
      <c r="Y1488" t="str">
        <f>"77479"</f>
        <v>77479</v>
      </c>
    </row>
    <row r="1489" spans="1:25" x14ac:dyDescent="0.25">
      <c r="A1489" t="s">
        <v>6733</v>
      </c>
      <c r="B1489" t="s">
        <v>6734</v>
      </c>
      <c r="C1489">
        <v>2020</v>
      </c>
      <c r="D1489">
        <v>8001</v>
      </c>
      <c r="E1489">
        <v>1</v>
      </c>
      <c r="F1489" t="s">
        <v>6735</v>
      </c>
      <c r="G1489">
        <v>28897852</v>
      </c>
      <c r="J1489">
        <v>11.42</v>
      </c>
      <c r="L1489">
        <v>45194523</v>
      </c>
      <c r="M1489" s="1">
        <v>44174</v>
      </c>
      <c r="N1489" t="str">
        <f>"RC201217"</f>
        <v>RC201217</v>
      </c>
      <c r="O1489" t="s">
        <v>28</v>
      </c>
      <c r="Q1489" t="s">
        <v>29</v>
      </c>
      <c r="R1489" t="s">
        <v>28</v>
      </c>
      <c r="S1489" t="s">
        <v>6736</v>
      </c>
      <c r="T1489" t="s">
        <v>6737</v>
      </c>
      <c r="W1489" t="s">
        <v>75</v>
      </c>
      <c r="X1489" t="s">
        <v>34</v>
      </c>
      <c r="Y1489" t="str">
        <f>"770595012"</f>
        <v>770595012</v>
      </c>
    </row>
    <row r="1490" spans="1:25" x14ac:dyDescent="0.25">
      <c r="A1490" t="s">
        <v>6738</v>
      </c>
      <c r="B1490" t="s">
        <v>6739</v>
      </c>
      <c r="C1490">
        <v>2020</v>
      </c>
      <c r="D1490">
        <v>8001</v>
      </c>
      <c r="E1490">
        <v>1</v>
      </c>
      <c r="F1490" t="s">
        <v>6740</v>
      </c>
      <c r="G1490">
        <v>0</v>
      </c>
      <c r="J1490">
        <v>5.96</v>
      </c>
      <c r="L1490">
        <v>46890697</v>
      </c>
      <c r="M1490" s="1">
        <v>44236</v>
      </c>
      <c r="N1490" t="str">
        <f>"J210209K8"</f>
        <v>J210209K8</v>
      </c>
      <c r="O1490" t="s">
        <v>28</v>
      </c>
      <c r="Q1490" t="s">
        <v>29</v>
      </c>
      <c r="R1490" t="s">
        <v>28</v>
      </c>
      <c r="S1490" t="s">
        <v>6740</v>
      </c>
      <c r="T1490" t="s">
        <v>6741</v>
      </c>
      <c r="U1490" t="s">
        <v>6742</v>
      </c>
      <c r="V1490" t="s">
        <v>60</v>
      </c>
      <c r="W1490" t="s">
        <v>6743</v>
      </c>
      <c r="X1490" t="s">
        <v>5576</v>
      </c>
      <c r="Y1490" t="str">
        <f>"370677285   "</f>
        <v xml:space="preserve">370677285   </v>
      </c>
    </row>
    <row r="1491" spans="1:25" x14ac:dyDescent="0.25">
      <c r="A1491" t="s">
        <v>6744</v>
      </c>
      <c r="B1491" t="s">
        <v>6745</v>
      </c>
      <c r="C1491">
        <v>2021</v>
      </c>
      <c r="D1491">
        <v>8001</v>
      </c>
      <c r="E1491">
        <v>1</v>
      </c>
      <c r="F1491" t="s">
        <v>6746</v>
      </c>
      <c r="G1491">
        <v>31000912</v>
      </c>
      <c r="J1491">
        <v>55.97</v>
      </c>
      <c r="L1491">
        <v>48892448</v>
      </c>
      <c r="M1491" s="1">
        <v>44565</v>
      </c>
      <c r="N1491" t="str">
        <f>"RC220209"</f>
        <v>RC220209</v>
      </c>
      <c r="O1491" t="s">
        <v>28</v>
      </c>
      <c r="Q1491" t="s">
        <v>29</v>
      </c>
      <c r="R1491" t="s">
        <v>28</v>
      </c>
      <c r="S1491" t="s">
        <v>6746</v>
      </c>
      <c r="T1491" t="s">
        <v>6747</v>
      </c>
      <c r="U1491" t="s">
        <v>6748</v>
      </c>
      <c r="W1491" t="s">
        <v>81</v>
      </c>
      <c r="X1491" t="s">
        <v>34</v>
      </c>
      <c r="Y1491" t="str">
        <f>"774064340"</f>
        <v>774064340</v>
      </c>
    </row>
    <row r="1492" spans="1:25" x14ac:dyDescent="0.25">
      <c r="A1492" t="s">
        <v>6749</v>
      </c>
      <c r="B1492" t="s">
        <v>6750</v>
      </c>
      <c r="C1492">
        <v>2020</v>
      </c>
      <c r="D1492">
        <v>8001</v>
      </c>
      <c r="E1492">
        <v>1</v>
      </c>
      <c r="F1492" t="s">
        <v>6751</v>
      </c>
      <c r="G1492">
        <v>29461755</v>
      </c>
      <c r="J1492">
        <v>90.1</v>
      </c>
      <c r="L1492">
        <v>46728755</v>
      </c>
      <c r="M1492" s="1">
        <v>44230</v>
      </c>
      <c r="N1492" t="str">
        <f>"EK210203"</f>
        <v>EK210203</v>
      </c>
      <c r="O1492" t="s">
        <v>28</v>
      </c>
      <c r="Q1492" t="s">
        <v>29</v>
      </c>
      <c r="R1492" t="s">
        <v>28</v>
      </c>
      <c r="S1492" t="s">
        <v>6752</v>
      </c>
      <c r="T1492" t="s">
        <v>6753</v>
      </c>
      <c r="W1492" t="s">
        <v>6754</v>
      </c>
      <c r="X1492" t="s">
        <v>227</v>
      </c>
      <c r="Y1492" t="str">
        <f>"85072"</f>
        <v>85072</v>
      </c>
    </row>
    <row r="1493" spans="1:25" x14ac:dyDescent="0.25">
      <c r="A1493" t="s">
        <v>6755</v>
      </c>
      <c r="B1493" t="s">
        <v>6756</v>
      </c>
      <c r="C1493">
        <v>2019</v>
      </c>
      <c r="D1493">
        <v>8001</v>
      </c>
      <c r="E1493">
        <v>2</v>
      </c>
      <c r="F1493" t="s">
        <v>6757</v>
      </c>
      <c r="G1493">
        <v>25434326</v>
      </c>
      <c r="J1493">
        <v>75.53</v>
      </c>
      <c r="L1493">
        <v>42228284</v>
      </c>
      <c r="M1493" s="1">
        <v>43811</v>
      </c>
      <c r="N1493" t="str">
        <f>"J191212K5"</f>
        <v>J191212K5</v>
      </c>
      <c r="O1493" t="s">
        <v>28</v>
      </c>
      <c r="Q1493" t="s">
        <v>29</v>
      </c>
      <c r="R1493" t="s">
        <v>28</v>
      </c>
      <c r="S1493" t="s">
        <v>6758</v>
      </c>
      <c r="T1493" t="s">
        <v>6759</v>
      </c>
      <c r="W1493" t="s">
        <v>392</v>
      </c>
      <c r="X1493" t="s">
        <v>34</v>
      </c>
      <c r="Y1493" t="str">
        <f>"774591809"</f>
        <v>774591809</v>
      </c>
    </row>
    <row r="1494" spans="1:25" x14ac:dyDescent="0.25">
      <c r="A1494" t="s">
        <v>6755</v>
      </c>
      <c r="B1494" t="s">
        <v>6756</v>
      </c>
      <c r="C1494">
        <v>2020</v>
      </c>
      <c r="D1494">
        <v>8001</v>
      </c>
      <c r="E1494">
        <v>1</v>
      </c>
      <c r="F1494" t="s">
        <v>6757</v>
      </c>
      <c r="G1494">
        <v>29604553</v>
      </c>
      <c r="J1494">
        <v>10.3</v>
      </c>
      <c r="L1494">
        <v>47034735</v>
      </c>
      <c r="M1494" s="1">
        <v>44259</v>
      </c>
      <c r="N1494" t="str">
        <f>"CC210304"</f>
        <v>CC210304</v>
      </c>
      <c r="O1494" t="s">
        <v>28</v>
      </c>
      <c r="Q1494" t="s">
        <v>29</v>
      </c>
      <c r="R1494" t="s">
        <v>28</v>
      </c>
      <c r="S1494" t="s">
        <v>6760</v>
      </c>
      <c r="T1494" t="s">
        <v>6761</v>
      </c>
      <c r="W1494" t="s">
        <v>75</v>
      </c>
      <c r="X1494" t="s">
        <v>34</v>
      </c>
      <c r="Y1494" t="str">
        <f>"77088"</f>
        <v>77088</v>
      </c>
    </row>
    <row r="1495" spans="1:25" x14ac:dyDescent="0.25">
      <c r="A1495" t="s">
        <v>6762</v>
      </c>
      <c r="B1495" t="s">
        <v>6763</v>
      </c>
      <c r="C1495">
        <v>2020</v>
      </c>
      <c r="D1495">
        <v>8001</v>
      </c>
      <c r="E1495">
        <v>1</v>
      </c>
      <c r="F1495" t="s">
        <v>6764</v>
      </c>
      <c r="G1495">
        <v>1858826</v>
      </c>
      <c r="J1495">
        <v>23.64</v>
      </c>
      <c r="L1495">
        <v>45573190</v>
      </c>
      <c r="M1495" s="1">
        <v>44679</v>
      </c>
      <c r="N1495" t="str">
        <f>"T220428U1"</f>
        <v>T220428U1</v>
      </c>
      <c r="O1495" t="s">
        <v>28</v>
      </c>
      <c r="Q1495" t="s">
        <v>29</v>
      </c>
      <c r="R1495" t="s">
        <v>28</v>
      </c>
      <c r="S1495" t="s">
        <v>6765</v>
      </c>
      <c r="T1495" t="s">
        <v>6766</v>
      </c>
      <c r="U1495" t="s">
        <v>6767</v>
      </c>
      <c r="W1495" t="s">
        <v>40</v>
      </c>
      <c r="X1495" t="s">
        <v>34</v>
      </c>
      <c r="Y1495" t="str">
        <f>"77478"</f>
        <v>77478</v>
      </c>
    </row>
    <row r="1496" spans="1:25" x14ac:dyDescent="0.25">
      <c r="A1496" t="s">
        <v>6768</v>
      </c>
      <c r="B1496" t="s">
        <v>6769</v>
      </c>
      <c r="C1496">
        <v>2020</v>
      </c>
      <c r="D1496">
        <v>8001</v>
      </c>
      <c r="E1496">
        <v>1</v>
      </c>
      <c r="F1496" t="s">
        <v>6770</v>
      </c>
      <c r="G1496">
        <v>29461879</v>
      </c>
      <c r="J1496">
        <v>38.67</v>
      </c>
      <c r="L1496">
        <v>46728879</v>
      </c>
      <c r="M1496" s="1">
        <v>44230</v>
      </c>
      <c r="N1496" t="str">
        <f>"EK210203"</f>
        <v>EK210203</v>
      </c>
      <c r="O1496" t="s">
        <v>28</v>
      </c>
      <c r="Q1496" t="s">
        <v>29</v>
      </c>
      <c r="R1496" t="s">
        <v>28</v>
      </c>
      <c r="S1496" t="s">
        <v>6770</v>
      </c>
      <c r="T1496" t="s">
        <v>6771</v>
      </c>
      <c r="W1496" t="s">
        <v>75</v>
      </c>
      <c r="X1496" t="s">
        <v>34</v>
      </c>
      <c r="Y1496" t="str">
        <f>"77271"</f>
        <v>77271</v>
      </c>
    </row>
    <row r="1497" spans="1:25" x14ac:dyDescent="0.25">
      <c r="A1497" t="s">
        <v>6772</v>
      </c>
      <c r="B1497" t="s">
        <v>6773</v>
      </c>
      <c r="C1497">
        <v>2020</v>
      </c>
      <c r="D1497">
        <v>8001</v>
      </c>
      <c r="E1497">
        <v>1</v>
      </c>
      <c r="F1497" t="s">
        <v>6774</v>
      </c>
      <c r="G1497">
        <v>0</v>
      </c>
      <c r="J1497">
        <v>5.92</v>
      </c>
      <c r="L1497">
        <v>45091570</v>
      </c>
      <c r="M1497" s="1">
        <v>44168</v>
      </c>
      <c r="N1497" t="str">
        <f>"L201203"</f>
        <v>L201203</v>
      </c>
      <c r="O1497" t="s">
        <v>28</v>
      </c>
      <c r="Q1497" t="s">
        <v>29</v>
      </c>
      <c r="R1497" t="s">
        <v>28</v>
      </c>
      <c r="S1497" t="s">
        <v>6774</v>
      </c>
      <c r="T1497" t="s">
        <v>6775</v>
      </c>
      <c r="U1497" t="s">
        <v>6776</v>
      </c>
      <c r="V1497" t="s">
        <v>60</v>
      </c>
      <c r="W1497" t="s">
        <v>376</v>
      </c>
      <c r="X1497" t="s">
        <v>34</v>
      </c>
      <c r="Y1497" t="str">
        <f>"77477       "</f>
        <v xml:space="preserve">77477       </v>
      </c>
    </row>
    <row r="1498" spans="1:25" x14ac:dyDescent="0.25">
      <c r="A1498" t="s">
        <v>6777</v>
      </c>
      <c r="B1498" t="s">
        <v>6778</v>
      </c>
      <c r="C1498">
        <v>2020</v>
      </c>
      <c r="D1498">
        <v>8001</v>
      </c>
      <c r="E1498">
        <v>1</v>
      </c>
      <c r="F1498" t="s">
        <v>6779</v>
      </c>
      <c r="G1498">
        <v>29461891</v>
      </c>
      <c r="J1498">
        <v>8.5500000000000007</v>
      </c>
      <c r="L1498">
        <v>46728891</v>
      </c>
      <c r="M1498" s="1">
        <v>44230</v>
      </c>
      <c r="N1498" t="str">
        <f>"EK210203"</f>
        <v>EK210203</v>
      </c>
      <c r="O1498" t="s">
        <v>28</v>
      </c>
      <c r="Q1498" t="s">
        <v>29</v>
      </c>
      <c r="R1498" t="s">
        <v>28</v>
      </c>
      <c r="S1498" t="s">
        <v>6357</v>
      </c>
      <c r="T1498" t="s">
        <v>6358</v>
      </c>
      <c r="W1498" t="s">
        <v>727</v>
      </c>
      <c r="X1498" t="s">
        <v>34</v>
      </c>
      <c r="Y1498" t="str">
        <f>"77583"</f>
        <v>77583</v>
      </c>
    </row>
    <row r="1499" spans="1:25" x14ac:dyDescent="0.25">
      <c r="A1499" t="s">
        <v>6780</v>
      </c>
      <c r="B1499" t="s">
        <v>6781</v>
      </c>
      <c r="C1499">
        <v>2019</v>
      </c>
      <c r="D1499">
        <v>8001</v>
      </c>
      <c r="E1499">
        <v>1</v>
      </c>
      <c r="F1499" t="s">
        <v>6782</v>
      </c>
      <c r="G1499">
        <v>28310277</v>
      </c>
      <c r="J1499">
        <v>5.44</v>
      </c>
      <c r="L1499">
        <v>43887098</v>
      </c>
      <c r="M1499" s="1">
        <v>43895</v>
      </c>
      <c r="N1499" t="str">
        <f>"CC200305"</f>
        <v>CC200305</v>
      </c>
      <c r="O1499" t="s">
        <v>28</v>
      </c>
      <c r="Q1499" t="s">
        <v>29</v>
      </c>
      <c r="R1499" t="s">
        <v>28</v>
      </c>
      <c r="S1499" t="s">
        <v>6783</v>
      </c>
      <c r="T1499" t="s">
        <v>6784</v>
      </c>
      <c r="W1499" t="s">
        <v>40</v>
      </c>
      <c r="X1499" t="s">
        <v>34</v>
      </c>
      <c r="Y1499" t="str">
        <f>"77478"</f>
        <v>77478</v>
      </c>
    </row>
    <row r="1500" spans="1:25" x14ac:dyDescent="0.25">
      <c r="A1500" t="s">
        <v>6785</v>
      </c>
      <c r="B1500" t="s">
        <v>6786</v>
      </c>
      <c r="C1500">
        <v>2021</v>
      </c>
      <c r="D1500">
        <v>8001</v>
      </c>
      <c r="E1500">
        <v>1</v>
      </c>
      <c r="F1500" t="s">
        <v>6787</v>
      </c>
      <c r="G1500">
        <v>27762635</v>
      </c>
      <c r="J1500">
        <v>282.98</v>
      </c>
      <c r="L1500">
        <v>49452042</v>
      </c>
      <c r="M1500" s="1">
        <v>44585</v>
      </c>
      <c r="N1500" t="str">
        <f>"RC220309"</f>
        <v>RC220309</v>
      </c>
      <c r="O1500" t="s">
        <v>28</v>
      </c>
      <c r="Q1500" t="s">
        <v>29</v>
      </c>
      <c r="R1500" t="s">
        <v>28</v>
      </c>
      <c r="S1500" t="s">
        <v>6788</v>
      </c>
      <c r="T1500" t="s">
        <v>6789</v>
      </c>
      <c r="W1500" t="s">
        <v>371</v>
      </c>
      <c r="X1500" t="s">
        <v>34</v>
      </c>
      <c r="Y1500" t="str">
        <f>"77477"</f>
        <v>77477</v>
      </c>
    </row>
    <row r="1501" spans="1:25" x14ac:dyDescent="0.25">
      <c r="A1501" t="s">
        <v>6790</v>
      </c>
      <c r="B1501" t="s">
        <v>6791</v>
      </c>
      <c r="C1501">
        <v>2019</v>
      </c>
      <c r="D1501">
        <v>8001</v>
      </c>
      <c r="E1501">
        <v>1</v>
      </c>
      <c r="F1501" t="s">
        <v>6792</v>
      </c>
      <c r="G1501">
        <v>28310270</v>
      </c>
      <c r="J1501">
        <v>85.97</v>
      </c>
      <c r="L1501">
        <v>43887091</v>
      </c>
      <c r="M1501" s="1">
        <v>43895</v>
      </c>
      <c r="N1501" t="str">
        <f>"CC200305"</f>
        <v>CC200305</v>
      </c>
      <c r="O1501" t="s">
        <v>28</v>
      </c>
      <c r="Q1501" t="s">
        <v>29</v>
      </c>
      <c r="R1501" t="s">
        <v>28</v>
      </c>
      <c r="S1501" t="s">
        <v>6793</v>
      </c>
      <c r="T1501" t="s">
        <v>6794</v>
      </c>
      <c r="W1501" t="s">
        <v>392</v>
      </c>
      <c r="X1501" t="s">
        <v>34</v>
      </c>
      <c r="Y1501" t="str">
        <f>"77459"</f>
        <v>77459</v>
      </c>
    </row>
    <row r="1502" spans="1:25" x14ac:dyDescent="0.25">
      <c r="A1502" t="s">
        <v>6795</v>
      </c>
      <c r="B1502" t="s">
        <v>6796</v>
      </c>
      <c r="C1502">
        <v>2020</v>
      </c>
      <c r="D1502">
        <v>8001</v>
      </c>
      <c r="E1502">
        <v>1</v>
      </c>
      <c r="F1502" t="s">
        <v>6797</v>
      </c>
      <c r="G1502">
        <v>29461774</v>
      </c>
      <c r="J1502">
        <v>54.17</v>
      </c>
      <c r="L1502">
        <v>46728774</v>
      </c>
      <c r="M1502" s="1">
        <v>44230</v>
      </c>
      <c r="N1502" t="str">
        <f>"EK210203"</f>
        <v>EK210203</v>
      </c>
      <c r="O1502" t="s">
        <v>28</v>
      </c>
      <c r="Q1502" t="s">
        <v>29</v>
      </c>
      <c r="R1502" t="s">
        <v>28</v>
      </c>
      <c r="S1502" t="s">
        <v>6798</v>
      </c>
      <c r="T1502" t="s">
        <v>6799</v>
      </c>
      <c r="W1502" t="s">
        <v>40</v>
      </c>
      <c r="X1502" t="s">
        <v>34</v>
      </c>
      <c r="Y1502" t="str">
        <f>"77478"</f>
        <v>77478</v>
      </c>
    </row>
    <row r="1503" spans="1:25" x14ac:dyDescent="0.25">
      <c r="A1503" t="s">
        <v>6800</v>
      </c>
      <c r="B1503" t="s">
        <v>6801</v>
      </c>
      <c r="C1503">
        <v>2020</v>
      </c>
      <c r="D1503">
        <v>8001</v>
      </c>
      <c r="E1503">
        <v>1</v>
      </c>
      <c r="F1503" t="s">
        <v>6802</v>
      </c>
      <c r="G1503">
        <v>29461831</v>
      </c>
      <c r="J1503">
        <v>637.23</v>
      </c>
      <c r="L1503">
        <v>46728831</v>
      </c>
      <c r="M1503" s="1">
        <v>44230</v>
      </c>
      <c r="N1503" t="str">
        <f>"EK210203"</f>
        <v>EK210203</v>
      </c>
      <c r="O1503" t="s">
        <v>28</v>
      </c>
      <c r="Q1503" t="s">
        <v>29</v>
      </c>
      <c r="R1503" t="s">
        <v>28</v>
      </c>
      <c r="S1503" t="s">
        <v>6802</v>
      </c>
      <c r="T1503" t="s">
        <v>6803</v>
      </c>
      <c r="W1503" t="s">
        <v>392</v>
      </c>
      <c r="X1503" t="s">
        <v>34</v>
      </c>
      <c r="Y1503" t="str">
        <f>"77459"</f>
        <v>77459</v>
      </c>
    </row>
    <row r="1504" spans="1:25" x14ac:dyDescent="0.25">
      <c r="A1504" t="s">
        <v>6804</v>
      </c>
      <c r="B1504" t="s">
        <v>6805</v>
      </c>
      <c r="C1504">
        <v>2020</v>
      </c>
      <c r="D1504">
        <v>8001</v>
      </c>
      <c r="E1504">
        <v>1</v>
      </c>
      <c r="F1504" t="s">
        <v>6806</v>
      </c>
      <c r="G1504">
        <v>0</v>
      </c>
      <c r="J1504">
        <v>18.899999999999999</v>
      </c>
      <c r="L1504">
        <v>45263689</v>
      </c>
      <c r="M1504" s="1">
        <v>44179</v>
      </c>
      <c r="N1504" t="str">
        <f>"L201214"</f>
        <v>L201214</v>
      </c>
      <c r="O1504" t="s">
        <v>28</v>
      </c>
      <c r="Q1504" t="s">
        <v>29</v>
      </c>
      <c r="R1504" t="s">
        <v>28</v>
      </c>
      <c r="S1504" t="s">
        <v>6806</v>
      </c>
      <c r="T1504" t="s">
        <v>6807</v>
      </c>
      <c r="U1504" t="s">
        <v>6808</v>
      </c>
      <c r="V1504" t="s">
        <v>6809</v>
      </c>
      <c r="W1504" t="s">
        <v>219</v>
      </c>
      <c r="X1504" t="s">
        <v>34</v>
      </c>
      <c r="Y1504" t="str">
        <f>"774783551   "</f>
        <v xml:space="preserve">774783551   </v>
      </c>
    </row>
    <row r="1505" spans="1:25" x14ac:dyDescent="0.25">
      <c r="A1505" t="s">
        <v>6810</v>
      </c>
      <c r="B1505" t="s">
        <v>6811</v>
      </c>
      <c r="C1505">
        <v>2019</v>
      </c>
      <c r="D1505">
        <v>8001</v>
      </c>
      <c r="E1505">
        <v>2</v>
      </c>
      <c r="F1505" t="s">
        <v>6812</v>
      </c>
      <c r="G1505">
        <v>0</v>
      </c>
      <c r="J1505">
        <v>5.48</v>
      </c>
      <c r="L1505">
        <v>43854314</v>
      </c>
      <c r="M1505" s="1">
        <v>43892</v>
      </c>
      <c r="N1505" t="str">
        <f>"O200302BG6"</f>
        <v>O200302BG6</v>
      </c>
      <c r="O1505" t="s">
        <v>28</v>
      </c>
      <c r="Q1505" t="s">
        <v>29</v>
      </c>
      <c r="R1505" t="s">
        <v>28</v>
      </c>
      <c r="S1505" t="s">
        <v>6812</v>
      </c>
      <c r="T1505" t="s">
        <v>6813</v>
      </c>
      <c r="U1505" t="s">
        <v>60</v>
      </c>
      <c r="V1505" t="s">
        <v>60</v>
      </c>
      <c r="W1505" t="s">
        <v>219</v>
      </c>
      <c r="X1505" t="s">
        <v>34</v>
      </c>
      <c r="Y1505" t="str">
        <f>"774781836   "</f>
        <v xml:space="preserve">774781836   </v>
      </c>
    </row>
    <row r="1506" spans="1:25" x14ac:dyDescent="0.25">
      <c r="A1506" t="s">
        <v>6814</v>
      </c>
      <c r="B1506" t="s">
        <v>6815</v>
      </c>
      <c r="C1506">
        <v>2021</v>
      </c>
      <c r="D1506">
        <v>8001</v>
      </c>
      <c r="E1506">
        <v>1</v>
      </c>
      <c r="F1506" t="s">
        <v>6816</v>
      </c>
      <c r="G1506">
        <v>0</v>
      </c>
      <c r="J1506">
        <v>8.31</v>
      </c>
      <c r="L1506">
        <v>49959959</v>
      </c>
      <c r="M1506" s="1">
        <v>44595</v>
      </c>
      <c r="N1506" t="str">
        <f>"J220203K5"</f>
        <v>J220203K5</v>
      </c>
      <c r="O1506" t="s">
        <v>28</v>
      </c>
      <c r="Q1506" t="s">
        <v>29</v>
      </c>
      <c r="R1506" t="s">
        <v>28</v>
      </c>
      <c r="S1506" t="s">
        <v>6816</v>
      </c>
      <c r="T1506" t="s">
        <v>6817</v>
      </c>
      <c r="U1506" t="s">
        <v>60</v>
      </c>
      <c r="V1506" t="s">
        <v>60</v>
      </c>
      <c r="W1506" t="s">
        <v>6818</v>
      </c>
      <c r="X1506" t="s">
        <v>557</v>
      </c>
      <c r="Y1506" t="str">
        <f>"064611673   "</f>
        <v xml:space="preserve">064611673   </v>
      </c>
    </row>
    <row r="1507" spans="1:25" x14ac:dyDescent="0.25">
      <c r="A1507" t="s">
        <v>6819</v>
      </c>
      <c r="B1507" t="s">
        <v>6820</v>
      </c>
      <c r="C1507">
        <v>2019</v>
      </c>
      <c r="D1507">
        <v>8001</v>
      </c>
      <c r="E1507">
        <v>2</v>
      </c>
      <c r="F1507" t="s">
        <v>6821</v>
      </c>
      <c r="G1507">
        <v>28305661</v>
      </c>
      <c r="J1507">
        <v>32.479999999999997</v>
      </c>
      <c r="L1507">
        <v>43875716</v>
      </c>
      <c r="M1507" s="1">
        <v>43894</v>
      </c>
      <c r="N1507" t="str">
        <f>"EK200304"</f>
        <v>EK200304</v>
      </c>
      <c r="O1507" t="s">
        <v>28</v>
      </c>
      <c r="Q1507" t="s">
        <v>29</v>
      </c>
      <c r="R1507" t="s">
        <v>28</v>
      </c>
      <c r="S1507" t="s">
        <v>6821</v>
      </c>
      <c r="T1507" t="s">
        <v>6822</v>
      </c>
      <c r="W1507" t="s">
        <v>936</v>
      </c>
      <c r="X1507" t="s">
        <v>34</v>
      </c>
      <c r="Y1507" t="str">
        <f>"77381"</f>
        <v>77381</v>
      </c>
    </row>
    <row r="1508" spans="1:25" x14ac:dyDescent="0.25">
      <c r="A1508" t="s">
        <v>6823</v>
      </c>
      <c r="B1508" t="s">
        <v>6824</v>
      </c>
      <c r="C1508">
        <v>2019</v>
      </c>
      <c r="D1508">
        <v>8001</v>
      </c>
      <c r="E1508">
        <v>1</v>
      </c>
      <c r="F1508" t="s">
        <v>6825</v>
      </c>
      <c r="G1508">
        <v>28569615</v>
      </c>
      <c r="J1508">
        <v>47.37</v>
      </c>
      <c r="L1508">
        <v>44386552</v>
      </c>
      <c r="M1508" s="1">
        <v>44022</v>
      </c>
      <c r="N1508" t="str">
        <f>"J200710K5"</f>
        <v>J200710K5</v>
      </c>
      <c r="O1508" t="s">
        <v>28</v>
      </c>
      <c r="Q1508" t="s">
        <v>29</v>
      </c>
      <c r="R1508" t="s">
        <v>28</v>
      </c>
      <c r="S1508" t="s">
        <v>6826</v>
      </c>
      <c r="T1508" t="s">
        <v>6827</v>
      </c>
      <c r="W1508" t="s">
        <v>6828</v>
      </c>
      <c r="X1508" t="s">
        <v>1107</v>
      </c>
      <c r="Y1508" t="str">
        <f>"30339"</f>
        <v>30339</v>
      </c>
    </row>
    <row r="1509" spans="1:25" x14ac:dyDescent="0.25">
      <c r="A1509" t="s">
        <v>6829</v>
      </c>
      <c r="B1509" t="s">
        <v>6830</v>
      </c>
      <c r="C1509">
        <v>2020</v>
      </c>
      <c r="D1509">
        <v>8001</v>
      </c>
      <c r="E1509">
        <v>1</v>
      </c>
      <c r="F1509" t="s">
        <v>6831</v>
      </c>
      <c r="G1509">
        <v>0</v>
      </c>
      <c r="J1509">
        <v>265.26</v>
      </c>
      <c r="L1509">
        <v>45263859</v>
      </c>
      <c r="M1509" s="1">
        <v>44179</v>
      </c>
      <c r="N1509" t="str">
        <f>"L201214"</f>
        <v>L201214</v>
      </c>
      <c r="O1509" t="s">
        <v>28</v>
      </c>
      <c r="Q1509" t="s">
        <v>29</v>
      </c>
      <c r="R1509" t="s">
        <v>28</v>
      </c>
      <c r="S1509" t="s">
        <v>6831</v>
      </c>
      <c r="T1509" t="s">
        <v>6832</v>
      </c>
      <c r="U1509" t="s">
        <v>60</v>
      </c>
      <c r="V1509" t="s">
        <v>60</v>
      </c>
      <c r="W1509" t="s">
        <v>219</v>
      </c>
      <c r="X1509" t="s">
        <v>34</v>
      </c>
      <c r="Y1509" t="str">
        <f>"774786240   "</f>
        <v xml:space="preserve">774786240   </v>
      </c>
    </row>
    <row r="1510" spans="1:25" x14ac:dyDescent="0.25">
      <c r="A1510" t="s">
        <v>6833</v>
      </c>
      <c r="B1510" t="s">
        <v>6834</v>
      </c>
      <c r="C1510">
        <v>2020</v>
      </c>
      <c r="D1510">
        <v>8001</v>
      </c>
      <c r="E1510">
        <v>1</v>
      </c>
      <c r="F1510" t="s">
        <v>6835</v>
      </c>
      <c r="G1510">
        <v>0</v>
      </c>
      <c r="J1510">
        <v>26.99</v>
      </c>
      <c r="L1510">
        <v>46861413</v>
      </c>
      <c r="M1510" s="1">
        <v>44235</v>
      </c>
      <c r="N1510" t="str">
        <f>"L210208"</f>
        <v>L210208</v>
      </c>
      <c r="O1510" t="s">
        <v>28</v>
      </c>
      <c r="Q1510" t="s">
        <v>29</v>
      </c>
      <c r="R1510" t="s">
        <v>28</v>
      </c>
      <c r="S1510" t="s">
        <v>6835</v>
      </c>
      <c r="T1510" t="s">
        <v>6836</v>
      </c>
      <c r="U1510" t="s">
        <v>60</v>
      </c>
      <c r="V1510" t="s">
        <v>60</v>
      </c>
      <c r="W1510" t="s">
        <v>1137</v>
      </c>
      <c r="X1510" t="s">
        <v>34</v>
      </c>
      <c r="Y1510" t="str">
        <f>"774508296   "</f>
        <v xml:space="preserve">774508296   </v>
      </c>
    </row>
    <row r="1511" spans="1:25" x14ac:dyDescent="0.25">
      <c r="A1511" t="s">
        <v>6837</v>
      </c>
      <c r="B1511" t="s">
        <v>6838</v>
      </c>
      <c r="C1511">
        <v>2019</v>
      </c>
      <c r="D1511">
        <v>8001</v>
      </c>
      <c r="E1511">
        <v>1</v>
      </c>
      <c r="F1511" t="s">
        <v>6839</v>
      </c>
      <c r="G1511">
        <v>28305476</v>
      </c>
      <c r="J1511">
        <v>9.56</v>
      </c>
      <c r="L1511">
        <v>43875228</v>
      </c>
      <c r="M1511" s="1">
        <v>43894</v>
      </c>
      <c r="N1511" t="str">
        <f>"CC400304"</f>
        <v>CC400304</v>
      </c>
      <c r="O1511" t="s">
        <v>28</v>
      </c>
      <c r="Q1511" t="s">
        <v>29</v>
      </c>
      <c r="R1511" t="s">
        <v>28</v>
      </c>
      <c r="S1511" t="s">
        <v>6840</v>
      </c>
      <c r="T1511" t="s">
        <v>6841</v>
      </c>
      <c r="W1511" t="s">
        <v>81</v>
      </c>
      <c r="X1511" t="s">
        <v>34</v>
      </c>
      <c r="Y1511" t="str">
        <f>"77407"</f>
        <v>77407</v>
      </c>
    </row>
    <row r="1512" spans="1:25" x14ac:dyDescent="0.25">
      <c r="A1512" t="s">
        <v>6842</v>
      </c>
      <c r="B1512" t="s">
        <v>6843</v>
      </c>
      <c r="C1512">
        <v>2019</v>
      </c>
      <c r="D1512">
        <v>8001</v>
      </c>
      <c r="E1512">
        <v>1</v>
      </c>
      <c r="F1512" t="s">
        <v>6839</v>
      </c>
      <c r="G1512">
        <v>28305477</v>
      </c>
      <c r="J1512">
        <v>8.69</v>
      </c>
      <c r="L1512">
        <v>43875229</v>
      </c>
      <c r="M1512" s="1">
        <v>43894</v>
      </c>
      <c r="N1512" t="str">
        <f>"CC400304"</f>
        <v>CC400304</v>
      </c>
      <c r="O1512" t="s">
        <v>28</v>
      </c>
      <c r="Q1512" t="s">
        <v>29</v>
      </c>
      <c r="R1512" t="s">
        <v>28</v>
      </c>
      <c r="S1512" t="s">
        <v>6840</v>
      </c>
      <c r="T1512" t="s">
        <v>6841</v>
      </c>
      <c r="W1512" t="s">
        <v>81</v>
      </c>
      <c r="X1512" t="s">
        <v>34</v>
      </c>
      <c r="Y1512" t="str">
        <f>"77407"</f>
        <v>77407</v>
      </c>
    </row>
    <row r="1513" spans="1:25" x14ac:dyDescent="0.25">
      <c r="A1513" t="s">
        <v>6844</v>
      </c>
      <c r="B1513" t="s">
        <v>6845</v>
      </c>
      <c r="C1513">
        <v>2020</v>
      </c>
      <c r="D1513">
        <v>8001</v>
      </c>
      <c r="E1513">
        <v>1</v>
      </c>
      <c r="F1513" t="s">
        <v>6846</v>
      </c>
      <c r="G1513">
        <v>0</v>
      </c>
      <c r="J1513">
        <v>21.11</v>
      </c>
      <c r="L1513">
        <v>45509983</v>
      </c>
      <c r="M1513" s="1">
        <v>44194</v>
      </c>
      <c r="N1513" t="str">
        <f>"J201229AE1"</f>
        <v>J201229AE1</v>
      </c>
      <c r="O1513" t="s">
        <v>28</v>
      </c>
      <c r="Q1513" t="s">
        <v>29</v>
      </c>
      <c r="R1513" t="s">
        <v>28</v>
      </c>
      <c r="S1513" t="s">
        <v>6846</v>
      </c>
      <c r="T1513" t="s">
        <v>6847</v>
      </c>
      <c r="U1513" t="s">
        <v>60</v>
      </c>
      <c r="V1513" t="s">
        <v>60</v>
      </c>
      <c r="W1513" t="s">
        <v>214</v>
      </c>
      <c r="X1513" t="s">
        <v>34</v>
      </c>
      <c r="Y1513" t="str">
        <f>"774069180   "</f>
        <v xml:space="preserve">774069180   </v>
      </c>
    </row>
    <row r="1514" spans="1:25" x14ac:dyDescent="0.25">
      <c r="A1514" t="s">
        <v>6848</v>
      </c>
      <c r="B1514" t="s">
        <v>6849</v>
      </c>
      <c r="C1514">
        <v>2020</v>
      </c>
      <c r="D1514">
        <v>8001</v>
      </c>
      <c r="E1514">
        <v>1</v>
      </c>
      <c r="F1514" t="s">
        <v>6850</v>
      </c>
      <c r="G1514">
        <v>0</v>
      </c>
      <c r="J1514">
        <v>116.75</v>
      </c>
      <c r="L1514">
        <v>46861509</v>
      </c>
      <c r="M1514" s="1">
        <v>44235</v>
      </c>
      <c r="N1514" t="str">
        <f>"L210208"</f>
        <v>L210208</v>
      </c>
      <c r="O1514" t="s">
        <v>28</v>
      </c>
      <c r="Q1514" t="s">
        <v>29</v>
      </c>
      <c r="R1514" t="s">
        <v>28</v>
      </c>
      <c r="S1514" t="s">
        <v>6850</v>
      </c>
      <c r="T1514" t="s">
        <v>6851</v>
      </c>
      <c r="U1514" t="s">
        <v>60</v>
      </c>
      <c r="V1514" t="s">
        <v>60</v>
      </c>
      <c r="W1514" t="s">
        <v>219</v>
      </c>
      <c r="X1514" t="s">
        <v>34</v>
      </c>
      <c r="Y1514" t="str">
        <f>"774982383   "</f>
        <v xml:space="preserve">774982383   </v>
      </c>
    </row>
    <row r="1515" spans="1:25" x14ac:dyDescent="0.25">
      <c r="A1515" t="s">
        <v>6852</v>
      </c>
      <c r="B1515" t="s">
        <v>6853</v>
      </c>
      <c r="C1515">
        <v>2020</v>
      </c>
      <c r="D1515">
        <v>8001</v>
      </c>
      <c r="E1515">
        <v>1</v>
      </c>
      <c r="F1515" t="s">
        <v>6854</v>
      </c>
      <c r="G1515">
        <v>0</v>
      </c>
      <c r="J1515">
        <v>9.36</v>
      </c>
      <c r="L1515">
        <v>47602890</v>
      </c>
      <c r="M1515" s="1">
        <v>44390</v>
      </c>
      <c r="N1515" t="str">
        <f>"J210713K3"</f>
        <v>J210713K3</v>
      </c>
      <c r="O1515" t="s">
        <v>28</v>
      </c>
      <c r="Q1515" t="s">
        <v>29</v>
      </c>
      <c r="R1515" t="s">
        <v>28</v>
      </c>
      <c r="S1515" t="s">
        <v>6854</v>
      </c>
      <c r="T1515" t="s">
        <v>6855</v>
      </c>
      <c r="U1515" t="s">
        <v>60</v>
      </c>
      <c r="V1515" t="s">
        <v>60</v>
      </c>
      <c r="W1515" t="s">
        <v>6856</v>
      </c>
      <c r="X1515" t="s">
        <v>5576</v>
      </c>
      <c r="Y1515" t="str">
        <f>"372081702   "</f>
        <v xml:space="preserve">372081702   </v>
      </c>
    </row>
    <row r="1516" spans="1:25" x14ac:dyDescent="0.25">
      <c r="A1516" t="s">
        <v>6857</v>
      </c>
      <c r="B1516" t="s">
        <v>6858</v>
      </c>
      <c r="C1516">
        <v>2021</v>
      </c>
      <c r="D1516">
        <v>8001</v>
      </c>
      <c r="E1516">
        <v>1</v>
      </c>
      <c r="F1516" t="s">
        <v>6859</v>
      </c>
      <c r="G1516">
        <v>0</v>
      </c>
      <c r="J1516">
        <v>21.4</v>
      </c>
      <c r="L1516">
        <v>48680431</v>
      </c>
      <c r="M1516" s="1">
        <v>44557</v>
      </c>
      <c r="N1516" t="str">
        <f>"L211227B"</f>
        <v>L211227B</v>
      </c>
      <c r="O1516" t="s">
        <v>28</v>
      </c>
      <c r="Q1516" t="s">
        <v>29</v>
      </c>
      <c r="R1516" t="s">
        <v>28</v>
      </c>
      <c r="S1516" t="s">
        <v>6859</v>
      </c>
      <c r="T1516" t="s">
        <v>6860</v>
      </c>
      <c r="U1516" t="s">
        <v>6861</v>
      </c>
      <c r="V1516" t="s">
        <v>60</v>
      </c>
      <c r="W1516" t="s">
        <v>135</v>
      </c>
      <c r="X1516" t="s">
        <v>34</v>
      </c>
      <c r="Y1516" t="str">
        <f>"770533546   "</f>
        <v xml:space="preserve">770533546   </v>
      </c>
    </row>
    <row r="1517" spans="1:25" x14ac:dyDescent="0.25">
      <c r="A1517" t="s">
        <v>6862</v>
      </c>
      <c r="B1517" t="s">
        <v>6863</v>
      </c>
      <c r="C1517">
        <v>2020</v>
      </c>
      <c r="D1517">
        <v>8001</v>
      </c>
      <c r="E1517">
        <v>1</v>
      </c>
      <c r="F1517" t="s">
        <v>6864</v>
      </c>
      <c r="G1517">
        <v>29461704</v>
      </c>
      <c r="J1517">
        <v>25.33</v>
      </c>
      <c r="L1517">
        <v>46728704</v>
      </c>
      <c r="M1517" s="1">
        <v>44230</v>
      </c>
      <c r="N1517" t="str">
        <f>"EK210203"</f>
        <v>EK210203</v>
      </c>
      <c r="O1517" t="s">
        <v>28</v>
      </c>
      <c r="Q1517" t="s">
        <v>29</v>
      </c>
      <c r="R1517" t="s">
        <v>28</v>
      </c>
      <c r="S1517" t="s">
        <v>6864</v>
      </c>
      <c r="T1517" t="s">
        <v>6865</v>
      </c>
      <c r="W1517" t="s">
        <v>371</v>
      </c>
      <c r="X1517" t="s">
        <v>34</v>
      </c>
      <c r="Y1517" t="str">
        <f>"77477"</f>
        <v>77477</v>
      </c>
    </row>
    <row r="1518" spans="1:25" x14ac:dyDescent="0.25">
      <c r="A1518" t="s">
        <v>6866</v>
      </c>
      <c r="B1518" t="s">
        <v>6867</v>
      </c>
      <c r="C1518">
        <v>2019</v>
      </c>
      <c r="D1518">
        <v>8001</v>
      </c>
      <c r="E1518">
        <v>1</v>
      </c>
      <c r="F1518" t="s">
        <v>6868</v>
      </c>
      <c r="G1518">
        <v>0</v>
      </c>
      <c r="J1518">
        <v>687.02</v>
      </c>
      <c r="L1518">
        <v>42336127</v>
      </c>
      <c r="M1518" s="1">
        <v>43818</v>
      </c>
      <c r="N1518" t="str">
        <f>"L191219"</f>
        <v>L191219</v>
      </c>
      <c r="O1518" t="s">
        <v>28</v>
      </c>
      <c r="Q1518" t="s">
        <v>29</v>
      </c>
      <c r="R1518" t="s">
        <v>28</v>
      </c>
      <c r="S1518" t="s">
        <v>6868</v>
      </c>
      <c r="T1518" t="s">
        <v>6869</v>
      </c>
      <c r="U1518" t="s">
        <v>60</v>
      </c>
      <c r="V1518" t="s">
        <v>60</v>
      </c>
      <c r="W1518" t="s">
        <v>6870</v>
      </c>
      <c r="X1518" t="s">
        <v>317</v>
      </c>
      <c r="Y1518" t="str">
        <f>"943011204   "</f>
        <v xml:space="preserve">943011204   </v>
      </c>
    </row>
    <row r="1519" spans="1:25" x14ac:dyDescent="0.25">
      <c r="A1519" t="s">
        <v>6871</v>
      </c>
      <c r="B1519" t="s">
        <v>6872</v>
      </c>
      <c r="C1519">
        <v>2020</v>
      </c>
      <c r="D1519">
        <v>8001</v>
      </c>
      <c r="E1519">
        <v>1</v>
      </c>
      <c r="F1519" t="s">
        <v>6873</v>
      </c>
      <c r="G1519">
        <v>0</v>
      </c>
      <c r="J1519">
        <v>19.690000000000001</v>
      </c>
      <c r="L1519">
        <v>47767997</v>
      </c>
      <c r="M1519" s="1">
        <v>44469</v>
      </c>
      <c r="N1519" t="str">
        <f>"L210930"</f>
        <v>L210930</v>
      </c>
      <c r="O1519" t="s">
        <v>28</v>
      </c>
      <c r="Q1519" t="s">
        <v>29</v>
      </c>
      <c r="R1519" t="s">
        <v>28</v>
      </c>
      <c r="S1519" t="s">
        <v>6873</v>
      </c>
      <c r="T1519" t="s">
        <v>6874</v>
      </c>
      <c r="U1519" t="s">
        <v>6875</v>
      </c>
      <c r="V1519" t="s">
        <v>60</v>
      </c>
      <c r="W1519" t="s">
        <v>219</v>
      </c>
      <c r="X1519" t="s">
        <v>34</v>
      </c>
      <c r="Y1519" t="str">
        <f>"774784081   "</f>
        <v xml:space="preserve">774784081   </v>
      </c>
    </row>
    <row r="1520" spans="1:25" x14ac:dyDescent="0.25">
      <c r="A1520" t="s">
        <v>6876</v>
      </c>
      <c r="B1520" t="s">
        <v>6877</v>
      </c>
      <c r="C1520">
        <v>2020</v>
      </c>
      <c r="D1520">
        <v>8001</v>
      </c>
      <c r="E1520">
        <v>1</v>
      </c>
      <c r="F1520" t="s">
        <v>6878</v>
      </c>
      <c r="G1520">
        <v>0</v>
      </c>
      <c r="J1520">
        <v>19.66</v>
      </c>
      <c r="L1520">
        <v>46861498</v>
      </c>
      <c r="M1520" s="1">
        <v>44235</v>
      </c>
      <c r="N1520" t="str">
        <f>"L210208"</f>
        <v>L210208</v>
      </c>
      <c r="O1520" t="s">
        <v>28</v>
      </c>
      <c r="Q1520" t="s">
        <v>29</v>
      </c>
      <c r="R1520" t="s">
        <v>28</v>
      </c>
      <c r="S1520" t="s">
        <v>6878</v>
      </c>
      <c r="T1520" t="s">
        <v>6879</v>
      </c>
      <c r="U1520" t="s">
        <v>60</v>
      </c>
      <c r="V1520" t="s">
        <v>60</v>
      </c>
      <c r="W1520" t="s">
        <v>219</v>
      </c>
      <c r="X1520" t="s">
        <v>34</v>
      </c>
      <c r="Y1520" t="str">
        <f>"77479       "</f>
        <v xml:space="preserve">77479       </v>
      </c>
    </row>
    <row r="1521" spans="1:25" x14ac:dyDescent="0.25">
      <c r="A1521" t="s">
        <v>6880</v>
      </c>
      <c r="B1521" t="s">
        <v>6881</v>
      </c>
      <c r="C1521">
        <v>2020</v>
      </c>
      <c r="D1521">
        <v>8001</v>
      </c>
      <c r="E1521">
        <v>1</v>
      </c>
      <c r="F1521" t="s">
        <v>6882</v>
      </c>
      <c r="G1521">
        <v>29489516</v>
      </c>
      <c r="J1521">
        <v>7.57</v>
      </c>
      <c r="L1521">
        <v>46782215</v>
      </c>
      <c r="M1521" s="1">
        <v>44231</v>
      </c>
      <c r="N1521" t="str">
        <f>"CC210204"</f>
        <v>CC210204</v>
      </c>
      <c r="O1521" t="s">
        <v>28</v>
      </c>
      <c r="Q1521" t="s">
        <v>29</v>
      </c>
      <c r="R1521" t="s">
        <v>28</v>
      </c>
      <c r="S1521" t="s">
        <v>6883</v>
      </c>
      <c r="T1521" t="s">
        <v>6884</v>
      </c>
      <c r="W1521" t="s">
        <v>6885</v>
      </c>
      <c r="X1521" t="s">
        <v>34</v>
      </c>
      <c r="Y1521" t="str">
        <f>"75078"</f>
        <v>75078</v>
      </c>
    </row>
    <row r="1522" spans="1:25" x14ac:dyDescent="0.25">
      <c r="A1522" t="s">
        <v>6886</v>
      </c>
      <c r="B1522" t="s">
        <v>6887</v>
      </c>
      <c r="C1522">
        <v>2019</v>
      </c>
      <c r="D1522">
        <v>8001</v>
      </c>
      <c r="E1522">
        <v>3</v>
      </c>
      <c r="F1522" t="s">
        <v>6888</v>
      </c>
      <c r="G1522">
        <v>0</v>
      </c>
      <c r="J1522">
        <v>11.71</v>
      </c>
      <c r="L1522">
        <v>43915124</v>
      </c>
      <c r="M1522" s="1">
        <v>43900</v>
      </c>
      <c r="N1522" t="str">
        <f>"J200310AW3"</f>
        <v>J200310AW3</v>
      </c>
      <c r="O1522" t="s">
        <v>28</v>
      </c>
      <c r="Q1522" t="s">
        <v>29</v>
      </c>
      <c r="R1522" t="s">
        <v>28</v>
      </c>
      <c r="S1522" t="s">
        <v>6888</v>
      </c>
      <c r="T1522" t="s">
        <v>6889</v>
      </c>
      <c r="U1522" t="s">
        <v>60</v>
      </c>
      <c r="V1522" t="s">
        <v>60</v>
      </c>
      <c r="W1522" t="s">
        <v>219</v>
      </c>
      <c r="X1522" t="s">
        <v>34</v>
      </c>
      <c r="Y1522" t="str">
        <f>"774784084   "</f>
        <v xml:space="preserve">774784084   </v>
      </c>
    </row>
    <row r="1523" spans="1:25" x14ac:dyDescent="0.25">
      <c r="A1523" t="s">
        <v>6890</v>
      </c>
      <c r="B1523" t="s">
        <v>6891</v>
      </c>
      <c r="C1523">
        <v>2020</v>
      </c>
      <c r="D1523">
        <v>8001</v>
      </c>
      <c r="E1523">
        <v>1</v>
      </c>
      <c r="F1523" t="s">
        <v>6892</v>
      </c>
      <c r="G1523">
        <v>0</v>
      </c>
      <c r="J1523">
        <v>20.54</v>
      </c>
      <c r="L1523">
        <v>45523841</v>
      </c>
      <c r="M1523" s="1">
        <v>44194</v>
      </c>
      <c r="N1523" t="str">
        <f>"L201229A"</f>
        <v>L201229A</v>
      </c>
      <c r="O1523" t="s">
        <v>28</v>
      </c>
      <c r="Q1523" t="s">
        <v>29</v>
      </c>
      <c r="R1523" t="s">
        <v>28</v>
      </c>
      <c r="S1523" t="s">
        <v>6892</v>
      </c>
      <c r="T1523" t="s">
        <v>6893</v>
      </c>
      <c r="U1523" t="s">
        <v>60</v>
      </c>
      <c r="V1523" t="s">
        <v>60</v>
      </c>
      <c r="W1523" t="s">
        <v>219</v>
      </c>
      <c r="X1523" t="s">
        <v>34</v>
      </c>
      <c r="Y1523" t="str">
        <f>"774785017   "</f>
        <v xml:space="preserve">774785017   </v>
      </c>
    </row>
    <row r="1524" spans="1:25" x14ac:dyDescent="0.25">
      <c r="A1524" t="s">
        <v>6894</v>
      </c>
      <c r="B1524" t="s">
        <v>6895</v>
      </c>
      <c r="C1524">
        <v>2019</v>
      </c>
      <c r="D1524">
        <v>8001</v>
      </c>
      <c r="E1524">
        <v>1</v>
      </c>
      <c r="F1524" t="s">
        <v>6896</v>
      </c>
      <c r="G1524">
        <v>28310315</v>
      </c>
      <c r="J1524">
        <v>12.19</v>
      </c>
      <c r="L1524">
        <v>43887136</v>
      </c>
      <c r="M1524" s="1">
        <v>43895</v>
      </c>
      <c r="N1524" t="str">
        <f>"CC200305"</f>
        <v>CC200305</v>
      </c>
      <c r="O1524" t="s">
        <v>28</v>
      </c>
      <c r="Q1524" t="s">
        <v>29</v>
      </c>
      <c r="R1524" t="s">
        <v>28</v>
      </c>
      <c r="S1524" t="s">
        <v>6897</v>
      </c>
      <c r="T1524" t="s">
        <v>6898</v>
      </c>
      <c r="W1524" t="s">
        <v>107</v>
      </c>
      <c r="X1524" t="s">
        <v>34</v>
      </c>
      <c r="Y1524" t="str">
        <f>"77494"</f>
        <v>77494</v>
      </c>
    </row>
    <row r="1525" spans="1:25" x14ac:dyDescent="0.25">
      <c r="A1525" t="s">
        <v>6899</v>
      </c>
      <c r="B1525" t="s">
        <v>6900</v>
      </c>
      <c r="C1525">
        <v>2021</v>
      </c>
      <c r="D1525">
        <v>8001</v>
      </c>
      <c r="E1525">
        <v>1</v>
      </c>
      <c r="F1525" t="s">
        <v>6901</v>
      </c>
      <c r="G1525">
        <v>0</v>
      </c>
      <c r="J1525">
        <v>6.1</v>
      </c>
      <c r="L1525">
        <v>48434838</v>
      </c>
      <c r="M1525" s="1">
        <v>44543</v>
      </c>
      <c r="N1525" t="str">
        <f>"L211213"</f>
        <v>L211213</v>
      </c>
      <c r="O1525" t="s">
        <v>28</v>
      </c>
      <c r="Q1525" t="s">
        <v>29</v>
      </c>
      <c r="R1525" t="s">
        <v>28</v>
      </c>
      <c r="S1525" t="s">
        <v>6901</v>
      </c>
      <c r="T1525" t="s">
        <v>6902</v>
      </c>
      <c r="U1525" t="s">
        <v>60</v>
      </c>
      <c r="V1525" t="s">
        <v>60</v>
      </c>
      <c r="W1525" t="s">
        <v>219</v>
      </c>
      <c r="X1525" t="s">
        <v>34</v>
      </c>
      <c r="Y1525" t="str">
        <f>"774796538   "</f>
        <v xml:space="preserve">774796538   </v>
      </c>
    </row>
    <row r="1526" spans="1:25" x14ac:dyDescent="0.25">
      <c r="A1526" t="s">
        <v>6903</v>
      </c>
      <c r="B1526" t="s">
        <v>6904</v>
      </c>
      <c r="C1526">
        <v>2020</v>
      </c>
      <c r="D1526">
        <v>8001</v>
      </c>
      <c r="E1526">
        <v>1</v>
      </c>
      <c r="F1526" t="s">
        <v>6905</v>
      </c>
      <c r="G1526">
        <v>0</v>
      </c>
      <c r="J1526">
        <v>6.15</v>
      </c>
      <c r="L1526">
        <v>45975591</v>
      </c>
      <c r="M1526" s="1">
        <v>44210</v>
      </c>
      <c r="N1526" t="str">
        <f>"L210114"</f>
        <v>L210114</v>
      </c>
      <c r="O1526" t="s">
        <v>28</v>
      </c>
      <c r="Q1526" t="s">
        <v>29</v>
      </c>
      <c r="R1526" t="s">
        <v>28</v>
      </c>
      <c r="S1526" t="s">
        <v>6905</v>
      </c>
      <c r="T1526" t="s">
        <v>6906</v>
      </c>
      <c r="U1526" t="s">
        <v>6907</v>
      </c>
      <c r="V1526" t="s">
        <v>60</v>
      </c>
      <c r="W1526" t="s">
        <v>1137</v>
      </c>
      <c r="X1526" t="s">
        <v>34</v>
      </c>
      <c r="Y1526" t="str">
        <f>"774946328   "</f>
        <v xml:space="preserve">774946328   </v>
      </c>
    </row>
    <row r="1527" spans="1:25" x14ac:dyDescent="0.25">
      <c r="A1527" t="s">
        <v>6908</v>
      </c>
      <c r="B1527" t="s">
        <v>6909</v>
      </c>
      <c r="C1527">
        <v>2021</v>
      </c>
      <c r="D1527">
        <v>8001</v>
      </c>
      <c r="E1527">
        <v>2</v>
      </c>
      <c r="F1527" t="s">
        <v>6910</v>
      </c>
      <c r="G1527">
        <v>27518499</v>
      </c>
      <c r="J1527">
        <v>44.85</v>
      </c>
      <c r="L1527">
        <v>49861352</v>
      </c>
      <c r="M1527" s="1">
        <v>44593</v>
      </c>
      <c r="N1527" t="str">
        <f>"RC220309"</f>
        <v>RC220309</v>
      </c>
      <c r="O1527" t="s">
        <v>28</v>
      </c>
      <c r="Q1527" t="s">
        <v>29</v>
      </c>
      <c r="R1527" t="s">
        <v>28</v>
      </c>
      <c r="S1527" t="s">
        <v>6910</v>
      </c>
      <c r="T1527" t="s">
        <v>6911</v>
      </c>
      <c r="U1527" t="s">
        <v>6912</v>
      </c>
      <c r="W1527" t="s">
        <v>40</v>
      </c>
      <c r="X1527" t="s">
        <v>34</v>
      </c>
      <c r="Y1527" t="str">
        <f>"774792321"</f>
        <v>774792321</v>
      </c>
    </row>
    <row r="1528" spans="1:25" x14ac:dyDescent="0.25">
      <c r="A1528" t="s">
        <v>6913</v>
      </c>
      <c r="B1528" t="s">
        <v>6914</v>
      </c>
      <c r="C1528">
        <v>2020</v>
      </c>
      <c r="D1528">
        <v>8001</v>
      </c>
      <c r="E1528">
        <v>1</v>
      </c>
      <c r="F1528" t="s">
        <v>6356</v>
      </c>
      <c r="G1528">
        <v>29461889</v>
      </c>
      <c r="J1528">
        <v>20.5</v>
      </c>
      <c r="L1528">
        <v>46728889</v>
      </c>
      <c r="M1528" s="1">
        <v>44230</v>
      </c>
      <c r="N1528" t="str">
        <f>"EK210203"</f>
        <v>EK210203</v>
      </c>
      <c r="O1528" t="s">
        <v>28</v>
      </c>
      <c r="Q1528" t="s">
        <v>29</v>
      </c>
      <c r="R1528" t="s">
        <v>28</v>
      </c>
      <c r="S1528" t="s">
        <v>6357</v>
      </c>
      <c r="T1528" t="s">
        <v>6358</v>
      </c>
      <c r="W1528" t="s">
        <v>727</v>
      </c>
      <c r="X1528" t="s">
        <v>34</v>
      </c>
      <c r="Y1528" t="str">
        <f>"77583"</f>
        <v>77583</v>
      </c>
    </row>
    <row r="1529" spans="1:25" x14ac:dyDescent="0.25">
      <c r="A1529" t="s">
        <v>6915</v>
      </c>
      <c r="B1529" t="s">
        <v>6916</v>
      </c>
      <c r="C1529">
        <v>2020</v>
      </c>
      <c r="D1529">
        <v>8001</v>
      </c>
      <c r="E1529">
        <v>1</v>
      </c>
      <c r="F1529" t="s">
        <v>6917</v>
      </c>
      <c r="G1529">
        <v>29489478</v>
      </c>
      <c r="J1529">
        <v>88.84</v>
      </c>
      <c r="L1529">
        <v>46782177</v>
      </c>
      <c r="M1529" s="1">
        <v>44231</v>
      </c>
      <c r="N1529" t="str">
        <f>"CC210204"</f>
        <v>CC210204</v>
      </c>
      <c r="O1529" t="s">
        <v>28</v>
      </c>
      <c r="Q1529" t="s">
        <v>29</v>
      </c>
      <c r="R1529" t="s">
        <v>28</v>
      </c>
      <c r="S1529" t="s">
        <v>6918</v>
      </c>
      <c r="T1529" t="s">
        <v>6919</v>
      </c>
      <c r="W1529" t="s">
        <v>5575</v>
      </c>
      <c r="X1529" t="s">
        <v>5576</v>
      </c>
      <c r="Y1529" t="str">
        <f>"37211"</f>
        <v>37211</v>
      </c>
    </row>
    <row r="1530" spans="1:25" x14ac:dyDescent="0.25">
      <c r="A1530" t="s">
        <v>6920</v>
      </c>
      <c r="B1530" t="s">
        <v>6921</v>
      </c>
      <c r="C1530">
        <v>2020</v>
      </c>
      <c r="D1530">
        <v>8001</v>
      </c>
      <c r="E1530">
        <v>1</v>
      </c>
      <c r="F1530" t="s">
        <v>6917</v>
      </c>
      <c r="G1530">
        <v>29489479</v>
      </c>
      <c r="J1530">
        <v>95.9</v>
      </c>
      <c r="L1530">
        <v>46782178</v>
      </c>
      <c r="M1530" s="1">
        <v>44231</v>
      </c>
      <c r="N1530" t="str">
        <f>"CC210204"</f>
        <v>CC210204</v>
      </c>
      <c r="O1530" t="s">
        <v>28</v>
      </c>
      <c r="Q1530" t="s">
        <v>29</v>
      </c>
      <c r="R1530" t="s">
        <v>28</v>
      </c>
      <c r="S1530" t="s">
        <v>6918</v>
      </c>
      <c r="T1530" t="s">
        <v>6919</v>
      </c>
      <c r="W1530" t="s">
        <v>5575</v>
      </c>
      <c r="X1530" t="s">
        <v>5576</v>
      </c>
      <c r="Y1530" t="str">
        <f>"37211"</f>
        <v>37211</v>
      </c>
    </row>
    <row r="1531" spans="1:25" x14ac:dyDescent="0.25">
      <c r="A1531" t="s">
        <v>6922</v>
      </c>
      <c r="B1531" t="s">
        <v>6923</v>
      </c>
      <c r="C1531">
        <v>2020</v>
      </c>
      <c r="D1531">
        <v>8001</v>
      </c>
      <c r="E1531">
        <v>1</v>
      </c>
      <c r="F1531" t="s">
        <v>6924</v>
      </c>
      <c r="G1531">
        <v>0</v>
      </c>
      <c r="J1531">
        <v>40</v>
      </c>
      <c r="L1531">
        <v>46685985</v>
      </c>
      <c r="M1531" s="1">
        <v>44229</v>
      </c>
      <c r="N1531" t="str">
        <f>"J210202BW11"</f>
        <v>J210202BW11</v>
      </c>
      <c r="O1531" t="s">
        <v>28</v>
      </c>
      <c r="Q1531" t="s">
        <v>29</v>
      </c>
      <c r="R1531" t="s">
        <v>28</v>
      </c>
      <c r="S1531" t="s">
        <v>6924</v>
      </c>
      <c r="T1531" t="s">
        <v>6925</v>
      </c>
      <c r="U1531" t="s">
        <v>60</v>
      </c>
      <c r="V1531" t="s">
        <v>60</v>
      </c>
      <c r="W1531" t="s">
        <v>1137</v>
      </c>
      <c r="X1531" t="s">
        <v>34</v>
      </c>
      <c r="Y1531" t="str">
        <f>"774941047   "</f>
        <v xml:space="preserve">774941047   </v>
      </c>
    </row>
    <row r="1532" spans="1:25" x14ac:dyDescent="0.25">
      <c r="A1532" t="s">
        <v>6926</v>
      </c>
      <c r="B1532" t="s">
        <v>6927</v>
      </c>
      <c r="C1532">
        <v>2020</v>
      </c>
      <c r="D1532">
        <v>8001</v>
      </c>
      <c r="E1532">
        <v>1</v>
      </c>
      <c r="F1532" t="s">
        <v>6928</v>
      </c>
      <c r="G1532">
        <v>0</v>
      </c>
      <c r="J1532">
        <v>31.11</v>
      </c>
      <c r="L1532">
        <v>47251248</v>
      </c>
      <c r="M1532" s="1">
        <v>44292</v>
      </c>
      <c r="N1532" t="str">
        <f>"J210406K1"</f>
        <v>J210406K1</v>
      </c>
      <c r="O1532" t="s">
        <v>28</v>
      </c>
      <c r="Q1532" t="s">
        <v>29</v>
      </c>
      <c r="R1532" t="s">
        <v>28</v>
      </c>
      <c r="S1532" t="s">
        <v>6928</v>
      </c>
      <c r="T1532" t="s">
        <v>6929</v>
      </c>
      <c r="U1532" t="s">
        <v>60</v>
      </c>
      <c r="V1532" t="s">
        <v>60</v>
      </c>
      <c r="W1532" t="s">
        <v>6930</v>
      </c>
      <c r="X1532" t="s">
        <v>900</v>
      </c>
      <c r="Y1532" t="str">
        <f>"601696308   "</f>
        <v xml:space="preserve">601696308   </v>
      </c>
    </row>
    <row r="1533" spans="1:25" x14ac:dyDescent="0.25">
      <c r="A1533" t="s">
        <v>6931</v>
      </c>
      <c r="B1533" t="s">
        <v>6932</v>
      </c>
      <c r="C1533">
        <v>2020</v>
      </c>
      <c r="D1533">
        <v>8001</v>
      </c>
      <c r="E1533">
        <v>2</v>
      </c>
      <c r="F1533" t="s">
        <v>6933</v>
      </c>
      <c r="G1533">
        <v>29305871</v>
      </c>
      <c r="J1533">
        <v>222.84</v>
      </c>
      <c r="L1533">
        <v>45947241</v>
      </c>
      <c r="M1533" s="1">
        <v>44209</v>
      </c>
      <c r="N1533" t="str">
        <f>"RC210128"</f>
        <v>RC210128</v>
      </c>
      <c r="O1533" t="s">
        <v>28</v>
      </c>
      <c r="Q1533" t="s">
        <v>29</v>
      </c>
      <c r="R1533" t="s">
        <v>28</v>
      </c>
      <c r="S1533" t="s">
        <v>6934</v>
      </c>
      <c r="T1533" t="s">
        <v>6935</v>
      </c>
      <c r="U1533" t="s">
        <v>6936</v>
      </c>
      <c r="W1533" t="s">
        <v>6937</v>
      </c>
      <c r="X1533" t="s">
        <v>3042</v>
      </c>
      <c r="Y1533" t="str">
        <f>"73102"</f>
        <v>73102</v>
      </c>
    </row>
    <row r="1534" spans="1:25" x14ac:dyDescent="0.25">
      <c r="A1534" t="s">
        <v>6938</v>
      </c>
      <c r="B1534" t="s">
        <v>6939</v>
      </c>
      <c r="C1534">
        <v>2018</v>
      </c>
      <c r="D1534">
        <v>8001</v>
      </c>
      <c r="E1534">
        <v>2</v>
      </c>
      <c r="F1534" t="s">
        <v>6940</v>
      </c>
      <c r="G1534">
        <v>27457568</v>
      </c>
      <c r="J1534">
        <v>13.29</v>
      </c>
      <c r="L1534">
        <v>41351890</v>
      </c>
      <c r="M1534" s="1">
        <v>43766</v>
      </c>
      <c r="N1534" t="str">
        <f>"T191028F1"</f>
        <v>T191028F1</v>
      </c>
      <c r="O1534" t="s">
        <v>260</v>
      </c>
      <c r="Q1534" t="s">
        <v>29</v>
      </c>
      <c r="R1534" t="s">
        <v>28</v>
      </c>
      <c r="S1534" t="s">
        <v>6940</v>
      </c>
      <c r="T1534" t="s">
        <v>6941</v>
      </c>
      <c r="W1534" t="s">
        <v>6942</v>
      </c>
      <c r="X1534" t="s">
        <v>6432</v>
      </c>
      <c r="Y1534" t="str">
        <f>"018035233"</f>
        <v>018035233</v>
      </c>
    </row>
    <row r="1535" spans="1:25" x14ac:dyDescent="0.25">
      <c r="A1535" t="s">
        <v>6943</v>
      </c>
      <c r="B1535" t="s">
        <v>6944</v>
      </c>
      <c r="C1535">
        <v>2021</v>
      </c>
      <c r="D1535">
        <v>8001</v>
      </c>
      <c r="E1535">
        <v>2</v>
      </c>
      <c r="F1535" t="s">
        <v>6945</v>
      </c>
      <c r="G1535">
        <v>31035758</v>
      </c>
      <c r="J1535">
        <v>31.73</v>
      </c>
      <c r="L1535">
        <v>49289263</v>
      </c>
      <c r="M1535" s="1">
        <v>44580</v>
      </c>
      <c r="N1535" t="str">
        <f>"RC220221"</f>
        <v>RC220221</v>
      </c>
      <c r="O1535" t="s">
        <v>28</v>
      </c>
      <c r="Q1535" t="s">
        <v>29</v>
      </c>
      <c r="R1535" t="s">
        <v>28</v>
      </c>
      <c r="S1535" t="s">
        <v>6946</v>
      </c>
      <c r="T1535" t="s">
        <v>6947</v>
      </c>
      <c r="W1535" t="s">
        <v>40</v>
      </c>
      <c r="X1535" t="s">
        <v>34</v>
      </c>
      <c r="Y1535" t="str">
        <f>"774980501"</f>
        <v>774980501</v>
      </c>
    </row>
    <row r="1536" spans="1:25" x14ac:dyDescent="0.25">
      <c r="A1536" t="s">
        <v>6943</v>
      </c>
      <c r="B1536" t="s">
        <v>6944</v>
      </c>
      <c r="C1536">
        <v>2021</v>
      </c>
      <c r="D1536">
        <v>8001</v>
      </c>
      <c r="E1536">
        <v>2</v>
      </c>
      <c r="F1536" t="s">
        <v>6945</v>
      </c>
      <c r="G1536">
        <v>0</v>
      </c>
      <c r="J1536">
        <v>25.74</v>
      </c>
      <c r="L1536">
        <v>49657806</v>
      </c>
      <c r="M1536" s="1">
        <v>44589</v>
      </c>
      <c r="N1536" t="str">
        <f>"L220128"</f>
        <v>L220128</v>
      </c>
      <c r="O1536" t="s">
        <v>28</v>
      </c>
      <c r="Q1536" t="s">
        <v>29</v>
      </c>
      <c r="R1536" t="s">
        <v>28</v>
      </c>
      <c r="S1536" t="s">
        <v>6945</v>
      </c>
      <c r="T1536" t="s">
        <v>6948</v>
      </c>
      <c r="U1536" t="s">
        <v>60</v>
      </c>
      <c r="V1536" t="s">
        <v>60</v>
      </c>
      <c r="W1536" t="s">
        <v>6818</v>
      </c>
      <c r="X1536" t="s">
        <v>557</v>
      </c>
      <c r="Y1536" t="str">
        <f>"064619105   "</f>
        <v xml:space="preserve">064619105   </v>
      </c>
    </row>
    <row r="1537" spans="1:25" x14ac:dyDescent="0.25">
      <c r="A1537" t="s">
        <v>6949</v>
      </c>
      <c r="B1537" t="s">
        <v>6950</v>
      </c>
      <c r="C1537">
        <v>2020</v>
      </c>
      <c r="D1537">
        <v>8001</v>
      </c>
      <c r="E1537">
        <v>1</v>
      </c>
      <c r="F1537" t="s">
        <v>6951</v>
      </c>
      <c r="G1537">
        <v>29766169</v>
      </c>
      <c r="J1537">
        <v>166.82</v>
      </c>
      <c r="L1537">
        <v>47290628</v>
      </c>
      <c r="M1537" s="1">
        <v>44300</v>
      </c>
      <c r="N1537" t="str">
        <f>"RC210425"</f>
        <v>RC210425</v>
      </c>
      <c r="O1537" t="s">
        <v>28</v>
      </c>
      <c r="Q1537" t="s">
        <v>29</v>
      </c>
      <c r="R1537" t="s">
        <v>28</v>
      </c>
      <c r="S1537" t="s">
        <v>6951</v>
      </c>
      <c r="T1537" t="s">
        <v>6952</v>
      </c>
      <c r="W1537" t="s">
        <v>6754</v>
      </c>
      <c r="X1537" t="s">
        <v>227</v>
      </c>
      <c r="Y1537" t="str">
        <f>"85008"</f>
        <v>85008</v>
      </c>
    </row>
    <row r="1538" spans="1:25" x14ac:dyDescent="0.25">
      <c r="A1538" t="s">
        <v>6953</v>
      </c>
      <c r="B1538" t="s">
        <v>6954</v>
      </c>
      <c r="C1538">
        <v>2018</v>
      </c>
      <c r="D1538">
        <v>8001</v>
      </c>
      <c r="E1538">
        <v>2</v>
      </c>
      <c r="F1538" t="s">
        <v>6955</v>
      </c>
      <c r="G1538">
        <v>27350514</v>
      </c>
      <c r="J1538">
        <v>702.49</v>
      </c>
      <c r="L1538">
        <v>41111178</v>
      </c>
      <c r="M1538" s="1">
        <v>43571</v>
      </c>
      <c r="N1538" t="str">
        <f>"O190416AB1"</f>
        <v>O190416AB1</v>
      </c>
      <c r="O1538" t="s">
        <v>28</v>
      </c>
      <c r="Q1538" t="s">
        <v>29</v>
      </c>
      <c r="R1538" t="s">
        <v>28</v>
      </c>
      <c r="S1538" t="s">
        <v>6956</v>
      </c>
      <c r="T1538" t="s">
        <v>6957</v>
      </c>
      <c r="W1538" t="s">
        <v>6958</v>
      </c>
      <c r="X1538" t="s">
        <v>1248</v>
      </c>
      <c r="Y1538" t="str">
        <f>"34997"</f>
        <v>34997</v>
      </c>
    </row>
    <row r="1539" spans="1:25" x14ac:dyDescent="0.25">
      <c r="A1539" t="s">
        <v>6959</v>
      </c>
      <c r="B1539" t="s">
        <v>6960</v>
      </c>
      <c r="C1539">
        <v>2019</v>
      </c>
      <c r="D1539">
        <v>8001</v>
      </c>
      <c r="E1539">
        <v>1</v>
      </c>
      <c r="F1539" t="s">
        <v>6961</v>
      </c>
      <c r="G1539">
        <v>0</v>
      </c>
      <c r="J1539" s="2">
        <v>4138.3500000000004</v>
      </c>
      <c r="L1539">
        <v>43726611</v>
      </c>
      <c r="M1539" s="1">
        <v>43874</v>
      </c>
      <c r="N1539" t="str">
        <f>"J200213AW1"</f>
        <v>J200213AW1</v>
      </c>
      <c r="O1539" t="s">
        <v>28</v>
      </c>
      <c r="Q1539" t="s">
        <v>29</v>
      </c>
      <c r="R1539" t="s">
        <v>28</v>
      </c>
      <c r="S1539" t="s">
        <v>6961</v>
      </c>
      <c r="T1539" t="s">
        <v>6962</v>
      </c>
      <c r="U1539" t="s">
        <v>60</v>
      </c>
      <c r="V1539" t="s">
        <v>60</v>
      </c>
      <c r="W1539" t="s">
        <v>6274</v>
      </c>
      <c r="X1539" t="s">
        <v>34</v>
      </c>
      <c r="Y1539" t="str">
        <f>"782173726   "</f>
        <v xml:space="preserve">782173726   </v>
      </c>
    </row>
    <row r="1540" spans="1:25" x14ac:dyDescent="0.25">
      <c r="A1540" t="s">
        <v>6963</v>
      </c>
      <c r="B1540" t="s">
        <v>6964</v>
      </c>
      <c r="C1540">
        <v>2021</v>
      </c>
      <c r="D1540">
        <v>8001</v>
      </c>
      <c r="E1540">
        <v>2</v>
      </c>
      <c r="F1540" t="s">
        <v>6945</v>
      </c>
      <c r="G1540">
        <v>0</v>
      </c>
      <c r="J1540">
        <v>43.05</v>
      </c>
      <c r="L1540">
        <v>49657790</v>
      </c>
      <c r="M1540" s="1">
        <v>44589</v>
      </c>
      <c r="N1540" t="str">
        <f>"L220128"</f>
        <v>L220128</v>
      </c>
      <c r="O1540" t="s">
        <v>28</v>
      </c>
      <c r="Q1540" t="s">
        <v>29</v>
      </c>
      <c r="R1540" t="s">
        <v>28</v>
      </c>
      <c r="S1540" t="s">
        <v>6945</v>
      </c>
      <c r="T1540" t="s">
        <v>6948</v>
      </c>
      <c r="U1540" t="s">
        <v>60</v>
      </c>
      <c r="V1540" t="s">
        <v>60</v>
      </c>
      <c r="W1540" t="s">
        <v>6818</v>
      </c>
      <c r="X1540" t="s">
        <v>557</v>
      </c>
      <c r="Y1540" t="str">
        <f>"064619105   "</f>
        <v xml:space="preserve">064619105   </v>
      </c>
    </row>
    <row r="1541" spans="1:25" x14ac:dyDescent="0.25">
      <c r="A1541" t="s">
        <v>6965</v>
      </c>
      <c r="B1541" t="s">
        <v>6966</v>
      </c>
      <c r="C1541">
        <v>2019</v>
      </c>
      <c r="D1541">
        <v>8001</v>
      </c>
      <c r="E1541">
        <v>1</v>
      </c>
      <c r="F1541" t="s">
        <v>6967</v>
      </c>
      <c r="G1541">
        <v>0</v>
      </c>
      <c r="J1541">
        <v>724.88</v>
      </c>
      <c r="L1541">
        <v>43726604</v>
      </c>
      <c r="M1541" s="1">
        <v>43874</v>
      </c>
      <c r="N1541" t="str">
        <f>"J200213AW1"</f>
        <v>J200213AW1</v>
      </c>
      <c r="O1541" t="s">
        <v>28</v>
      </c>
      <c r="Q1541" t="s">
        <v>29</v>
      </c>
      <c r="R1541" t="s">
        <v>28</v>
      </c>
      <c r="S1541" t="s">
        <v>6967</v>
      </c>
      <c r="T1541" t="s">
        <v>6968</v>
      </c>
      <c r="U1541" t="s">
        <v>60</v>
      </c>
      <c r="V1541" t="s">
        <v>60</v>
      </c>
      <c r="W1541" t="s">
        <v>6969</v>
      </c>
      <c r="X1541" t="s">
        <v>245</v>
      </c>
      <c r="Y1541" t="str">
        <f>"49001       "</f>
        <v xml:space="preserve">49001       </v>
      </c>
    </row>
    <row r="1542" spans="1:25" x14ac:dyDescent="0.25">
      <c r="A1542" t="s">
        <v>6970</v>
      </c>
      <c r="B1542" t="s">
        <v>6971</v>
      </c>
      <c r="C1542">
        <v>2021</v>
      </c>
      <c r="D1542">
        <v>8001</v>
      </c>
      <c r="E1542">
        <v>1</v>
      </c>
      <c r="F1542" t="s">
        <v>6972</v>
      </c>
      <c r="G1542">
        <v>31094643</v>
      </c>
      <c r="J1542">
        <v>29.14</v>
      </c>
      <c r="L1542">
        <v>49494979</v>
      </c>
      <c r="M1542" s="1">
        <v>44586</v>
      </c>
      <c r="N1542" t="str">
        <f>"RC220309"</f>
        <v>RC220309</v>
      </c>
      <c r="O1542" t="s">
        <v>28</v>
      </c>
      <c r="Q1542" t="s">
        <v>29</v>
      </c>
      <c r="R1542" t="s">
        <v>28</v>
      </c>
      <c r="S1542" t="s">
        <v>6972</v>
      </c>
      <c r="T1542" t="s">
        <v>6973</v>
      </c>
      <c r="W1542" t="s">
        <v>2089</v>
      </c>
      <c r="X1542" t="s">
        <v>1831</v>
      </c>
      <c r="Y1542" t="str">
        <f>"14580"</f>
        <v>14580</v>
      </c>
    </row>
    <row r="1543" spans="1:25" x14ac:dyDescent="0.25">
      <c r="A1543" t="s">
        <v>6974</v>
      </c>
      <c r="B1543" t="s">
        <v>6975</v>
      </c>
      <c r="C1543">
        <v>2021</v>
      </c>
      <c r="D1543">
        <v>8001</v>
      </c>
      <c r="E1543">
        <v>2</v>
      </c>
      <c r="F1543" t="s">
        <v>6976</v>
      </c>
      <c r="G1543">
        <v>25497590</v>
      </c>
      <c r="J1543">
        <v>91</v>
      </c>
      <c r="L1543">
        <v>49294941</v>
      </c>
      <c r="M1543" s="1">
        <v>44580</v>
      </c>
      <c r="N1543" t="str">
        <f>"P220119F1"</f>
        <v>P220119F1</v>
      </c>
      <c r="O1543" t="s">
        <v>28</v>
      </c>
      <c r="Q1543" t="s">
        <v>29</v>
      </c>
      <c r="R1543" t="s">
        <v>28</v>
      </c>
      <c r="S1543" t="s">
        <v>6977</v>
      </c>
      <c r="T1543" t="s">
        <v>6978</v>
      </c>
      <c r="W1543" t="s">
        <v>2713</v>
      </c>
      <c r="X1543" t="s">
        <v>1107</v>
      </c>
      <c r="Y1543" t="str">
        <f>"300094738"</f>
        <v>300094738</v>
      </c>
    </row>
    <row r="1544" spans="1:25" x14ac:dyDescent="0.25">
      <c r="A1544" t="s">
        <v>6979</v>
      </c>
      <c r="B1544" t="s">
        <v>6980</v>
      </c>
      <c r="C1544">
        <v>2020</v>
      </c>
      <c r="D1544">
        <v>8001</v>
      </c>
      <c r="E1544">
        <v>2</v>
      </c>
      <c r="F1544" t="s">
        <v>6981</v>
      </c>
      <c r="G1544">
        <v>29120614</v>
      </c>
      <c r="J1544">
        <v>571.91999999999996</v>
      </c>
      <c r="L1544">
        <v>45905169</v>
      </c>
      <c r="M1544" s="1">
        <v>44208</v>
      </c>
      <c r="N1544" t="str">
        <f>"P210112E1"</f>
        <v>P210112E1</v>
      </c>
      <c r="O1544" t="s">
        <v>28</v>
      </c>
      <c r="Q1544" t="s">
        <v>29</v>
      </c>
      <c r="R1544" t="s">
        <v>28</v>
      </c>
      <c r="S1544" t="s">
        <v>6982</v>
      </c>
      <c r="T1544" t="s">
        <v>6983</v>
      </c>
      <c r="W1544" t="s">
        <v>5575</v>
      </c>
      <c r="X1544" t="s">
        <v>5576</v>
      </c>
      <c r="Y1544" t="str">
        <f>"372029936"</f>
        <v>372029936</v>
      </c>
    </row>
    <row r="1545" spans="1:25" x14ac:dyDescent="0.25">
      <c r="A1545" t="s">
        <v>6984</v>
      </c>
      <c r="B1545" t="s">
        <v>6985</v>
      </c>
      <c r="C1545">
        <v>2021</v>
      </c>
      <c r="D1545">
        <v>8001</v>
      </c>
      <c r="E1545">
        <v>2</v>
      </c>
      <c r="F1545" t="s">
        <v>6986</v>
      </c>
      <c r="G1545">
        <v>31026441</v>
      </c>
      <c r="J1545">
        <v>194.8</v>
      </c>
      <c r="L1545">
        <v>50179876</v>
      </c>
      <c r="M1545" s="1">
        <v>44608</v>
      </c>
      <c r="N1545" t="str">
        <f>"O220216I1"</f>
        <v>O220216I1</v>
      </c>
      <c r="O1545" t="s">
        <v>28</v>
      </c>
      <c r="Q1545" t="s">
        <v>29</v>
      </c>
      <c r="R1545" t="s">
        <v>28</v>
      </c>
      <c r="S1545" t="s">
        <v>6987</v>
      </c>
      <c r="T1545" t="s">
        <v>6988</v>
      </c>
      <c r="W1545" t="s">
        <v>81</v>
      </c>
      <c r="X1545" t="s">
        <v>34</v>
      </c>
      <c r="Y1545" t="str">
        <f>"774697492"</f>
        <v>774697492</v>
      </c>
    </row>
    <row r="1546" spans="1:25" x14ac:dyDescent="0.25">
      <c r="A1546" t="s">
        <v>6989</v>
      </c>
      <c r="B1546" t="s">
        <v>6990</v>
      </c>
      <c r="C1546">
        <v>2019</v>
      </c>
      <c r="D1546">
        <v>8001</v>
      </c>
      <c r="E1546">
        <v>2</v>
      </c>
      <c r="F1546" t="s">
        <v>6991</v>
      </c>
      <c r="G1546">
        <v>0</v>
      </c>
      <c r="J1546">
        <v>26.89</v>
      </c>
      <c r="L1546">
        <v>43931573</v>
      </c>
      <c r="M1546" s="1">
        <v>43902</v>
      </c>
      <c r="N1546" t="str">
        <f>"J200312AW2"</f>
        <v>J200312AW2</v>
      </c>
      <c r="O1546" t="s">
        <v>28</v>
      </c>
      <c r="Q1546" t="s">
        <v>29</v>
      </c>
      <c r="R1546" t="s">
        <v>28</v>
      </c>
      <c r="S1546" t="s">
        <v>6991</v>
      </c>
      <c r="T1546" t="s">
        <v>6992</v>
      </c>
      <c r="U1546" t="s">
        <v>60</v>
      </c>
      <c r="V1546" t="s">
        <v>60</v>
      </c>
      <c r="W1546" t="s">
        <v>4815</v>
      </c>
      <c r="X1546" t="s">
        <v>34</v>
      </c>
      <c r="Y1546" t="str">
        <f>"775818935   "</f>
        <v xml:space="preserve">775818935   </v>
      </c>
    </row>
    <row r="1547" spans="1:25" x14ac:dyDescent="0.25">
      <c r="A1547" t="s">
        <v>6993</v>
      </c>
      <c r="B1547" t="s">
        <v>6994</v>
      </c>
      <c r="C1547">
        <v>2020</v>
      </c>
      <c r="D1547">
        <v>8001</v>
      </c>
      <c r="E1547">
        <v>1</v>
      </c>
      <c r="F1547" t="s">
        <v>6995</v>
      </c>
      <c r="G1547">
        <v>28447442</v>
      </c>
      <c r="J1547">
        <v>12.63</v>
      </c>
      <c r="L1547">
        <v>44149074</v>
      </c>
      <c r="M1547" s="1">
        <v>44147</v>
      </c>
      <c r="N1547" t="str">
        <f>"TE201112"</f>
        <v>TE201112</v>
      </c>
      <c r="O1547" t="s">
        <v>28</v>
      </c>
      <c r="Q1547" t="s">
        <v>29</v>
      </c>
      <c r="R1547" t="s">
        <v>28</v>
      </c>
      <c r="S1547" t="s">
        <v>6996</v>
      </c>
      <c r="T1547" t="s">
        <v>6997</v>
      </c>
      <c r="W1547" t="s">
        <v>81</v>
      </c>
      <c r="X1547" t="s">
        <v>34</v>
      </c>
      <c r="Y1547" t="str">
        <f>"77407"</f>
        <v>77407</v>
      </c>
    </row>
    <row r="1548" spans="1:25" x14ac:dyDescent="0.25">
      <c r="A1548" t="s">
        <v>6998</v>
      </c>
      <c r="B1548" t="s">
        <v>6999</v>
      </c>
      <c r="C1548">
        <v>2019</v>
      </c>
      <c r="D1548">
        <v>8001</v>
      </c>
      <c r="E1548">
        <v>1</v>
      </c>
      <c r="F1548" t="s">
        <v>7000</v>
      </c>
      <c r="G1548">
        <v>0</v>
      </c>
      <c r="J1548">
        <v>27.66</v>
      </c>
      <c r="L1548">
        <v>44325865</v>
      </c>
      <c r="M1548" s="1">
        <v>44004</v>
      </c>
      <c r="N1548" t="str">
        <f>"O200622AB1"</f>
        <v>O200622AB1</v>
      </c>
      <c r="O1548" t="s">
        <v>28</v>
      </c>
      <c r="Q1548" t="s">
        <v>29</v>
      </c>
      <c r="R1548" t="s">
        <v>28</v>
      </c>
      <c r="S1548" t="s">
        <v>7000</v>
      </c>
      <c r="T1548" t="s">
        <v>7001</v>
      </c>
      <c r="U1548" t="s">
        <v>7002</v>
      </c>
      <c r="V1548" t="s">
        <v>60</v>
      </c>
      <c r="W1548" t="s">
        <v>376</v>
      </c>
      <c r="X1548" t="s">
        <v>34</v>
      </c>
      <c r="Y1548" t="str">
        <f>"774776832   "</f>
        <v xml:space="preserve">774776832   </v>
      </c>
    </row>
    <row r="1549" spans="1:25" x14ac:dyDescent="0.25">
      <c r="A1549" t="s">
        <v>7003</v>
      </c>
      <c r="B1549" t="s">
        <v>7004</v>
      </c>
      <c r="C1549">
        <v>2019</v>
      </c>
      <c r="D1549">
        <v>8001</v>
      </c>
      <c r="E1549">
        <v>1</v>
      </c>
      <c r="F1549" t="s">
        <v>7005</v>
      </c>
      <c r="G1549">
        <v>1703548</v>
      </c>
      <c r="J1549">
        <v>0.42</v>
      </c>
      <c r="L1549">
        <v>42564806</v>
      </c>
      <c r="M1549" s="1">
        <v>43840</v>
      </c>
      <c r="N1549" t="str">
        <f>"T200110AE1"</f>
        <v>T200110AE1</v>
      </c>
      <c r="O1549" t="s">
        <v>260</v>
      </c>
      <c r="Q1549" t="s">
        <v>29</v>
      </c>
      <c r="R1549" t="s">
        <v>260</v>
      </c>
      <c r="S1549" t="s">
        <v>7006</v>
      </c>
      <c r="T1549" t="s">
        <v>7007</v>
      </c>
      <c r="W1549" t="s">
        <v>1150</v>
      </c>
      <c r="X1549" t="s">
        <v>34</v>
      </c>
      <c r="Y1549" t="str">
        <f>"77583"</f>
        <v>77583</v>
      </c>
    </row>
    <row r="1550" spans="1:25" x14ac:dyDescent="0.25">
      <c r="A1550" t="s">
        <v>7008</v>
      </c>
      <c r="B1550" t="s">
        <v>7009</v>
      </c>
      <c r="C1550">
        <v>2021</v>
      </c>
      <c r="D1550">
        <v>8001</v>
      </c>
      <c r="E1550">
        <v>1</v>
      </c>
      <c r="F1550" t="s">
        <v>7010</v>
      </c>
      <c r="G1550">
        <v>0</v>
      </c>
      <c r="J1550">
        <v>10.220000000000001</v>
      </c>
      <c r="L1550">
        <v>47584973</v>
      </c>
      <c r="M1550" s="1">
        <v>44516</v>
      </c>
      <c r="N1550" t="str">
        <f>"TE211116"</f>
        <v>TE211116</v>
      </c>
      <c r="O1550" t="s">
        <v>28</v>
      </c>
      <c r="Q1550" t="s">
        <v>29</v>
      </c>
      <c r="R1550" t="s">
        <v>28</v>
      </c>
      <c r="S1550" t="s">
        <v>7011</v>
      </c>
      <c r="T1550" t="s">
        <v>7012</v>
      </c>
      <c r="U1550" t="s">
        <v>7013</v>
      </c>
      <c r="V1550" t="s">
        <v>60</v>
      </c>
      <c r="W1550" t="s">
        <v>376</v>
      </c>
      <c r="X1550" t="s">
        <v>34</v>
      </c>
      <c r="Y1550" t="str">
        <f>"774775225   "</f>
        <v xml:space="preserve">774775225   </v>
      </c>
    </row>
    <row r="1551" spans="1:25" x14ac:dyDescent="0.25">
      <c r="A1551" t="s">
        <v>7014</v>
      </c>
      <c r="B1551" t="s">
        <v>7015</v>
      </c>
      <c r="C1551">
        <v>2019</v>
      </c>
      <c r="D1551">
        <v>8001</v>
      </c>
      <c r="E1551">
        <v>1</v>
      </c>
      <c r="F1551" t="s">
        <v>7016</v>
      </c>
      <c r="G1551">
        <v>27528816</v>
      </c>
      <c r="J1551">
        <v>9.84</v>
      </c>
      <c r="L1551">
        <v>41508315</v>
      </c>
      <c r="M1551" s="1">
        <v>43766</v>
      </c>
      <c r="N1551" t="str">
        <f>"TE191028"</f>
        <v>TE191028</v>
      </c>
      <c r="O1551" t="s">
        <v>28</v>
      </c>
      <c r="Q1551" t="s">
        <v>29</v>
      </c>
      <c r="R1551" t="s">
        <v>28</v>
      </c>
      <c r="S1551" t="s">
        <v>7017</v>
      </c>
      <c r="T1551" t="s">
        <v>7018</v>
      </c>
      <c r="W1551" t="s">
        <v>3611</v>
      </c>
      <c r="X1551" t="s">
        <v>34</v>
      </c>
      <c r="Y1551" t="str">
        <f>"774771529"</f>
        <v>774771529</v>
      </c>
    </row>
    <row r="1552" spans="1:25" x14ac:dyDescent="0.25">
      <c r="A1552" t="s">
        <v>7019</v>
      </c>
      <c r="B1552" t="s">
        <v>7020</v>
      </c>
      <c r="C1552">
        <v>2019</v>
      </c>
      <c r="D1552">
        <v>8001</v>
      </c>
      <c r="E1552">
        <v>1</v>
      </c>
      <c r="F1552" t="s">
        <v>7021</v>
      </c>
      <c r="G1552">
        <v>0</v>
      </c>
      <c r="J1552">
        <v>8.92</v>
      </c>
      <c r="L1552">
        <v>41423663</v>
      </c>
      <c r="M1552" s="1">
        <v>43766</v>
      </c>
      <c r="N1552" t="str">
        <f>"TE191028"</f>
        <v>TE191028</v>
      </c>
      <c r="O1552" t="s">
        <v>28</v>
      </c>
      <c r="Q1552" t="s">
        <v>29</v>
      </c>
      <c r="R1552" t="s">
        <v>28</v>
      </c>
      <c r="S1552" t="s">
        <v>7022</v>
      </c>
      <c r="T1552" t="s">
        <v>7023</v>
      </c>
      <c r="U1552">
        <v>24</v>
      </c>
      <c r="V1552" t="s">
        <v>60</v>
      </c>
      <c r="W1552" t="s">
        <v>214</v>
      </c>
      <c r="X1552" t="s">
        <v>34</v>
      </c>
      <c r="Y1552" t="str">
        <f>"77406       "</f>
        <v xml:space="preserve">77406       </v>
      </c>
    </row>
    <row r="1553" spans="1:25" x14ac:dyDescent="0.25">
      <c r="A1553" t="s">
        <v>7024</v>
      </c>
      <c r="B1553" t="s">
        <v>7025</v>
      </c>
      <c r="C1553">
        <v>2021</v>
      </c>
      <c r="D1553">
        <v>8001</v>
      </c>
      <c r="E1553">
        <v>1</v>
      </c>
      <c r="F1553" t="s">
        <v>7026</v>
      </c>
      <c r="G1553">
        <v>30025749</v>
      </c>
      <c r="J1553">
        <v>8.0299999999999994</v>
      </c>
      <c r="L1553">
        <v>47793503</v>
      </c>
      <c r="M1553" s="1">
        <v>44516</v>
      </c>
      <c r="N1553" t="str">
        <f>"TE211116"</f>
        <v>TE211116</v>
      </c>
      <c r="O1553" t="s">
        <v>28</v>
      </c>
      <c r="Q1553" t="s">
        <v>29</v>
      </c>
      <c r="R1553" t="s">
        <v>28</v>
      </c>
      <c r="S1553" t="s">
        <v>7027</v>
      </c>
      <c r="T1553" t="s">
        <v>7028</v>
      </c>
      <c r="W1553" t="s">
        <v>81</v>
      </c>
      <c r="X1553" t="s">
        <v>34</v>
      </c>
      <c r="Y1553" t="str">
        <f>"774691755"</f>
        <v>774691755</v>
      </c>
    </row>
    <row r="1554" spans="1:25" x14ac:dyDescent="0.25">
      <c r="A1554" t="s">
        <v>7029</v>
      </c>
      <c r="B1554" t="s">
        <v>7030</v>
      </c>
      <c r="C1554">
        <v>2020</v>
      </c>
      <c r="D1554">
        <v>8001</v>
      </c>
      <c r="E1554">
        <v>1</v>
      </c>
      <c r="F1554" t="s">
        <v>7031</v>
      </c>
      <c r="G1554">
        <v>28690619</v>
      </c>
      <c r="J1554">
        <v>7.3</v>
      </c>
      <c r="L1554">
        <v>44600204</v>
      </c>
      <c r="M1554" s="1">
        <v>44147</v>
      </c>
      <c r="N1554" t="str">
        <f>"TE201112"</f>
        <v>TE201112</v>
      </c>
      <c r="O1554" t="s">
        <v>28</v>
      </c>
      <c r="Q1554" t="s">
        <v>29</v>
      </c>
      <c r="R1554" t="s">
        <v>28</v>
      </c>
      <c r="S1554" t="s">
        <v>7032</v>
      </c>
      <c r="T1554" t="s">
        <v>7033</v>
      </c>
      <c r="W1554" t="s">
        <v>81</v>
      </c>
      <c r="X1554" t="s">
        <v>34</v>
      </c>
      <c r="Y1554" t="str">
        <f>"774691766"</f>
        <v>774691766</v>
      </c>
    </row>
    <row r="1555" spans="1:25" x14ac:dyDescent="0.25">
      <c r="A1555" t="s">
        <v>7034</v>
      </c>
      <c r="B1555" t="s">
        <v>7035</v>
      </c>
      <c r="C1555">
        <v>2020</v>
      </c>
      <c r="D1555">
        <v>8001</v>
      </c>
      <c r="E1555">
        <v>1</v>
      </c>
      <c r="F1555" t="s">
        <v>7036</v>
      </c>
      <c r="G1555">
        <v>29461835</v>
      </c>
      <c r="J1555">
        <v>5.98</v>
      </c>
      <c r="L1555">
        <v>46728835</v>
      </c>
      <c r="M1555" s="1">
        <v>44230</v>
      </c>
      <c r="N1555" t="str">
        <f>"EK210203"</f>
        <v>EK210203</v>
      </c>
      <c r="O1555" t="s">
        <v>28</v>
      </c>
      <c r="Q1555" t="s">
        <v>29</v>
      </c>
      <c r="R1555" t="s">
        <v>28</v>
      </c>
      <c r="S1555" t="s">
        <v>7037</v>
      </c>
      <c r="T1555" t="s">
        <v>7038</v>
      </c>
      <c r="W1555" t="s">
        <v>936</v>
      </c>
      <c r="X1555" t="s">
        <v>34</v>
      </c>
      <c r="Y1555" t="str">
        <f>"77379"</f>
        <v>77379</v>
      </c>
    </row>
    <row r="1556" spans="1:25" x14ac:dyDescent="0.25">
      <c r="A1556" t="s">
        <v>7039</v>
      </c>
      <c r="B1556" t="s">
        <v>7040</v>
      </c>
      <c r="C1556">
        <v>2021</v>
      </c>
      <c r="D1556">
        <v>8001</v>
      </c>
      <c r="E1556">
        <v>2</v>
      </c>
      <c r="F1556" t="s">
        <v>7041</v>
      </c>
      <c r="G1556">
        <v>22219502</v>
      </c>
      <c r="J1556">
        <v>160.57</v>
      </c>
      <c r="L1556">
        <v>48712336</v>
      </c>
      <c r="M1556" s="1">
        <v>44558</v>
      </c>
      <c r="N1556" t="str">
        <f>"RC220125"</f>
        <v>RC220125</v>
      </c>
      <c r="O1556" t="s">
        <v>28</v>
      </c>
      <c r="Q1556" t="s">
        <v>29</v>
      </c>
      <c r="R1556" t="s">
        <v>28</v>
      </c>
      <c r="S1556" t="s">
        <v>7042</v>
      </c>
      <c r="T1556" t="s">
        <v>7043</v>
      </c>
      <c r="W1556" t="s">
        <v>4598</v>
      </c>
      <c r="X1556" t="s">
        <v>34</v>
      </c>
      <c r="Y1556" t="str">
        <f>"774012900"</f>
        <v>774012900</v>
      </c>
    </row>
    <row r="1557" spans="1:25" x14ac:dyDescent="0.25">
      <c r="A1557" t="s">
        <v>7044</v>
      </c>
      <c r="B1557" t="s">
        <v>7045</v>
      </c>
      <c r="C1557">
        <v>2020</v>
      </c>
      <c r="D1557">
        <v>8001</v>
      </c>
      <c r="E1557">
        <v>1</v>
      </c>
      <c r="F1557" t="s">
        <v>7046</v>
      </c>
      <c r="G1557">
        <v>0</v>
      </c>
      <c r="J1557">
        <v>7.86</v>
      </c>
      <c r="L1557">
        <v>44295270</v>
      </c>
      <c r="M1557" s="1">
        <v>44147</v>
      </c>
      <c r="N1557" t="str">
        <f>"TE201112"</f>
        <v>TE201112</v>
      </c>
      <c r="O1557" t="s">
        <v>28</v>
      </c>
      <c r="Q1557" t="s">
        <v>29</v>
      </c>
      <c r="R1557" t="s">
        <v>28</v>
      </c>
      <c r="S1557" t="s">
        <v>7047</v>
      </c>
      <c r="T1557" t="s">
        <v>7048</v>
      </c>
      <c r="U1557" t="s">
        <v>7049</v>
      </c>
      <c r="V1557" t="s">
        <v>7050</v>
      </c>
      <c r="W1557" t="s">
        <v>214</v>
      </c>
      <c r="X1557" t="s">
        <v>34</v>
      </c>
      <c r="Y1557" t="str">
        <f>"77469       "</f>
        <v xml:space="preserve">77469       </v>
      </c>
    </row>
    <row r="1558" spans="1:25" x14ac:dyDescent="0.25">
      <c r="A1558" t="s">
        <v>7051</v>
      </c>
      <c r="B1558" t="s">
        <v>7052</v>
      </c>
      <c r="C1558">
        <v>2019</v>
      </c>
      <c r="D1558">
        <v>8001</v>
      </c>
      <c r="E1558">
        <v>1</v>
      </c>
      <c r="F1558" t="s">
        <v>7053</v>
      </c>
      <c r="G1558">
        <v>0</v>
      </c>
      <c r="J1558">
        <v>17.53</v>
      </c>
      <c r="L1558">
        <v>44173372</v>
      </c>
      <c r="M1558" s="1">
        <v>43969</v>
      </c>
      <c r="N1558" t="str">
        <f>"J200518AW1"</f>
        <v>J200518AW1</v>
      </c>
      <c r="O1558" t="s">
        <v>28</v>
      </c>
      <c r="Q1558" t="s">
        <v>29</v>
      </c>
      <c r="R1558" t="s">
        <v>28</v>
      </c>
      <c r="S1558" t="s">
        <v>7053</v>
      </c>
      <c r="T1558" t="s">
        <v>7049</v>
      </c>
      <c r="U1558" t="s">
        <v>7054</v>
      </c>
      <c r="V1558" t="s">
        <v>60</v>
      </c>
      <c r="W1558" t="s">
        <v>214</v>
      </c>
      <c r="X1558" t="s">
        <v>34</v>
      </c>
      <c r="Y1558" t="str">
        <f>"774692614   "</f>
        <v xml:space="preserve">774692614   </v>
      </c>
    </row>
    <row r="1559" spans="1:25" x14ac:dyDescent="0.25">
      <c r="A1559" t="s">
        <v>7055</v>
      </c>
      <c r="B1559" t="s">
        <v>7056</v>
      </c>
      <c r="C1559">
        <v>2020</v>
      </c>
      <c r="D1559">
        <v>8001</v>
      </c>
      <c r="E1559">
        <v>1</v>
      </c>
      <c r="F1559" t="s">
        <v>7057</v>
      </c>
      <c r="G1559">
        <v>0</v>
      </c>
      <c r="J1559">
        <v>15.76</v>
      </c>
      <c r="L1559">
        <v>44401214</v>
      </c>
      <c r="M1559" s="1">
        <v>44147</v>
      </c>
      <c r="N1559" t="str">
        <f>"TE201112"</f>
        <v>TE201112</v>
      </c>
      <c r="O1559" t="s">
        <v>28</v>
      </c>
      <c r="Q1559" t="s">
        <v>29</v>
      </c>
      <c r="R1559" t="s">
        <v>28</v>
      </c>
      <c r="S1559" t="s">
        <v>7057</v>
      </c>
      <c r="T1559" t="s">
        <v>7058</v>
      </c>
      <c r="U1559" t="s">
        <v>7059</v>
      </c>
      <c r="V1559" t="s">
        <v>60</v>
      </c>
      <c r="W1559" t="s">
        <v>649</v>
      </c>
      <c r="X1559" t="s">
        <v>34</v>
      </c>
      <c r="Y1559" t="str">
        <f>"774714702   "</f>
        <v xml:space="preserve">774714702   </v>
      </c>
    </row>
    <row r="1560" spans="1:25" x14ac:dyDescent="0.25">
      <c r="A1560" t="s">
        <v>7060</v>
      </c>
      <c r="B1560" t="s">
        <v>7061</v>
      </c>
      <c r="C1560">
        <v>2020</v>
      </c>
      <c r="D1560">
        <v>8001</v>
      </c>
      <c r="E1560">
        <v>1</v>
      </c>
      <c r="F1560" t="s">
        <v>7062</v>
      </c>
      <c r="G1560">
        <v>916037</v>
      </c>
      <c r="J1560">
        <v>7.23</v>
      </c>
      <c r="L1560">
        <v>44422553</v>
      </c>
      <c r="M1560" s="1">
        <v>44147</v>
      </c>
      <c r="N1560" t="str">
        <f>"TE201112"</f>
        <v>TE201112</v>
      </c>
      <c r="O1560" t="s">
        <v>28</v>
      </c>
      <c r="Q1560" t="s">
        <v>29</v>
      </c>
      <c r="R1560" t="s">
        <v>28</v>
      </c>
      <c r="S1560" t="s">
        <v>7063</v>
      </c>
      <c r="T1560" t="s">
        <v>7064</v>
      </c>
      <c r="W1560" t="s">
        <v>154</v>
      </c>
      <c r="X1560" t="s">
        <v>34</v>
      </c>
      <c r="Y1560" t="str">
        <f>"774714344"</f>
        <v>774714344</v>
      </c>
    </row>
    <row r="1561" spans="1:25" x14ac:dyDescent="0.25">
      <c r="A1561" t="s">
        <v>7065</v>
      </c>
      <c r="B1561" t="s">
        <v>7066</v>
      </c>
      <c r="C1561">
        <v>2020</v>
      </c>
      <c r="D1561">
        <v>8001</v>
      </c>
      <c r="E1561">
        <v>1</v>
      </c>
      <c r="F1561" t="s">
        <v>7067</v>
      </c>
      <c r="G1561">
        <v>29955725</v>
      </c>
      <c r="J1561">
        <v>6.35</v>
      </c>
      <c r="L1561">
        <v>47679409</v>
      </c>
      <c r="M1561" s="1">
        <v>44413</v>
      </c>
      <c r="N1561" t="str">
        <f>"CC210805"</f>
        <v>CC210805</v>
      </c>
      <c r="O1561" t="s">
        <v>28</v>
      </c>
      <c r="Q1561" t="s">
        <v>29</v>
      </c>
      <c r="R1561" t="s">
        <v>28</v>
      </c>
      <c r="S1561" t="s">
        <v>7068</v>
      </c>
      <c r="T1561" t="s">
        <v>7069</v>
      </c>
      <c r="W1561" t="s">
        <v>40</v>
      </c>
      <c r="X1561" t="s">
        <v>34</v>
      </c>
      <c r="Y1561" t="str">
        <f>"77498"</f>
        <v>77498</v>
      </c>
    </row>
    <row r="1562" spans="1:25" x14ac:dyDescent="0.25">
      <c r="A1562" t="s">
        <v>7070</v>
      </c>
      <c r="B1562" t="s">
        <v>7071</v>
      </c>
      <c r="C1562">
        <v>2019</v>
      </c>
      <c r="D1562">
        <v>8001</v>
      </c>
      <c r="E1562">
        <v>1</v>
      </c>
      <c r="F1562" t="s">
        <v>7072</v>
      </c>
      <c r="G1562">
        <v>21285176</v>
      </c>
      <c r="J1562">
        <v>8.61</v>
      </c>
      <c r="L1562">
        <v>41350007</v>
      </c>
      <c r="M1562" s="1">
        <v>43766</v>
      </c>
      <c r="N1562" t="str">
        <f>"TE191028"</f>
        <v>TE191028</v>
      </c>
      <c r="O1562" t="s">
        <v>28</v>
      </c>
      <c r="Q1562" t="s">
        <v>29</v>
      </c>
      <c r="R1562" t="s">
        <v>28</v>
      </c>
      <c r="S1562" t="s">
        <v>7072</v>
      </c>
      <c r="T1562" t="s">
        <v>7073</v>
      </c>
      <c r="W1562" t="s">
        <v>154</v>
      </c>
      <c r="X1562" t="s">
        <v>34</v>
      </c>
      <c r="Y1562" t="str">
        <f>"774714045"</f>
        <v>774714045</v>
      </c>
    </row>
    <row r="1563" spans="1:25" x14ac:dyDescent="0.25">
      <c r="A1563" t="s">
        <v>7074</v>
      </c>
      <c r="B1563" t="s">
        <v>7075</v>
      </c>
      <c r="C1563">
        <v>2020</v>
      </c>
      <c r="D1563">
        <v>8001</v>
      </c>
      <c r="E1563">
        <v>1</v>
      </c>
      <c r="F1563" t="s">
        <v>7076</v>
      </c>
      <c r="G1563">
        <v>25039358</v>
      </c>
      <c r="J1563">
        <v>6.75</v>
      </c>
      <c r="L1563">
        <v>45127091</v>
      </c>
      <c r="M1563" s="1">
        <v>44172</v>
      </c>
      <c r="N1563" t="str">
        <f>"RC201217"</f>
        <v>RC201217</v>
      </c>
      <c r="O1563" t="s">
        <v>28</v>
      </c>
      <c r="Q1563" t="s">
        <v>29</v>
      </c>
      <c r="R1563" t="s">
        <v>28</v>
      </c>
      <c r="S1563" t="s">
        <v>7077</v>
      </c>
      <c r="T1563" t="s">
        <v>7078</v>
      </c>
      <c r="W1563" t="s">
        <v>1150</v>
      </c>
      <c r="X1563" t="s">
        <v>34</v>
      </c>
      <c r="Y1563" t="str">
        <f>"775833354"</f>
        <v>775833354</v>
      </c>
    </row>
    <row r="1564" spans="1:25" x14ac:dyDescent="0.25">
      <c r="A1564" t="s">
        <v>7079</v>
      </c>
      <c r="B1564" t="s">
        <v>7080</v>
      </c>
      <c r="C1564">
        <v>2019</v>
      </c>
      <c r="D1564">
        <v>8001</v>
      </c>
      <c r="E1564">
        <v>2</v>
      </c>
      <c r="F1564" t="s">
        <v>7081</v>
      </c>
      <c r="G1564">
        <v>21382417</v>
      </c>
      <c r="J1564">
        <v>42.52</v>
      </c>
      <c r="L1564">
        <v>44054123</v>
      </c>
      <c r="M1564" s="1">
        <v>43930</v>
      </c>
      <c r="N1564" t="str">
        <f>"O200409AB1"</f>
        <v>O200409AB1</v>
      </c>
      <c r="O1564" t="s">
        <v>28</v>
      </c>
      <c r="Q1564" t="s">
        <v>29</v>
      </c>
      <c r="R1564" t="s">
        <v>28</v>
      </c>
      <c r="S1564" t="s">
        <v>3856</v>
      </c>
      <c r="T1564" t="s">
        <v>3857</v>
      </c>
      <c r="U1564" t="s">
        <v>7082</v>
      </c>
      <c r="W1564" t="s">
        <v>75</v>
      </c>
      <c r="X1564" t="s">
        <v>34</v>
      </c>
      <c r="Y1564" t="str">
        <f>"77231"</f>
        <v>77231</v>
      </c>
    </row>
    <row r="1565" spans="1:25" x14ac:dyDescent="0.25">
      <c r="A1565" t="s">
        <v>7083</v>
      </c>
      <c r="B1565" t="s">
        <v>7084</v>
      </c>
      <c r="C1565">
        <v>2019</v>
      </c>
      <c r="D1565">
        <v>8001</v>
      </c>
      <c r="E1565">
        <v>1</v>
      </c>
      <c r="F1565" t="s">
        <v>7085</v>
      </c>
      <c r="G1565">
        <v>27520788</v>
      </c>
      <c r="J1565">
        <v>8.32</v>
      </c>
      <c r="L1565">
        <v>41494103</v>
      </c>
      <c r="M1565" s="1">
        <v>43766</v>
      </c>
      <c r="N1565" t="str">
        <f>"TE191028"</f>
        <v>TE191028</v>
      </c>
      <c r="O1565" t="s">
        <v>28</v>
      </c>
      <c r="Q1565" t="s">
        <v>29</v>
      </c>
      <c r="R1565" t="s">
        <v>28</v>
      </c>
      <c r="S1565" t="s">
        <v>7086</v>
      </c>
      <c r="T1565" t="s">
        <v>7087</v>
      </c>
      <c r="W1565" t="s">
        <v>371</v>
      </c>
      <c r="X1565" t="s">
        <v>34</v>
      </c>
      <c r="Y1565" t="str">
        <f>"77477"</f>
        <v>77477</v>
      </c>
    </row>
    <row r="1566" spans="1:25" x14ac:dyDescent="0.25">
      <c r="A1566" t="s">
        <v>7088</v>
      </c>
      <c r="B1566" t="s">
        <v>7089</v>
      </c>
      <c r="C1566">
        <v>2021</v>
      </c>
      <c r="D1566">
        <v>8001</v>
      </c>
      <c r="E1566">
        <v>2</v>
      </c>
      <c r="F1566" t="s">
        <v>7090</v>
      </c>
      <c r="G1566">
        <v>0</v>
      </c>
      <c r="J1566">
        <v>19.53</v>
      </c>
      <c r="L1566">
        <v>47422481</v>
      </c>
      <c r="M1566" s="1">
        <v>44516</v>
      </c>
      <c r="N1566" t="str">
        <f>"TE211116"</f>
        <v>TE211116</v>
      </c>
      <c r="O1566" t="s">
        <v>28</v>
      </c>
      <c r="Q1566" t="s">
        <v>29</v>
      </c>
      <c r="R1566" t="s">
        <v>28</v>
      </c>
      <c r="S1566" t="s">
        <v>7090</v>
      </c>
      <c r="T1566" t="s">
        <v>7091</v>
      </c>
      <c r="U1566" t="s">
        <v>7092</v>
      </c>
      <c r="V1566">
        <v>314</v>
      </c>
      <c r="W1566" t="s">
        <v>376</v>
      </c>
      <c r="X1566" t="s">
        <v>34</v>
      </c>
      <c r="Y1566" t="str">
        <f>"77477       "</f>
        <v xml:space="preserve">77477       </v>
      </c>
    </row>
    <row r="1567" spans="1:25" x14ac:dyDescent="0.25">
      <c r="A1567" t="s">
        <v>7093</v>
      </c>
      <c r="B1567" t="s">
        <v>7094</v>
      </c>
      <c r="C1567">
        <v>2019</v>
      </c>
      <c r="D1567">
        <v>8001</v>
      </c>
      <c r="E1567">
        <v>1</v>
      </c>
      <c r="F1567" t="s">
        <v>7095</v>
      </c>
      <c r="G1567">
        <v>27439225</v>
      </c>
      <c r="J1567">
        <v>9.1999999999999993</v>
      </c>
      <c r="L1567">
        <v>41311697</v>
      </c>
      <c r="M1567" s="1">
        <v>43766</v>
      </c>
      <c r="N1567" t="str">
        <f>"TE191028"</f>
        <v>TE191028</v>
      </c>
      <c r="O1567" t="s">
        <v>28</v>
      </c>
      <c r="Q1567" t="s">
        <v>29</v>
      </c>
      <c r="R1567" t="s">
        <v>28</v>
      </c>
      <c r="S1567" t="s">
        <v>7096</v>
      </c>
      <c r="T1567" t="s">
        <v>7097</v>
      </c>
      <c r="W1567" t="s">
        <v>371</v>
      </c>
      <c r="X1567" t="s">
        <v>34</v>
      </c>
      <c r="Y1567" t="str">
        <f>"77477"</f>
        <v>77477</v>
      </c>
    </row>
    <row r="1568" spans="1:25" x14ac:dyDescent="0.25">
      <c r="A1568" t="s">
        <v>7098</v>
      </c>
      <c r="B1568" t="s">
        <v>7099</v>
      </c>
      <c r="C1568">
        <v>2020</v>
      </c>
      <c r="D1568">
        <v>8001</v>
      </c>
      <c r="E1568">
        <v>1</v>
      </c>
      <c r="F1568" t="s">
        <v>7100</v>
      </c>
      <c r="G1568">
        <v>25028726</v>
      </c>
      <c r="J1568">
        <v>5.59</v>
      </c>
      <c r="L1568">
        <v>45210872</v>
      </c>
      <c r="M1568" s="1">
        <v>44175</v>
      </c>
      <c r="N1568" t="str">
        <f>"RC201217"</f>
        <v>RC201217</v>
      </c>
      <c r="O1568" t="s">
        <v>28</v>
      </c>
      <c r="Q1568" t="s">
        <v>29</v>
      </c>
      <c r="R1568" t="s">
        <v>28</v>
      </c>
      <c r="S1568" t="s">
        <v>7101</v>
      </c>
      <c r="T1568" t="s">
        <v>7102</v>
      </c>
      <c r="W1568" t="s">
        <v>7103</v>
      </c>
      <c r="X1568" t="s">
        <v>7104</v>
      </c>
      <c r="Y1568" t="str">
        <f>"890617710"</f>
        <v>890617710</v>
      </c>
    </row>
    <row r="1569" spans="1:25" x14ac:dyDescent="0.25">
      <c r="A1569" t="s">
        <v>7105</v>
      </c>
      <c r="B1569" t="s">
        <v>7106</v>
      </c>
      <c r="C1569">
        <v>2020</v>
      </c>
      <c r="D1569">
        <v>8001</v>
      </c>
      <c r="E1569">
        <v>1</v>
      </c>
      <c r="F1569" t="s">
        <v>7107</v>
      </c>
      <c r="G1569">
        <v>0</v>
      </c>
      <c r="J1569">
        <v>85.05</v>
      </c>
      <c r="L1569">
        <v>44779275</v>
      </c>
      <c r="M1569" s="1">
        <v>44140</v>
      </c>
      <c r="N1569" t="str">
        <f>"O201105AW6"</f>
        <v>O201105AW6</v>
      </c>
      <c r="O1569" t="s">
        <v>28</v>
      </c>
      <c r="Q1569" t="s">
        <v>29</v>
      </c>
      <c r="R1569" t="s">
        <v>28</v>
      </c>
      <c r="S1569" t="s">
        <v>7107</v>
      </c>
      <c r="T1569" t="s">
        <v>7108</v>
      </c>
      <c r="U1569" t="s">
        <v>60</v>
      </c>
      <c r="V1569" t="s">
        <v>60</v>
      </c>
      <c r="W1569" t="s">
        <v>135</v>
      </c>
      <c r="X1569" t="s">
        <v>34</v>
      </c>
      <c r="Y1569" t="str">
        <f>"770894311   "</f>
        <v xml:space="preserve">770894311   </v>
      </c>
    </row>
    <row r="1570" spans="1:25" x14ac:dyDescent="0.25">
      <c r="A1570" t="s">
        <v>7109</v>
      </c>
      <c r="B1570" t="s">
        <v>7110</v>
      </c>
      <c r="C1570">
        <v>2020</v>
      </c>
      <c r="D1570">
        <v>8001</v>
      </c>
      <c r="E1570">
        <v>2</v>
      </c>
      <c r="F1570" t="s">
        <v>7111</v>
      </c>
      <c r="G1570">
        <v>0</v>
      </c>
      <c r="J1570">
        <v>7.38</v>
      </c>
      <c r="L1570">
        <v>47073921</v>
      </c>
      <c r="M1570" s="1">
        <v>44265</v>
      </c>
      <c r="N1570" t="str">
        <f>"L210310"</f>
        <v>L210310</v>
      </c>
      <c r="O1570" t="s">
        <v>28</v>
      </c>
      <c r="Q1570" t="s">
        <v>29</v>
      </c>
      <c r="R1570" t="s">
        <v>28</v>
      </c>
      <c r="S1570" t="s">
        <v>7111</v>
      </c>
      <c r="T1570" t="s">
        <v>7112</v>
      </c>
      <c r="U1570" t="s">
        <v>60</v>
      </c>
      <c r="V1570" t="s">
        <v>60</v>
      </c>
      <c r="W1570" t="s">
        <v>7113</v>
      </c>
      <c r="X1570" t="s">
        <v>34</v>
      </c>
      <c r="Y1570" t="str">
        <f>"78028       "</f>
        <v xml:space="preserve">78028       </v>
      </c>
    </row>
    <row r="1571" spans="1:25" x14ac:dyDescent="0.25">
      <c r="A1571" t="s">
        <v>7114</v>
      </c>
      <c r="B1571" t="s">
        <v>7115</v>
      </c>
      <c r="C1571">
        <v>2020</v>
      </c>
      <c r="D1571">
        <v>8001</v>
      </c>
      <c r="E1571">
        <v>2</v>
      </c>
      <c r="F1571" t="s">
        <v>7116</v>
      </c>
      <c r="G1571">
        <v>0</v>
      </c>
      <c r="J1571">
        <v>4.76</v>
      </c>
      <c r="L1571">
        <v>45309380</v>
      </c>
      <c r="M1571" s="1">
        <v>44271</v>
      </c>
      <c r="N1571" t="str">
        <f>"T210316E1"</f>
        <v>T210316E1</v>
      </c>
      <c r="O1571" t="s">
        <v>28</v>
      </c>
      <c r="Q1571" t="s">
        <v>29</v>
      </c>
      <c r="R1571" t="s">
        <v>28</v>
      </c>
      <c r="S1571" t="s">
        <v>7117</v>
      </c>
      <c r="T1571" t="s">
        <v>7118</v>
      </c>
      <c r="U1571" t="s">
        <v>7119</v>
      </c>
      <c r="V1571" t="s">
        <v>60</v>
      </c>
      <c r="W1571" t="s">
        <v>198</v>
      </c>
      <c r="X1571" t="s">
        <v>34</v>
      </c>
      <c r="Y1571" t="str">
        <f>"75230       "</f>
        <v xml:space="preserve">75230       </v>
      </c>
    </row>
    <row r="1572" spans="1:25" x14ac:dyDescent="0.25">
      <c r="A1572" t="s">
        <v>7120</v>
      </c>
      <c r="B1572" t="s">
        <v>7121</v>
      </c>
      <c r="C1572">
        <v>2019</v>
      </c>
      <c r="D1572">
        <v>8001</v>
      </c>
      <c r="E1572">
        <v>1</v>
      </c>
      <c r="F1572" t="s">
        <v>7122</v>
      </c>
      <c r="G1572">
        <v>27896841</v>
      </c>
      <c r="J1572">
        <v>12.15</v>
      </c>
      <c r="L1572">
        <v>42784646</v>
      </c>
      <c r="M1572" s="1">
        <v>43840</v>
      </c>
      <c r="N1572" t="str">
        <f>"O200110BR1"</f>
        <v>O200110BR1</v>
      </c>
      <c r="O1572" t="s">
        <v>28</v>
      </c>
      <c r="Q1572" t="s">
        <v>29</v>
      </c>
      <c r="R1572" t="s">
        <v>28</v>
      </c>
      <c r="S1572" t="s">
        <v>7123</v>
      </c>
      <c r="T1572" t="s">
        <v>2991</v>
      </c>
      <c r="U1572" t="s">
        <v>1266</v>
      </c>
      <c r="W1572" t="s">
        <v>332</v>
      </c>
      <c r="X1572" t="s">
        <v>34</v>
      </c>
      <c r="Y1572" t="str">
        <f>"752359788"</f>
        <v>752359788</v>
      </c>
    </row>
    <row r="1573" spans="1:25" x14ac:dyDescent="0.25">
      <c r="A1573" t="s">
        <v>7124</v>
      </c>
      <c r="B1573" t="s">
        <v>7125</v>
      </c>
      <c r="C1573">
        <v>2020</v>
      </c>
      <c r="D1573">
        <v>8001</v>
      </c>
      <c r="E1573">
        <v>1</v>
      </c>
      <c r="F1573" t="s">
        <v>7126</v>
      </c>
      <c r="G1573">
        <v>0</v>
      </c>
      <c r="J1573">
        <v>15.85</v>
      </c>
      <c r="L1573">
        <v>45422099</v>
      </c>
      <c r="M1573" s="1">
        <v>44187</v>
      </c>
      <c r="N1573" t="str">
        <f>"J201222BW8"</f>
        <v>J201222BW8</v>
      </c>
      <c r="O1573" t="s">
        <v>28</v>
      </c>
      <c r="Q1573" t="s">
        <v>29</v>
      </c>
      <c r="R1573" t="s">
        <v>28</v>
      </c>
      <c r="S1573" t="s">
        <v>7126</v>
      </c>
      <c r="T1573" t="s">
        <v>7127</v>
      </c>
      <c r="U1573" t="s">
        <v>7128</v>
      </c>
      <c r="V1573" t="s">
        <v>60</v>
      </c>
      <c r="W1573" t="s">
        <v>135</v>
      </c>
      <c r="X1573" t="s">
        <v>34</v>
      </c>
      <c r="Y1573" t="str">
        <f>"770026599   "</f>
        <v xml:space="preserve">770026599   </v>
      </c>
    </row>
    <row r="1574" spans="1:25" x14ac:dyDescent="0.25">
      <c r="A1574" t="s">
        <v>7129</v>
      </c>
      <c r="B1574" t="s">
        <v>7130</v>
      </c>
      <c r="C1574">
        <v>2019</v>
      </c>
      <c r="D1574">
        <v>8001</v>
      </c>
      <c r="E1574">
        <v>1</v>
      </c>
      <c r="F1574" t="s">
        <v>7131</v>
      </c>
      <c r="G1574">
        <v>0</v>
      </c>
      <c r="J1574">
        <v>56.27</v>
      </c>
      <c r="L1574">
        <v>42707404</v>
      </c>
      <c r="M1574" s="1">
        <v>43837</v>
      </c>
      <c r="N1574" t="str">
        <f>"L200107"</f>
        <v>L200107</v>
      </c>
      <c r="O1574" t="s">
        <v>28</v>
      </c>
      <c r="Q1574" t="s">
        <v>29</v>
      </c>
      <c r="R1574" t="s">
        <v>28</v>
      </c>
      <c r="S1574" t="s">
        <v>7131</v>
      </c>
      <c r="T1574" t="s">
        <v>7132</v>
      </c>
      <c r="U1574" t="s">
        <v>60</v>
      </c>
      <c r="V1574" t="s">
        <v>60</v>
      </c>
      <c r="W1574" t="s">
        <v>198</v>
      </c>
      <c r="X1574" t="s">
        <v>34</v>
      </c>
      <c r="Y1574" t="str">
        <f>"753702377   "</f>
        <v xml:space="preserve">753702377   </v>
      </c>
    </row>
    <row r="1575" spans="1:25" x14ac:dyDescent="0.25">
      <c r="A1575" t="s">
        <v>7133</v>
      </c>
      <c r="B1575" t="s">
        <v>7134</v>
      </c>
      <c r="C1575">
        <v>2018</v>
      </c>
      <c r="D1575">
        <v>8001</v>
      </c>
      <c r="E1575">
        <v>1</v>
      </c>
      <c r="F1575" t="s">
        <v>7135</v>
      </c>
      <c r="G1575">
        <v>20319798</v>
      </c>
      <c r="J1575">
        <v>181.78</v>
      </c>
      <c r="L1575">
        <v>41176994</v>
      </c>
      <c r="M1575" s="1">
        <v>43592</v>
      </c>
      <c r="N1575" t="str">
        <f>"O190507AB1"</f>
        <v>O190507AB1</v>
      </c>
      <c r="O1575" t="s">
        <v>28</v>
      </c>
      <c r="Q1575" t="s">
        <v>29</v>
      </c>
      <c r="R1575" t="s">
        <v>28</v>
      </c>
      <c r="S1575" t="s">
        <v>7136</v>
      </c>
      <c r="T1575" t="s">
        <v>3857</v>
      </c>
      <c r="U1575" t="s">
        <v>7137</v>
      </c>
      <c r="W1575" t="s">
        <v>75</v>
      </c>
      <c r="X1575" t="s">
        <v>34</v>
      </c>
      <c r="Y1575" t="str">
        <f>"770241210"</f>
        <v>770241210</v>
      </c>
    </row>
    <row r="1576" spans="1:25" x14ac:dyDescent="0.25">
      <c r="A1576" t="s">
        <v>7138</v>
      </c>
      <c r="B1576" t="s">
        <v>7139</v>
      </c>
      <c r="C1576">
        <v>2019</v>
      </c>
      <c r="D1576">
        <v>8001</v>
      </c>
      <c r="E1576">
        <v>1</v>
      </c>
      <c r="F1576" t="s">
        <v>7131</v>
      </c>
      <c r="G1576">
        <v>27613061</v>
      </c>
      <c r="J1576">
        <v>5.51</v>
      </c>
      <c r="L1576">
        <v>41748207</v>
      </c>
      <c r="M1576" s="1">
        <v>43770</v>
      </c>
      <c r="N1576" t="str">
        <f>"O191101AB1"</f>
        <v>O191101AB1</v>
      </c>
      <c r="O1576" t="s">
        <v>28</v>
      </c>
      <c r="Q1576" t="s">
        <v>29</v>
      </c>
      <c r="R1576" t="s">
        <v>28</v>
      </c>
      <c r="S1576" t="s">
        <v>7140</v>
      </c>
      <c r="T1576" t="s">
        <v>7141</v>
      </c>
      <c r="W1576" t="s">
        <v>332</v>
      </c>
      <c r="X1576" t="s">
        <v>34</v>
      </c>
      <c r="Y1576" t="str">
        <f>"753702377"</f>
        <v>753702377</v>
      </c>
    </row>
    <row r="1577" spans="1:25" x14ac:dyDescent="0.25">
      <c r="A1577" t="s">
        <v>7142</v>
      </c>
      <c r="B1577" t="s">
        <v>7143</v>
      </c>
      <c r="C1577">
        <v>2020</v>
      </c>
      <c r="D1577">
        <v>8001</v>
      </c>
      <c r="E1577">
        <v>1</v>
      </c>
      <c r="F1577" t="s">
        <v>7144</v>
      </c>
      <c r="G1577">
        <v>27261427</v>
      </c>
      <c r="J1577">
        <v>5.81</v>
      </c>
      <c r="L1577">
        <v>45171162</v>
      </c>
      <c r="M1577" s="1">
        <v>44174</v>
      </c>
      <c r="N1577" t="str">
        <f>"RC201217"</f>
        <v>RC201217</v>
      </c>
      <c r="O1577" t="s">
        <v>28</v>
      </c>
      <c r="Q1577" t="s">
        <v>29</v>
      </c>
      <c r="R1577" t="s">
        <v>28</v>
      </c>
      <c r="S1577" t="s">
        <v>7145</v>
      </c>
      <c r="T1577" t="s">
        <v>7146</v>
      </c>
      <c r="U1577" t="s">
        <v>7147</v>
      </c>
      <c r="W1577" t="s">
        <v>7148</v>
      </c>
      <c r="X1577" t="s">
        <v>317</v>
      </c>
      <c r="Y1577" t="str">
        <f>"956304602"</f>
        <v>956304602</v>
      </c>
    </row>
    <row r="1578" spans="1:25" x14ac:dyDescent="0.25">
      <c r="A1578" t="s">
        <v>7149</v>
      </c>
      <c r="B1578" t="s">
        <v>7150</v>
      </c>
      <c r="C1578">
        <v>2020</v>
      </c>
      <c r="D1578">
        <v>8001</v>
      </c>
      <c r="E1578">
        <v>2</v>
      </c>
      <c r="F1578" t="s">
        <v>7151</v>
      </c>
      <c r="G1578">
        <v>22113551</v>
      </c>
      <c r="J1578">
        <v>75.89</v>
      </c>
      <c r="L1578">
        <v>47939167</v>
      </c>
      <c r="M1578" s="1">
        <v>44502</v>
      </c>
      <c r="N1578" t="str">
        <f>"RC211208"</f>
        <v>RC211208</v>
      </c>
      <c r="O1578" t="s">
        <v>28</v>
      </c>
      <c r="Q1578" t="s">
        <v>29</v>
      </c>
      <c r="R1578" t="s">
        <v>28</v>
      </c>
      <c r="S1578" t="s">
        <v>7152</v>
      </c>
      <c r="T1578" t="s">
        <v>7153</v>
      </c>
      <c r="W1578" t="s">
        <v>7154</v>
      </c>
      <c r="X1578" t="s">
        <v>1457</v>
      </c>
      <c r="Y1578" t="str">
        <f>"23185"</f>
        <v>23185</v>
      </c>
    </row>
    <row r="1579" spans="1:25" x14ac:dyDescent="0.25">
      <c r="A1579" t="s">
        <v>7155</v>
      </c>
      <c r="B1579" t="s">
        <v>7156</v>
      </c>
      <c r="C1579">
        <v>2020</v>
      </c>
      <c r="D1579">
        <v>8001</v>
      </c>
      <c r="E1579">
        <v>1</v>
      </c>
      <c r="F1579" t="s">
        <v>7157</v>
      </c>
      <c r="G1579">
        <v>0</v>
      </c>
      <c r="J1579">
        <v>7.75</v>
      </c>
      <c r="L1579">
        <v>47506255</v>
      </c>
      <c r="M1579" s="1">
        <v>44354</v>
      </c>
      <c r="N1579" t="str">
        <f>"J210607BW2"</f>
        <v>J210607BW2</v>
      </c>
      <c r="O1579" t="s">
        <v>28</v>
      </c>
      <c r="Q1579" t="s">
        <v>29</v>
      </c>
      <c r="R1579" t="s">
        <v>28</v>
      </c>
      <c r="S1579" t="s">
        <v>7157</v>
      </c>
      <c r="T1579" t="s">
        <v>7158</v>
      </c>
      <c r="U1579" t="s">
        <v>60</v>
      </c>
      <c r="V1579" t="s">
        <v>60</v>
      </c>
      <c r="W1579" t="s">
        <v>7159</v>
      </c>
      <c r="X1579" t="s">
        <v>2865</v>
      </c>
      <c r="Y1579" t="str">
        <f>"584019238   "</f>
        <v xml:space="preserve">584019238   </v>
      </c>
    </row>
    <row r="1580" spans="1:25" x14ac:dyDescent="0.25">
      <c r="A1580" t="s">
        <v>7160</v>
      </c>
      <c r="B1580" t="s">
        <v>7161</v>
      </c>
      <c r="C1580">
        <v>2021</v>
      </c>
      <c r="D1580">
        <v>8001</v>
      </c>
      <c r="E1580">
        <v>1</v>
      </c>
      <c r="F1580" t="s">
        <v>7162</v>
      </c>
      <c r="G1580">
        <v>29313696</v>
      </c>
      <c r="J1580">
        <v>8.19</v>
      </c>
      <c r="L1580">
        <v>45920739</v>
      </c>
      <c r="M1580" s="1">
        <v>44516</v>
      </c>
      <c r="N1580" t="str">
        <f>"TE211116"</f>
        <v>TE211116</v>
      </c>
      <c r="O1580" t="s">
        <v>28</v>
      </c>
      <c r="Q1580" t="s">
        <v>29</v>
      </c>
      <c r="R1580" t="s">
        <v>28</v>
      </c>
      <c r="S1580" t="s">
        <v>7163</v>
      </c>
      <c r="T1580" t="s">
        <v>7164</v>
      </c>
      <c r="W1580" t="s">
        <v>7165</v>
      </c>
      <c r="X1580" t="s">
        <v>245</v>
      </c>
      <c r="Y1580" t="str">
        <f>"486118900"</f>
        <v>486118900</v>
      </c>
    </row>
    <row r="1581" spans="1:25" x14ac:dyDescent="0.25">
      <c r="A1581" t="s">
        <v>7166</v>
      </c>
      <c r="B1581" t="s">
        <v>7167</v>
      </c>
      <c r="C1581">
        <v>2020</v>
      </c>
      <c r="D1581">
        <v>8001</v>
      </c>
      <c r="E1581">
        <v>1</v>
      </c>
      <c r="F1581" t="s">
        <v>7168</v>
      </c>
      <c r="G1581">
        <v>29929340</v>
      </c>
      <c r="J1581">
        <v>10.029999999999999</v>
      </c>
      <c r="L1581">
        <v>47602891</v>
      </c>
      <c r="M1581" s="1">
        <v>44390</v>
      </c>
      <c r="N1581" t="str">
        <f>"RC210722"</f>
        <v>RC210722</v>
      </c>
      <c r="O1581" t="s">
        <v>28</v>
      </c>
      <c r="Q1581" t="s">
        <v>29</v>
      </c>
      <c r="R1581" t="s">
        <v>28</v>
      </c>
      <c r="S1581" t="s">
        <v>7169</v>
      </c>
      <c r="T1581" t="s">
        <v>7170</v>
      </c>
      <c r="W1581" t="s">
        <v>7171</v>
      </c>
      <c r="X1581" t="s">
        <v>169</v>
      </c>
      <c r="Y1581" t="str">
        <f>"80524"</f>
        <v>80524</v>
      </c>
    </row>
    <row r="1582" spans="1:25" x14ac:dyDescent="0.25">
      <c r="A1582" t="s">
        <v>7172</v>
      </c>
      <c r="B1582" t="s">
        <v>7173</v>
      </c>
      <c r="C1582">
        <v>2020</v>
      </c>
      <c r="D1582">
        <v>8001</v>
      </c>
      <c r="E1582">
        <v>1</v>
      </c>
      <c r="F1582" t="s">
        <v>7157</v>
      </c>
      <c r="G1582">
        <v>0</v>
      </c>
      <c r="J1582">
        <v>32.26</v>
      </c>
      <c r="L1582">
        <v>47506255</v>
      </c>
      <c r="M1582" s="1">
        <v>44354</v>
      </c>
      <c r="N1582" t="str">
        <f>"J210607BW2"</f>
        <v>J210607BW2</v>
      </c>
      <c r="O1582" t="s">
        <v>28</v>
      </c>
      <c r="Q1582" t="s">
        <v>29</v>
      </c>
      <c r="R1582" t="s">
        <v>28</v>
      </c>
      <c r="S1582" t="s">
        <v>7157</v>
      </c>
      <c r="T1582" t="s">
        <v>7158</v>
      </c>
      <c r="U1582" t="s">
        <v>60</v>
      </c>
      <c r="V1582" t="s">
        <v>60</v>
      </c>
      <c r="W1582" t="s">
        <v>7159</v>
      </c>
      <c r="X1582" t="s">
        <v>2865</v>
      </c>
      <c r="Y1582" t="str">
        <f>"584019238   "</f>
        <v xml:space="preserve">584019238   </v>
      </c>
    </row>
    <row r="1583" spans="1:25" x14ac:dyDescent="0.25">
      <c r="A1583" t="s">
        <v>7174</v>
      </c>
      <c r="B1583" t="s">
        <v>7175</v>
      </c>
      <c r="C1583">
        <v>2020</v>
      </c>
      <c r="D1583">
        <v>8001</v>
      </c>
      <c r="E1583">
        <v>1</v>
      </c>
      <c r="F1583" t="s">
        <v>7168</v>
      </c>
      <c r="G1583">
        <v>29929340</v>
      </c>
      <c r="J1583">
        <v>7.39</v>
      </c>
      <c r="L1583">
        <v>47602892</v>
      </c>
      <c r="M1583" s="1">
        <v>44390</v>
      </c>
      <c r="N1583" t="str">
        <f>"RC210722"</f>
        <v>RC210722</v>
      </c>
      <c r="O1583" t="s">
        <v>28</v>
      </c>
      <c r="Q1583" t="s">
        <v>29</v>
      </c>
      <c r="R1583" t="s">
        <v>28</v>
      </c>
      <c r="S1583" t="s">
        <v>7169</v>
      </c>
      <c r="T1583" t="s">
        <v>7170</v>
      </c>
      <c r="W1583" t="s">
        <v>7171</v>
      </c>
      <c r="X1583" t="s">
        <v>169</v>
      </c>
      <c r="Y1583" t="str">
        <f>"80524"</f>
        <v>80524</v>
      </c>
    </row>
    <row r="1584" spans="1:25" x14ac:dyDescent="0.25">
      <c r="A1584" t="s">
        <v>7176</v>
      </c>
      <c r="B1584" t="s">
        <v>7177</v>
      </c>
      <c r="C1584">
        <v>2020</v>
      </c>
      <c r="D1584">
        <v>8001</v>
      </c>
      <c r="E1584">
        <v>1</v>
      </c>
      <c r="F1584" t="s">
        <v>7157</v>
      </c>
      <c r="G1584">
        <v>0</v>
      </c>
      <c r="J1584">
        <v>23.83</v>
      </c>
      <c r="L1584">
        <v>47506255</v>
      </c>
      <c r="M1584" s="1">
        <v>44354</v>
      </c>
      <c r="N1584" t="str">
        <f>"J210607BW2"</f>
        <v>J210607BW2</v>
      </c>
      <c r="O1584" t="s">
        <v>28</v>
      </c>
      <c r="Q1584" t="s">
        <v>29</v>
      </c>
      <c r="R1584" t="s">
        <v>28</v>
      </c>
      <c r="S1584" t="s">
        <v>7157</v>
      </c>
      <c r="T1584" t="s">
        <v>7158</v>
      </c>
      <c r="U1584" t="s">
        <v>60</v>
      </c>
      <c r="V1584" t="s">
        <v>60</v>
      </c>
      <c r="W1584" t="s">
        <v>7159</v>
      </c>
      <c r="X1584" t="s">
        <v>2865</v>
      </c>
      <c r="Y1584" t="str">
        <f>"584019238   "</f>
        <v xml:space="preserve">584019238   </v>
      </c>
    </row>
    <row r="1585" spans="1:25" x14ac:dyDescent="0.25">
      <c r="A1585" t="s">
        <v>7178</v>
      </c>
      <c r="B1585" t="s">
        <v>7179</v>
      </c>
      <c r="C1585">
        <v>2019</v>
      </c>
      <c r="D1585">
        <v>8001</v>
      </c>
      <c r="E1585">
        <v>3</v>
      </c>
      <c r="F1585" t="s">
        <v>7168</v>
      </c>
      <c r="G1585">
        <v>23238771</v>
      </c>
      <c r="J1585">
        <v>9.6199999999999992</v>
      </c>
      <c r="L1585">
        <v>44532045</v>
      </c>
      <c r="M1585" s="1">
        <v>44082</v>
      </c>
      <c r="N1585" t="str">
        <f>"J200908K3"</f>
        <v>J200908K3</v>
      </c>
      <c r="O1585" t="s">
        <v>28</v>
      </c>
      <c r="Q1585" t="s">
        <v>29</v>
      </c>
      <c r="R1585" t="s">
        <v>28</v>
      </c>
      <c r="S1585" t="s">
        <v>7169</v>
      </c>
      <c r="T1585" t="s">
        <v>7180</v>
      </c>
      <c r="W1585" t="s">
        <v>7171</v>
      </c>
      <c r="X1585" t="s">
        <v>169</v>
      </c>
      <c r="Y1585" t="str">
        <f>"805264144"</f>
        <v>805264144</v>
      </c>
    </row>
    <row r="1586" spans="1:25" x14ac:dyDescent="0.25">
      <c r="A1586" t="s">
        <v>7181</v>
      </c>
      <c r="B1586" t="s">
        <v>7182</v>
      </c>
      <c r="C1586">
        <v>2020</v>
      </c>
      <c r="D1586">
        <v>8001</v>
      </c>
      <c r="E1586">
        <v>1</v>
      </c>
      <c r="F1586" t="s">
        <v>7157</v>
      </c>
      <c r="G1586">
        <v>0</v>
      </c>
      <c r="J1586">
        <v>12.81</v>
      </c>
      <c r="L1586">
        <v>47506255</v>
      </c>
      <c r="M1586" s="1">
        <v>44354</v>
      </c>
      <c r="N1586" t="str">
        <f>"J210607BW2"</f>
        <v>J210607BW2</v>
      </c>
      <c r="O1586" t="s">
        <v>28</v>
      </c>
      <c r="Q1586" t="s">
        <v>29</v>
      </c>
      <c r="R1586" t="s">
        <v>28</v>
      </c>
      <c r="S1586" t="s">
        <v>7157</v>
      </c>
      <c r="T1586" t="s">
        <v>7158</v>
      </c>
      <c r="U1586" t="s">
        <v>60</v>
      </c>
      <c r="V1586" t="s">
        <v>60</v>
      </c>
      <c r="W1586" t="s">
        <v>7159</v>
      </c>
      <c r="X1586" t="s">
        <v>2865</v>
      </c>
      <c r="Y1586" t="str">
        <f>"584019238   "</f>
        <v xml:space="preserve">584019238   </v>
      </c>
    </row>
    <row r="1587" spans="1:25" x14ac:dyDescent="0.25">
      <c r="A1587" t="s">
        <v>7183</v>
      </c>
      <c r="B1587" t="s">
        <v>7184</v>
      </c>
      <c r="C1587">
        <v>2020</v>
      </c>
      <c r="D1587">
        <v>8001</v>
      </c>
      <c r="E1587">
        <v>1</v>
      </c>
      <c r="F1587" t="s">
        <v>7185</v>
      </c>
      <c r="G1587">
        <v>29892111</v>
      </c>
      <c r="J1587">
        <v>15.19</v>
      </c>
      <c r="L1587">
        <v>47560150</v>
      </c>
      <c r="M1587" s="1">
        <v>44375</v>
      </c>
      <c r="N1587" t="str">
        <f>"O210628V1"</f>
        <v>O210628V1</v>
      </c>
      <c r="O1587" t="s">
        <v>28</v>
      </c>
      <c r="Q1587" t="s">
        <v>29</v>
      </c>
      <c r="R1587" t="s">
        <v>28</v>
      </c>
      <c r="S1587" t="s">
        <v>7186</v>
      </c>
      <c r="T1587" t="s">
        <v>7187</v>
      </c>
      <c r="W1587" t="s">
        <v>7188</v>
      </c>
      <c r="X1587" t="s">
        <v>7189</v>
      </c>
      <c r="Y1587" t="str">
        <f>"570382007"</f>
        <v>570382007</v>
      </c>
    </row>
    <row r="1588" spans="1:25" x14ac:dyDescent="0.25">
      <c r="A1588" t="s">
        <v>7190</v>
      </c>
      <c r="B1588" t="s">
        <v>7191</v>
      </c>
      <c r="C1588">
        <v>2019</v>
      </c>
      <c r="D1588">
        <v>8001</v>
      </c>
      <c r="E1588">
        <v>1</v>
      </c>
      <c r="F1588" t="s">
        <v>7192</v>
      </c>
      <c r="G1588">
        <v>28487193</v>
      </c>
      <c r="J1588">
        <v>12.91</v>
      </c>
      <c r="L1588">
        <v>44228853</v>
      </c>
      <c r="M1588" s="1">
        <v>43979</v>
      </c>
      <c r="N1588" t="str">
        <f>"O200528AB1"</f>
        <v>O200528AB1</v>
      </c>
      <c r="O1588" t="s">
        <v>28</v>
      </c>
      <c r="Q1588" t="s">
        <v>29</v>
      </c>
      <c r="R1588" t="s">
        <v>28</v>
      </c>
      <c r="S1588" t="s">
        <v>7193</v>
      </c>
      <c r="T1588" t="s">
        <v>7194</v>
      </c>
      <c r="U1588" t="s">
        <v>7195</v>
      </c>
      <c r="W1588" t="s">
        <v>7196</v>
      </c>
      <c r="X1588" t="s">
        <v>34</v>
      </c>
      <c r="Y1588" t="str">
        <f>"786725107"</f>
        <v>786725107</v>
      </c>
    </row>
    <row r="1589" spans="1:25" x14ac:dyDescent="0.25">
      <c r="A1589" t="s">
        <v>7197</v>
      </c>
      <c r="B1589" t="s">
        <v>7198</v>
      </c>
      <c r="C1589">
        <v>2019</v>
      </c>
      <c r="D1589">
        <v>8001</v>
      </c>
      <c r="E1589">
        <v>1</v>
      </c>
      <c r="F1589" t="s">
        <v>7199</v>
      </c>
      <c r="G1589">
        <v>26822082</v>
      </c>
      <c r="J1589">
        <v>137.88</v>
      </c>
      <c r="L1589">
        <v>42682035</v>
      </c>
      <c r="M1589" s="1">
        <v>43837</v>
      </c>
      <c r="N1589" t="str">
        <f>"O200107AX1"</f>
        <v>O200107AX1</v>
      </c>
      <c r="O1589" t="s">
        <v>28</v>
      </c>
      <c r="Q1589" t="s">
        <v>29</v>
      </c>
      <c r="R1589" t="s">
        <v>28</v>
      </c>
      <c r="S1589" t="s">
        <v>7200</v>
      </c>
      <c r="T1589" t="s">
        <v>1265</v>
      </c>
      <c r="U1589" t="s">
        <v>1266</v>
      </c>
      <c r="W1589" t="s">
        <v>332</v>
      </c>
      <c r="X1589" t="s">
        <v>34</v>
      </c>
      <c r="Y1589" t="str">
        <f>"75235"</f>
        <v>75235</v>
      </c>
    </row>
    <row r="1590" spans="1:25" x14ac:dyDescent="0.25">
      <c r="A1590" t="s">
        <v>7201</v>
      </c>
      <c r="B1590" t="s">
        <v>7202</v>
      </c>
      <c r="C1590">
        <v>2021</v>
      </c>
      <c r="D1590">
        <v>8001</v>
      </c>
      <c r="E1590">
        <v>1</v>
      </c>
      <c r="F1590" t="s">
        <v>7203</v>
      </c>
      <c r="G1590">
        <v>23531757</v>
      </c>
      <c r="J1590">
        <v>10</v>
      </c>
      <c r="L1590">
        <v>48892156</v>
      </c>
      <c r="M1590" s="1">
        <v>44565</v>
      </c>
      <c r="N1590" t="str">
        <f>"RC220209"</f>
        <v>RC220209</v>
      </c>
      <c r="O1590" t="s">
        <v>28</v>
      </c>
      <c r="Q1590" t="s">
        <v>29</v>
      </c>
      <c r="R1590" t="s">
        <v>28</v>
      </c>
      <c r="S1590" t="s">
        <v>7204</v>
      </c>
      <c r="T1590" t="s">
        <v>7205</v>
      </c>
      <c r="U1590" t="s">
        <v>7206</v>
      </c>
      <c r="W1590" t="s">
        <v>910</v>
      </c>
      <c r="X1590" t="s">
        <v>34</v>
      </c>
      <c r="Y1590" t="str">
        <f>"782094437"</f>
        <v>782094437</v>
      </c>
    </row>
    <row r="1591" spans="1:25" x14ac:dyDescent="0.25">
      <c r="A1591" t="s">
        <v>7207</v>
      </c>
      <c r="B1591" t="s">
        <v>7208</v>
      </c>
      <c r="C1591">
        <v>2020</v>
      </c>
      <c r="D1591">
        <v>8001</v>
      </c>
      <c r="E1591">
        <v>1</v>
      </c>
      <c r="F1591" t="s">
        <v>7209</v>
      </c>
      <c r="G1591">
        <v>0</v>
      </c>
      <c r="J1591">
        <v>15.09</v>
      </c>
      <c r="L1591">
        <v>43106552</v>
      </c>
      <c r="M1591" s="1">
        <v>44147</v>
      </c>
      <c r="N1591" t="str">
        <f>"TE201112"</f>
        <v>TE201112</v>
      </c>
      <c r="O1591" t="s">
        <v>28</v>
      </c>
      <c r="Q1591" t="s">
        <v>29</v>
      </c>
      <c r="R1591" t="s">
        <v>28</v>
      </c>
      <c r="S1591" t="s">
        <v>7209</v>
      </c>
      <c r="T1591" t="s">
        <v>7210</v>
      </c>
      <c r="U1591" t="s">
        <v>60</v>
      </c>
      <c r="V1591" t="s">
        <v>60</v>
      </c>
      <c r="W1591" t="s">
        <v>7211</v>
      </c>
      <c r="X1591" t="s">
        <v>34</v>
      </c>
      <c r="Y1591" t="str">
        <f>"76571       "</f>
        <v xml:space="preserve">76571       </v>
      </c>
    </row>
    <row r="1592" spans="1:25" x14ac:dyDescent="0.25">
      <c r="A1592" t="s">
        <v>7212</v>
      </c>
      <c r="B1592" t="s">
        <v>7213</v>
      </c>
      <c r="C1592">
        <v>2020</v>
      </c>
      <c r="D1592">
        <v>8001</v>
      </c>
      <c r="E1592">
        <v>1</v>
      </c>
      <c r="F1592" t="s">
        <v>7214</v>
      </c>
      <c r="G1592">
        <v>30009141</v>
      </c>
      <c r="J1592">
        <v>10</v>
      </c>
      <c r="L1592">
        <v>47762470</v>
      </c>
      <c r="M1592" s="1">
        <v>44466</v>
      </c>
      <c r="N1592" t="str">
        <f>"CC210927"</f>
        <v>CC210927</v>
      </c>
      <c r="O1592" t="s">
        <v>28</v>
      </c>
      <c r="Q1592" t="s">
        <v>29</v>
      </c>
      <c r="R1592" t="s">
        <v>28</v>
      </c>
      <c r="S1592" t="s">
        <v>7215</v>
      </c>
      <c r="T1592" t="s">
        <v>7216</v>
      </c>
      <c r="W1592" t="s">
        <v>75</v>
      </c>
      <c r="X1592" t="s">
        <v>34</v>
      </c>
      <c r="Y1592" t="str">
        <f>"77042"</f>
        <v>77042</v>
      </c>
    </row>
    <row r="1593" spans="1:25" x14ac:dyDescent="0.25">
      <c r="A1593" t="s">
        <v>7217</v>
      </c>
      <c r="B1593" t="s">
        <v>7218</v>
      </c>
      <c r="C1593">
        <v>2020</v>
      </c>
      <c r="D1593">
        <v>8001</v>
      </c>
      <c r="E1593">
        <v>1</v>
      </c>
      <c r="F1593" t="s">
        <v>7219</v>
      </c>
      <c r="G1593">
        <v>24546023</v>
      </c>
      <c r="J1593">
        <v>13.35</v>
      </c>
      <c r="L1593">
        <v>47519641</v>
      </c>
      <c r="M1593" s="1">
        <v>44357</v>
      </c>
      <c r="N1593" t="str">
        <f>"RC210616"</f>
        <v>RC210616</v>
      </c>
      <c r="O1593" t="s">
        <v>28</v>
      </c>
      <c r="Q1593" t="s">
        <v>29</v>
      </c>
      <c r="R1593" t="s">
        <v>28</v>
      </c>
      <c r="S1593" t="s">
        <v>7220</v>
      </c>
      <c r="T1593" t="s">
        <v>7221</v>
      </c>
      <c r="W1593" t="s">
        <v>107</v>
      </c>
      <c r="X1593" t="s">
        <v>34</v>
      </c>
      <c r="Y1593" t="str">
        <f>"77494"</f>
        <v>77494</v>
      </c>
    </row>
    <row r="1594" spans="1:25" x14ac:dyDescent="0.25">
      <c r="A1594" t="s">
        <v>7222</v>
      </c>
      <c r="B1594" t="s">
        <v>7223</v>
      </c>
      <c r="C1594">
        <v>2020</v>
      </c>
      <c r="D1594">
        <v>8001</v>
      </c>
      <c r="E1594">
        <v>1</v>
      </c>
      <c r="F1594" t="s">
        <v>7224</v>
      </c>
      <c r="G1594">
        <v>29576655</v>
      </c>
      <c r="J1594">
        <v>377.53</v>
      </c>
      <c r="L1594">
        <v>46792495</v>
      </c>
      <c r="M1594" s="1">
        <v>44231</v>
      </c>
      <c r="N1594" t="str">
        <f>"RC210301"</f>
        <v>RC210301</v>
      </c>
      <c r="O1594" t="s">
        <v>28</v>
      </c>
      <c r="Q1594" t="s">
        <v>29</v>
      </c>
      <c r="R1594" t="s">
        <v>28</v>
      </c>
      <c r="S1594" t="s">
        <v>2222</v>
      </c>
      <c r="T1594" t="s">
        <v>2223</v>
      </c>
      <c r="W1594" t="s">
        <v>40</v>
      </c>
      <c r="X1594" t="s">
        <v>34</v>
      </c>
      <c r="Y1594" t="str">
        <f>"774784473"</f>
        <v>774784473</v>
      </c>
    </row>
    <row r="1595" spans="1:25" x14ac:dyDescent="0.25">
      <c r="A1595" t="s">
        <v>7225</v>
      </c>
      <c r="B1595" t="s">
        <v>7226</v>
      </c>
      <c r="C1595">
        <v>2021</v>
      </c>
      <c r="D1595">
        <v>8001</v>
      </c>
      <c r="E1595">
        <v>1</v>
      </c>
      <c r="F1595" t="s">
        <v>7227</v>
      </c>
      <c r="G1595">
        <v>0</v>
      </c>
      <c r="J1595">
        <v>36.15</v>
      </c>
      <c r="L1595">
        <v>49429253</v>
      </c>
      <c r="M1595" s="1">
        <v>44585</v>
      </c>
      <c r="N1595" t="str">
        <f>"L220124"</f>
        <v>L220124</v>
      </c>
      <c r="O1595" t="s">
        <v>28</v>
      </c>
      <c r="Q1595" t="s">
        <v>29</v>
      </c>
      <c r="R1595" t="s">
        <v>28</v>
      </c>
      <c r="S1595" t="s">
        <v>7227</v>
      </c>
      <c r="T1595" t="s">
        <v>7228</v>
      </c>
      <c r="U1595" t="s">
        <v>60</v>
      </c>
      <c r="V1595" t="s">
        <v>60</v>
      </c>
      <c r="W1595" t="s">
        <v>1137</v>
      </c>
      <c r="X1595" t="s">
        <v>34</v>
      </c>
      <c r="Y1595" t="str">
        <f>"774937493   "</f>
        <v xml:space="preserve">774937493   </v>
      </c>
    </row>
    <row r="1596" spans="1:25" x14ac:dyDescent="0.25">
      <c r="A1596" t="s">
        <v>7229</v>
      </c>
      <c r="B1596" t="s">
        <v>7230</v>
      </c>
      <c r="C1596">
        <v>2021</v>
      </c>
      <c r="D1596">
        <v>8001</v>
      </c>
      <c r="E1596">
        <v>2</v>
      </c>
      <c r="F1596" t="s">
        <v>7231</v>
      </c>
      <c r="G1596">
        <v>30161417</v>
      </c>
      <c r="J1596">
        <v>73.7</v>
      </c>
      <c r="L1596">
        <v>48171585</v>
      </c>
      <c r="M1596" s="1">
        <v>44523</v>
      </c>
      <c r="N1596" t="str">
        <f>"O211123AB1"</f>
        <v>O211123AB1</v>
      </c>
      <c r="O1596" t="s">
        <v>28</v>
      </c>
      <c r="Q1596" t="s">
        <v>29</v>
      </c>
      <c r="R1596" t="s">
        <v>28</v>
      </c>
      <c r="S1596" t="s">
        <v>7232</v>
      </c>
      <c r="T1596" t="s">
        <v>7233</v>
      </c>
      <c r="U1596" t="s">
        <v>7234</v>
      </c>
      <c r="V1596" t="s">
        <v>7235</v>
      </c>
      <c r="W1596" t="s">
        <v>107</v>
      </c>
      <c r="X1596" t="s">
        <v>34</v>
      </c>
      <c r="Y1596" t="str">
        <f>"77493"</f>
        <v>77493</v>
      </c>
    </row>
    <row r="1597" spans="1:25" x14ac:dyDescent="0.25">
      <c r="A1597" t="s">
        <v>7236</v>
      </c>
      <c r="B1597" t="s">
        <v>7237</v>
      </c>
      <c r="C1597">
        <v>2020</v>
      </c>
      <c r="D1597">
        <v>8001</v>
      </c>
      <c r="E1597">
        <v>1</v>
      </c>
      <c r="F1597" t="s">
        <v>7238</v>
      </c>
      <c r="G1597">
        <v>26368145</v>
      </c>
      <c r="J1597">
        <v>770.25</v>
      </c>
      <c r="L1597">
        <v>45301157</v>
      </c>
      <c r="M1597" s="1">
        <v>44181</v>
      </c>
      <c r="N1597" t="str">
        <f>"RC210107"</f>
        <v>RC210107</v>
      </c>
      <c r="O1597" t="s">
        <v>28</v>
      </c>
      <c r="Q1597" t="s">
        <v>29</v>
      </c>
      <c r="R1597" t="s">
        <v>28</v>
      </c>
      <c r="S1597" t="s">
        <v>5177</v>
      </c>
      <c r="T1597" t="s">
        <v>3605</v>
      </c>
      <c r="W1597" t="s">
        <v>1075</v>
      </c>
      <c r="X1597" t="s">
        <v>34</v>
      </c>
      <c r="Y1597" t="str">
        <f>"76102"</f>
        <v>76102</v>
      </c>
    </row>
    <row r="1598" spans="1:25" x14ac:dyDescent="0.25">
      <c r="A1598" t="s">
        <v>7239</v>
      </c>
      <c r="B1598" t="s">
        <v>7240</v>
      </c>
      <c r="C1598">
        <v>2019</v>
      </c>
      <c r="D1598">
        <v>8001</v>
      </c>
      <c r="E1598">
        <v>1</v>
      </c>
      <c r="F1598" t="s">
        <v>7241</v>
      </c>
      <c r="G1598">
        <v>21132622</v>
      </c>
      <c r="J1598">
        <v>171.18</v>
      </c>
      <c r="L1598">
        <v>43695365</v>
      </c>
      <c r="M1598" s="1">
        <v>43871</v>
      </c>
      <c r="N1598" t="str">
        <f>"J200210AW6"</f>
        <v>J200210AW6</v>
      </c>
      <c r="O1598" t="s">
        <v>28</v>
      </c>
      <c r="Q1598" t="s">
        <v>29</v>
      </c>
      <c r="R1598" t="s">
        <v>28</v>
      </c>
      <c r="S1598" t="s">
        <v>5856</v>
      </c>
      <c r="T1598" t="s">
        <v>2997</v>
      </c>
      <c r="W1598" t="s">
        <v>75</v>
      </c>
      <c r="X1598" t="s">
        <v>34</v>
      </c>
      <c r="Y1598" t="str">
        <f>"77056"</f>
        <v>77056</v>
      </c>
    </row>
    <row r="1599" spans="1:25" x14ac:dyDescent="0.25">
      <c r="A1599" t="s">
        <v>7242</v>
      </c>
      <c r="B1599" t="s">
        <v>7243</v>
      </c>
      <c r="C1599">
        <v>2021</v>
      </c>
      <c r="D1599">
        <v>8001</v>
      </c>
      <c r="E1599">
        <v>1</v>
      </c>
      <c r="F1599" t="s">
        <v>7244</v>
      </c>
      <c r="G1599">
        <v>0</v>
      </c>
      <c r="J1599">
        <v>189.93</v>
      </c>
      <c r="L1599">
        <v>49957920</v>
      </c>
      <c r="M1599" s="1">
        <v>44595</v>
      </c>
      <c r="N1599" t="str">
        <f>"J220203BW6"</f>
        <v>J220203BW6</v>
      </c>
      <c r="O1599" t="s">
        <v>28</v>
      </c>
      <c r="Q1599" t="s">
        <v>29</v>
      </c>
      <c r="R1599" t="s">
        <v>28</v>
      </c>
      <c r="S1599" t="s">
        <v>5551</v>
      </c>
      <c r="T1599" t="s">
        <v>7245</v>
      </c>
      <c r="U1599" t="s">
        <v>7246</v>
      </c>
      <c r="V1599" t="s">
        <v>60</v>
      </c>
      <c r="W1599" t="s">
        <v>7247</v>
      </c>
      <c r="X1599" t="s">
        <v>227</v>
      </c>
      <c r="Y1599" t="str">
        <f>"852513347   "</f>
        <v xml:space="preserve">852513347   </v>
      </c>
    </row>
    <row r="1600" spans="1:25" x14ac:dyDescent="0.25">
      <c r="A1600" t="s">
        <v>7248</v>
      </c>
      <c r="B1600" t="s">
        <v>7249</v>
      </c>
      <c r="C1600">
        <v>2020</v>
      </c>
      <c r="D1600">
        <v>8001</v>
      </c>
      <c r="E1600">
        <v>1</v>
      </c>
      <c r="F1600" t="s">
        <v>7250</v>
      </c>
      <c r="G1600">
        <v>0</v>
      </c>
      <c r="J1600">
        <v>86.7</v>
      </c>
      <c r="L1600">
        <v>46889762</v>
      </c>
      <c r="M1600" s="1">
        <v>44236</v>
      </c>
      <c r="N1600" t="str">
        <f>"J210209K7"</f>
        <v>J210209K7</v>
      </c>
      <c r="O1600" t="s">
        <v>28</v>
      </c>
      <c r="Q1600" t="s">
        <v>29</v>
      </c>
      <c r="R1600" t="s">
        <v>28</v>
      </c>
      <c r="S1600" t="s">
        <v>7250</v>
      </c>
      <c r="T1600" t="s">
        <v>7251</v>
      </c>
      <c r="U1600" t="s">
        <v>7252</v>
      </c>
      <c r="V1600" t="s">
        <v>60</v>
      </c>
      <c r="W1600" t="s">
        <v>7253</v>
      </c>
      <c r="X1600" t="s">
        <v>143</v>
      </c>
      <c r="Y1600" t="str">
        <f>"19087       "</f>
        <v xml:space="preserve">19087       </v>
      </c>
    </row>
    <row r="1601" spans="1:25" x14ac:dyDescent="0.25">
      <c r="A1601" t="s">
        <v>7254</v>
      </c>
      <c r="B1601" t="s">
        <v>7255</v>
      </c>
      <c r="C1601">
        <v>2019</v>
      </c>
      <c r="D1601">
        <v>8001</v>
      </c>
      <c r="E1601">
        <v>1</v>
      </c>
      <c r="F1601" t="s">
        <v>7256</v>
      </c>
      <c r="G1601">
        <v>0</v>
      </c>
      <c r="J1601">
        <v>27.63</v>
      </c>
      <c r="L1601">
        <v>43106553</v>
      </c>
      <c r="M1601" s="1">
        <v>43853</v>
      </c>
      <c r="N1601" t="str">
        <f>"L200123"</f>
        <v>L200123</v>
      </c>
      <c r="O1601" t="s">
        <v>28</v>
      </c>
      <c r="Q1601" t="s">
        <v>29</v>
      </c>
      <c r="R1601" t="s">
        <v>28</v>
      </c>
      <c r="S1601" t="s">
        <v>7256</v>
      </c>
      <c r="T1601" t="s">
        <v>60</v>
      </c>
      <c r="U1601" t="s">
        <v>7257</v>
      </c>
      <c r="V1601" t="s">
        <v>60</v>
      </c>
      <c r="W1601" t="s">
        <v>135</v>
      </c>
      <c r="X1601" t="s">
        <v>34</v>
      </c>
      <c r="Y1601" t="str">
        <f>"77027       "</f>
        <v xml:space="preserve">77027       </v>
      </c>
    </row>
    <row r="1602" spans="1:25" x14ac:dyDescent="0.25">
      <c r="A1602" t="s">
        <v>7258</v>
      </c>
      <c r="B1602" t="s">
        <v>7259</v>
      </c>
      <c r="C1602">
        <v>2021</v>
      </c>
      <c r="D1602">
        <v>8001</v>
      </c>
      <c r="E1602">
        <v>1</v>
      </c>
      <c r="F1602" t="s">
        <v>7260</v>
      </c>
      <c r="G1602">
        <v>30572918</v>
      </c>
      <c r="J1602">
        <v>20.83</v>
      </c>
      <c r="L1602">
        <v>48596643</v>
      </c>
      <c r="M1602" s="1">
        <v>44551</v>
      </c>
      <c r="N1602" t="str">
        <f>"RC220116"</f>
        <v>RC220116</v>
      </c>
      <c r="O1602" t="s">
        <v>28</v>
      </c>
      <c r="Q1602" t="s">
        <v>29</v>
      </c>
      <c r="R1602" t="s">
        <v>28</v>
      </c>
      <c r="S1602" t="s">
        <v>7261</v>
      </c>
      <c r="T1602" t="s">
        <v>7262</v>
      </c>
      <c r="U1602" t="s">
        <v>7263</v>
      </c>
      <c r="W1602" t="s">
        <v>5862</v>
      </c>
      <c r="X1602" t="s">
        <v>1248</v>
      </c>
      <c r="Y1602" t="str">
        <f>"328368854"</f>
        <v>328368854</v>
      </c>
    </row>
    <row r="1603" spans="1:25" x14ac:dyDescent="0.25">
      <c r="A1603" t="s">
        <v>7264</v>
      </c>
      <c r="B1603" t="s">
        <v>7265</v>
      </c>
      <c r="C1603">
        <v>2020</v>
      </c>
      <c r="D1603">
        <v>8001</v>
      </c>
      <c r="E1603">
        <v>1</v>
      </c>
      <c r="F1603" t="s">
        <v>7266</v>
      </c>
      <c r="G1603">
        <v>14156</v>
      </c>
      <c r="J1603">
        <v>678.18</v>
      </c>
      <c r="L1603">
        <v>45389677</v>
      </c>
      <c r="M1603" s="1">
        <v>44186</v>
      </c>
      <c r="N1603" t="str">
        <f>"P201221E1"</f>
        <v>P201221E1</v>
      </c>
      <c r="O1603" t="s">
        <v>28</v>
      </c>
      <c r="Q1603" t="s">
        <v>29</v>
      </c>
      <c r="R1603" t="s">
        <v>28</v>
      </c>
      <c r="S1603" t="s">
        <v>7267</v>
      </c>
      <c r="T1603" t="s">
        <v>3057</v>
      </c>
      <c r="V1603" t="s">
        <v>7268</v>
      </c>
      <c r="Y1603" t="str">
        <f>""</f>
        <v/>
      </c>
    </row>
    <row r="1604" spans="1:25" x14ac:dyDescent="0.25">
      <c r="A1604" t="s">
        <v>7269</v>
      </c>
      <c r="B1604" t="s">
        <v>7270</v>
      </c>
      <c r="C1604">
        <v>2020</v>
      </c>
      <c r="D1604">
        <v>8001</v>
      </c>
      <c r="E1604">
        <v>3</v>
      </c>
      <c r="F1604" t="s">
        <v>7271</v>
      </c>
      <c r="G1604">
        <v>24580569</v>
      </c>
      <c r="J1604">
        <v>800</v>
      </c>
      <c r="L1604">
        <v>46583027</v>
      </c>
      <c r="M1604" s="1">
        <v>44228</v>
      </c>
      <c r="N1604" t="str">
        <f>"RC210301"</f>
        <v>RC210301</v>
      </c>
      <c r="O1604" t="s">
        <v>28</v>
      </c>
      <c r="Q1604" t="s">
        <v>29</v>
      </c>
      <c r="R1604" t="s">
        <v>28</v>
      </c>
      <c r="S1604" t="s">
        <v>7272</v>
      </c>
      <c r="T1604" t="s">
        <v>7273</v>
      </c>
      <c r="W1604" t="s">
        <v>226</v>
      </c>
      <c r="X1604" t="s">
        <v>227</v>
      </c>
      <c r="Y1604" t="str">
        <f>"85258"</f>
        <v>85258</v>
      </c>
    </row>
    <row r="1605" spans="1:25" x14ac:dyDescent="0.25">
      <c r="A1605" t="s">
        <v>7274</v>
      </c>
      <c r="B1605" t="s">
        <v>7275</v>
      </c>
      <c r="C1605">
        <v>2019</v>
      </c>
      <c r="D1605">
        <v>8001</v>
      </c>
      <c r="E1605">
        <v>1</v>
      </c>
      <c r="F1605" t="s">
        <v>7276</v>
      </c>
      <c r="G1605">
        <v>0</v>
      </c>
      <c r="J1605">
        <v>8.41</v>
      </c>
      <c r="L1605">
        <v>44130013</v>
      </c>
      <c r="M1605" s="1">
        <v>43956</v>
      </c>
      <c r="N1605" t="str">
        <f>"J200505AW1"</f>
        <v>J200505AW1</v>
      </c>
      <c r="O1605" t="s">
        <v>28</v>
      </c>
      <c r="Q1605" t="s">
        <v>29</v>
      </c>
      <c r="R1605" t="s">
        <v>28</v>
      </c>
      <c r="S1605" t="s">
        <v>7276</v>
      </c>
      <c r="T1605" t="s">
        <v>60</v>
      </c>
      <c r="U1605" t="s">
        <v>7277</v>
      </c>
      <c r="V1605" t="s">
        <v>60</v>
      </c>
      <c r="W1605" t="s">
        <v>7278</v>
      </c>
      <c r="X1605" t="s">
        <v>143</v>
      </c>
      <c r="Y1605" t="str">
        <f>"16637       "</f>
        <v xml:space="preserve">16637       </v>
      </c>
    </row>
    <row r="1606" spans="1:25" x14ac:dyDescent="0.25">
      <c r="A1606" t="s">
        <v>7279</v>
      </c>
      <c r="B1606" t="s">
        <v>7280</v>
      </c>
      <c r="C1606">
        <v>2021</v>
      </c>
      <c r="D1606">
        <v>8001</v>
      </c>
      <c r="E1606">
        <v>1</v>
      </c>
      <c r="F1606" t="s">
        <v>7281</v>
      </c>
      <c r="G1606">
        <v>31114955</v>
      </c>
      <c r="J1606">
        <v>164.77</v>
      </c>
      <c r="L1606">
        <v>49813804</v>
      </c>
      <c r="M1606" s="1">
        <v>44593</v>
      </c>
      <c r="N1606" t="str">
        <f>"RC220309"</f>
        <v>RC220309</v>
      </c>
      <c r="O1606" t="s">
        <v>28</v>
      </c>
      <c r="Q1606" t="s">
        <v>29</v>
      </c>
      <c r="R1606" t="s">
        <v>28</v>
      </c>
      <c r="S1606" t="s">
        <v>7282</v>
      </c>
      <c r="T1606" t="s">
        <v>7283</v>
      </c>
      <c r="W1606" t="s">
        <v>7284</v>
      </c>
      <c r="X1606" t="s">
        <v>317</v>
      </c>
      <c r="Y1606" t="str">
        <f>"958352325"</f>
        <v>958352325</v>
      </c>
    </row>
    <row r="1607" spans="1:25" x14ac:dyDescent="0.25">
      <c r="A1607" t="s">
        <v>7285</v>
      </c>
      <c r="B1607" t="s">
        <v>7286</v>
      </c>
      <c r="C1607">
        <v>2020</v>
      </c>
      <c r="D1607">
        <v>8001</v>
      </c>
      <c r="E1607">
        <v>2</v>
      </c>
      <c r="F1607" t="s">
        <v>7287</v>
      </c>
      <c r="G1607">
        <v>26391936</v>
      </c>
      <c r="J1607">
        <v>16.84</v>
      </c>
      <c r="L1607">
        <v>47374794</v>
      </c>
      <c r="M1607" s="1">
        <v>44322</v>
      </c>
      <c r="N1607" t="str">
        <f>"RC210512"</f>
        <v>RC210512</v>
      </c>
      <c r="O1607" t="s">
        <v>28</v>
      </c>
      <c r="Q1607" t="s">
        <v>29</v>
      </c>
      <c r="R1607" t="s">
        <v>28</v>
      </c>
      <c r="S1607" t="s">
        <v>1699</v>
      </c>
      <c r="T1607" t="s">
        <v>562</v>
      </c>
      <c r="W1607" t="s">
        <v>563</v>
      </c>
      <c r="X1607" t="s">
        <v>34</v>
      </c>
      <c r="Y1607" t="str">
        <f>"750630156"</f>
        <v>750630156</v>
      </c>
    </row>
    <row r="1608" spans="1:25" x14ac:dyDescent="0.25">
      <c r="A1608" t="s">
        <v>7288</v>
      </c>
      <c r="B1608" t="s">
        <v>7289</v>
      </c>
      <c r="C1608">
        <v>2020</v>
      </c>
      <c r="D1608">
        <v>8001</v>
      </c>
      <c r="E1608">
        <v>2</v>
      </c>
      <c r="F1608" t="s">
        <v>7290</v>
      </c>
      <c r="G1608">
        <v>25594898</v>
      </c>
      <c r="J1608">
        <v>23.86</v>
      </c>
      <c r="L1608">
        <v>47046506</v>
      </c>
      <c r="M1608" s="1">
        <v>44260</v>
      </c>
      <c r="N1608" t="str">
        <f>"RC210310"</f>
        <v>RC210310</v>
      </c>
      <c r="O1608" t="s">
        <v>28</v>
      </c>
      <c r="Q1608" t="s">
        <v>29</v>
      </c>
      <c r="R1608" t="s">
        <v>28</v>
      </c>
      <c r="S1608" t="s">
        <v>1699</v>
      </c>
      <c r="T1608" t="s">
        <v>1069</v>
      </c>
      <c r="U1608" t="s">
        <v>1015</v>
      </c>
      <c r="W1608" t="s">
        <v>563</v>
      </c>
      <c r="X1608" t="s">
        <v>34</v>
      </c>
      <c r="Y1608" t="str">
        <f>"75063"</f>
        <v>75063</v>
      </c>
    </row>
    <row r="1609" spans="1:25" x14ac:dyDescent="0.25">
      <c r="A1609" t="s">
        <v>7291</v>
      </c>
      <c r="B1609" t="s">
        <v>7292</v>
      </c>
      <c r="C1609">
        <v>2020</v>
      </c>
      <c r="D1609">
        <v>8001</v>
      </c>
      <c r="E1609">
        <v>2</v>
      </c>
      <c r="F1609" t="s">
        <v>7293</v>
      </c>
      <c r="G1609">
        <v>29612630</v>
      </c>
      <c r="J1609">
        <v>15</v>
      </c>
      <c r="L1609">
        <v>47049350</v>
      </c>
      <c r="M1609" s="1">
        <v>44263</v>
      </c>
      <c r="N1609" t="str">
        <f>"O210308AM1"</f>
        <v>O210308AM1</v>
      </c>
      <c r="O1609" t="s">
        <v>28</v>
      </c>
      <c r="Q1609" t="s">
        <v>29</v>
      </c>
      <c r="R1609" t="s">
        <v>28</v>
      </c>
      <c r="S1609" t="s">
        <v>561</v>
      </c>
      <c r="T1609" t="s">
        <v>562</v>
      </c>
      <c r="W1609" t="s">
        <v>563</v>
      </c>
      <c r="X1609" t="s">
        <v>34</v>
      </c>
      <c r="Y1609" t="str">
        <f>"750630156"</f>
        <v>750630156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Y1598"/>
  <sheetViews>
    <sheetView workbookViewId="0">
      <selection activeCell="F2" sqref="F2:F1598"/>
    </sheetView>
  </sheetViews>
  <sheetFormatPr defaultRowHeight="15" x14ac:dyDescent="0.25"/>
  <cols>
    <col min="1" max="1" width="24.140625" bestFit="1" customWidth="1"/>
    <col min="2" max="2" width="23.28515625" bestFit="1" customWidth="1"/>
    <col min="3" max="3" width="5.28515625" bestFit="1" customWidth="1"/>
    <col min="4" max="4" width="9.28515625" bestFit="1" customWidth="1"/>
    <col min="5" max="5" width="8.42578125" bestFit="1" customWidth="1"/>
    <col min="6" max="6" width="42.7109375" bestFit="1" customWidth="1"/>
    <col min="7" max="7" width="9" bestFit="1" customWidth="1"/>
    <col min="8" max="8" width="12.140625" bestFit="1" customWidth="1"/>
    <col min="9" max="9" width="12.42578125" bestFit="1" customWidth="1"/>
    <col min="11" max="11" width="18.42578125" bestFit="1" customWidth="1"/>
    <col min="12" max="12" width="11" bestFit="1" customWidth="1"/>
    <col min="13" max="14" width="12.85546875" bestFit="1" customWidth="1"/>
    <col min="15" max="15" width="9.42578125" bestFit="1" customWidth="1"/>
    <col min="16" max="16" width="4.85546875" bestFit="1" customWidth="1"/>
    <col min="17" max="17" width="9.5703125" bestFit="1" customWidth="1"/>
    <col min="18" max="18" width="8.5703125" bestFit="1" customWidth="1"/>
    <col min="19" max="19" width="47.140625" bestFit="1" customWidth="1"/>
    <col min="20" max="20" width="45.28515625" bestFit="1" customWidth="1"/>
    <col min="21" max="21" width="38.28515625" bestFit="1" customWidth="1"/>
    <col min="22" max="22" width="34.28515625" bestFit="1" customWidth="1"/>
    <col min="23" max="23" width="22.85546875" bestFit="1" customWidth="1"/>
    <col min="24" max="24" width="17.85546875" bestFit="1" customWidth="1"/>
    <col min="25" max="25" width="16.28515625" bestFit="1" customWidth="1"/>
  </cols>
  <sheetData>
    <row r="1" spans="1:2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 x14ac:dyDescent="0.25">
      <c r="A2" t="s">
        <v>25</v>
      </c>
      <c r="B2" t="s">
        <v>26</v>
      </c>
      <c r="C2">
        <v>2019</v>
      </c>
      <c r="D2">
        <v>8001</v>
      </c>
      <c r="E2">
        <v>1</v>
      </c>
      <c r="F2" t="s">
        <v>27</v>
      </c>
      <c r="G2">
        <v>28585537</v>
      </c>
      <c r="J2">
        <v>56.06</v>
      </c>
      <c r="L2">
        <v>44418809</v>
      </c>
      <c r="M2" s="1">
        <v>44034</v>
      </c>
      <c r="N2" t="str">
        <f>"J200722U4"</f>
        <v>J200722U4</v>
      </c>
      <c r="O2" t="s">
        <v>28</v>
      </c>
      <c r="Q2" t="s">
        <v>29</v>
      </c>
      <c r="R2" t="s">
        <v>28</v>
      </c>
      <c r="S2" t="s">
        <v>30</v>
      </c>
      <c r="T2" t="s">
        <v>31</v>
      </c>
      <c r="U2" t="s">
        <v>32</v>
      </c>
      <c r="W2" t="s">
        <v>33</v>
      </c>
      <c r="X2" t="s">
        <v>34</v>
      </c>
      <c r="Y2" t="str">
        <f>"75093"</f>
        <v>75093</v>
      </c>
    </row>
    <row r="3" spans="1:25" x14ac:dyDescent="0.25">
      <c r="A3" t="s">
        <v>35</v>
      </c>
      <c r="B3" t="s">
        <v>36</v>
      </c>
      <c r="C3">
        <v>2020</v>
      </c>
      <c r="D3">
        <v>8001</v>
      </c>
      <c r="E3">
        <v>2</v>
      </c>
      <c r="F3" t="s">
        <v>37</v>
      </c>
      <c r="G3">
        <v>29719076</v>
      </c>
      <c r="J3">
        <v>6.81</v>
      </c>
      <c r="L3">
        <v>47246365</v>
      </c>
      <c r="M3" s="1">
        <v>44291</v>
      </c>
      <c r="N3" t="str">
        <f>"EK210405"</f>
        <v>EK210405</v>
      </c>
      <c r="O3" t="s">
        <v>28</v>
      </c>
      <c r="Q3" t="s">
        <v>29</v>
      </c>
      <c r="R3" t="s">
        <v>28</v>
      </c>
      <c r="S3" t="s">
        <v>38</v>
      </c>
      <c r="T3" t="s">
        <v>39</v>
      </c>
      <c r="W3" t="s">
        <v>40</v>
      </c>
      <c r="X3" t="s">
        <v>34</v>
      </c>
      <c r="Y3" t="str">
        <f>"77479"</f>
        <v>77479</v>
      </c>
    </row>
    <row r="4" spans="1:25" x14ac:dyDescent="0.25">
      <c r="A4" t="s">
        <v>41</v>
      </c>
      <c r="B4" t="s">
        <v>42</v>
      </c>
      <c r="C4">
        <v>2020</v>
      </c>
      <c r="D4">
        <v>8001</v>
      </c>
      <c r="E4">
        <v>1</v>
      </c>
      <c r="F4" t="s">
        <v>43</v>
      </c>
      <c r="G4">
        <v>29489533</v>
      </c>
      <c r="J4">
        <v>191.76</v>
      </c>
      <c r="L4">
        <v>46782232</v>
      </c>
      <c r="M4" s="1">
        <v>44231</v>
      </c>
      <c r="N4" t="str">
        <f>"CC210204"</f>
        <v>CC210204</v>
      </c>
      <c r="O4" t="s">
        <v>28</v>
      </c>
      <c r="Q4" t="s">
        <v>29</v>
      </c>
      <c r="R4" t="s">
        <v>28</v>
      </c>
      <c r="S4" t="s">
        <v>44</v>
      </c>
      <c r="T4" t="s">
        <v>45</v>
      </c>
      <c r="W4" t="s">
        <v>46</v>
      </c>
      <c r="X4" t="s">
        <v>34</v>
      </c>
      <c r="Y4" t="str">
        <f>"77430"</f>
        <v>77430</v>
      </c>
    </row>
    <row r="5" spans="1:25" x14ac:dyDescent="0.25">
      <c r="A5" t="s">
        <v>47</v>
      </c>
      <c r="B5" t="s">
        <v>48</v>
      </c>
      <c r="C5">
        <v>2020</v>
      </c>
      <c r="D5">
        <v>8001</v>
      </c>
      <c r="E5">
        <v>1</v>
      </c>
      <c r="F5" t="s">
        <v>43</v>
      </c>
      <c r="G5">
        <v>29489534</v>
      </c>
      <c r="J5">
        <v>48.02</v>
      </c>
      <c r="L5">
        <v>46782233</v>
      </c>
      <c r="M5" s="1">
        <v>44231</v>
      </c>
      <c r="N5" t="str">
        <f>"CC210204"</f>
        <v>CC210204</v>
      </c>
      <c r="O5" t="s">
        <v>28</v>
      </c>
      <c r="Q5" t="s">
        <v>29</v>
      </c>
      <c r="R5" t="s">
        <v>28</v>
      </c>
      <c r="S5" t="s">
        <v>44</v>
      </c>
      <c r="T5" t="s">
        <v>45</v>
      </c>
      <c r="W5" t="s">
        <v>46</v>
      </c>
      <c r="X5" t="s">
        <v>34</v>
      </c>
      <c r="Y5" t="str">
        <f>"77430"</f>
        <v>77430</v>
      </c>
    </row>
    <row r="6" spans="1:25" x14ac:dyDescent="0.25">
      <c r="A6" t="s">
        <v>49</v>
      </c>
      <c r="B6" t="s">
        <v>50</v>
      </c>
      <c r="C6">
        <v>2020</v>
      </c>
      <c r="D6">
        <v>8001</v>
      </c>
      <c r="E6">
        <v>1</v>
      </c>
      <c r="F6" t="s">
        <v>43</v>
      </c>
      <c r="G6">
        <v>29489537</v>
      </c>
      <c r="J6">
        <v>6.83</v>
      </c>
      <c r="L6">
        <v>46782236</v>
      </c>
      <c r="M6" s="1">
        <v>44231</v>
      </c>
      <c r="N6" t="str">
        <f>"CC210204"</f>
        <v>CC210204</v>
      </c>
      <c r="O6" t="s">
        <v>28</v>
      </c>
      <c r="Q6" t="s">
        <v>29</v>
      </c>
      <c r="R6" t="s">
        <v>28</v>
      </c>
      <c r="S6" t="s">
        <v>44</v>
      </c>
      <c r="T6" t="s">
        <v>45</v>
      </c>
      <c r="W6" t="s">
        <v>46</v>
      </c>
      <c r="X6" t="s">
        <v>34</v>
      </c>
      <c r="Y6" t="str">
        <f>"77430"</f>
        <v>77430</v>
      </c>
    </row>
    <row r="7" spans="1:25" x14ac:dyDescent="0.25">
      <c r="A7" t="s">
        <v>51</v>
      </c>
      <c r="B7" t="s">
        <v>52</v>
      </c>
      <c r="C7">
        <v>2020</v>
      </c>
      <c r="D7">
        <v>8001</v>
      </c>
      <c r="E7">
        <v>1</v>
      </c>
      <c r="F7" t="s">
        <v>53</v>
      </c>
      <c r="G7">
        <v>29461689</v>
      </c>
      <c r="J7">
        <v>124.84</v>
      </c>
      <c r="L7">
        <v>46728689</v>
      </c>
      <c r="M7" s="1">
        <v>44230</v>
      </c>
      <c r="N7" t="str">
        <f>"EK210203"</f>
        <v>EK210203</v>
      </c>
      <c r="O7" t="s">
        <v>28</v>
      </c>
      <c r="Q7" t="s">
        <v>29</v>
      </c>
      <c r="R7" t="s">
        <v>28</v>
      </c>
      <c r="S7" t="s">
        <v>54</v>
      </c>
      <c r="T7" t="s">
        <v>55</v>
      </c>
      <c r="W7" t="s">
        <v>40</v>
      </c>
      <c r="X7" t="s">
        <v>34</v>
      </c>
      <c r="Y7" t="str">
        <f>"77479"</f>
        <v>77479</v>
      </c>
    </row>
    <row r="8" spans="1:25" x14ac:dyDescent="0.25">
      <c r="A8" t="s">
        <v>56</v>
      </c>
      <c r="B8" t="s">
        <v>57</v>
      </c>
      <c r="C8">
        <v>2021</v>
      </c>
      <c r="D8">
        <v>8001</v>
      </c>
      <c r="E8">
        <v>1</v>
      </c>
      <c r="F8" t="s">
        <v>58</v>
      </c>
      <c r="G8">
        <v>0</v>
      </c>
      <c r="J8">
        <v>16.41</v>
      </c>
      <c r="L8">
        <v>49142906</v>
      </c>
      <c r="M8" s="1">
        <v>44573</v>
      </c>
      <c r="N8" t="str">
        <f>"O220112AO1"</f>
        <v>O220112AO1</v>
      </c>
      <c r="O8" t="s">
        <v>28</v>
      </c>
      <c r="Q8" t="s">
        <v>29</v>
      </c>
      <c r="R8" t="s">
        <v>28</v>
      </c>
      <c r="S8" t="s">
        <v>58</v>
      </c>
      <c r="T8" t="s">
        <v>59</v>
      </c>
      <c r="U8" t="s">
        <v>60</v>
      </c>
      <c r="V8" t="s">
        <v>60</v>
      </c>
      <c r="W8" t="s">
        <v>61</v>
      </c>
      <c r="X8" t="s">
        <v>34</v>
      </c>
      <c r="Y8" t="str">
        <f>"774859689   "</f>
        <v xml:space="preserve">774859689   </v>
      </c>
    </row>
    <row r="9" spans="1:25" x14ac:dyDescent="0.25">
      <c r="A9" t="s">
        <v>62</v>
      </c>
      <c r="B9" t="s">
        <v>63</v>
      </c>
      <c r="C9">
        <v>2019</v>
      </c>
      <c r="D9">
        <v>8001</v>
      </c>
      <c r="E9">
        <v>2</v>
      </c>
      <c r="F9" t="s">
        <v>64</v>
      </c>
      <c r="G9">
        <v>28317461</v>
      </c>
      <c r="J9">
        <v>247.73</v>
      </c>
      <c r="L9">
        <v>43909356</v>
      </c>
      <c r="M9" s="1">
        <v>43899</v>
      </c>
      <c r="N9" t="str">
        <f>"J200309AW5"</f>
        <v>J200309AW5</v>
      </c>
      <c r="O9" t="s">
        <v>28</v>
      </c>
      <c r="Q9" t="s">
        <v>29</v>
      </c>
      <c r="R9" t="s">
        <v>28</v>
      </c>
      <c r="S9" t="s">
        <v>65</v>
      </c>
      <c r="U9" t="s">
        <v>66</v>
      </c>
      <c r="V9" t="s">
        <v>67</v>
      </c>
      <c r="W9" t="s">
        <v>68</v>
      </c>
      <c r="X9" t="s">
        <v>69</v>
      </c>
      <c r="Y9" t="str">
        <f>"29601"</f>
        <v>29601</v>
      </c>
    </row>
    <row r="10" spans="1:25" x14ac:dyDescent="0.25">
      <c r="A10" t="s">
        <v>70</v>
      </c>
      <c r="B10" t="s">
        <v>71</v>
      </c>
      <c r="C10">
        <v>2021</v>
      </c>
      <c r="D10">
        <v>8001</v>
      </c>
      <c r="E10">
        <v>1</v>
      </c>
      <c r="F10" t="s">
        <v>72</v>
      </c>
      <c r="G10">
        <v>31007930</v>
      </c>
      <c r="J10" s="2">
        <v>3221.52</v>
      </c>
      <c r="L10">
        <v>49219508</v>
      </c>
      <c r="M10" s="1">
        <v>44575</v>
      </c>
      <c r="N10" t="str">
        <f>"RC220221"</f>
        <v>RC220221</v>
      </c>
      <c r="O10" t="s">
        <v>28</v>
      </c>
      <c r="Q10" t="s">
        <v>29</v>
      </c>
      <c r="R10" t="s">
        <v>28</v>
      </c>
      <c r="S10" t="s">
        <v>73</v>
      </c>
      <c r="T10" t="s">
        <v>74</v>
      </c>
      <c r="W10" t="s">
        <v>75</v>
      </c>
      <c r="X10" t="s">
        <v>34</v>
      </c>
      <c r="Y10" t="str">
        <f>"77036-1542"</f>
        <v>77036-1542</v>
      </c>
    </row>
    <row r="11" spans="1:25" x14ac:dyDescent="0.25">
      <c r="A11" t="s">
        <v>76</v>
      </c>
      <c r="B11" t="s">
        <v>77</v>
      </c>
      <c r="C11">
        <v>2021</v>
      </c>
      <c r="D11">
        <v>8001</v>
      </c>
      <c r="E11">
        <v>1</v>
      </c>
      <c r="F11" t="s">
        <v>78</v>
      </c>
      <c r="G11">
        <v>25607113</v>
      </c>
      <c r="J11">
        <v>255.7</v>
      </c>
      <c r="L11">
        <v>47543263</v>
      </c>
      <c r="M11" s="1">
        <v>44516</v>
      </c>
      <c r="N11" t="str">
        <f>"TE211116"</f>
        <v>TE211116</v>
      </c>
      <c r="O11" t="s">
        <v>28</v>
      </c>
      <c r="Q11" t="s">
        <v>29</v>
      </c>
      <c r="R11" t="s">
        <v>28</v>
      </c>
      <c r="S11" t="s">
        <v>79</v>
      </c>
      <c r="T11" t="s">
        <v>80</v>
      </c>
      <c r="W11" t="s">
        <v>81</v>
      </c>
      <c r="X11" t="s">
        <v>34</v>
      </c>
      <c r="Y11" t="str">
        <f>"774069802"</f>
        <v>774069802</v>
      </c>
    </row>
    <row r="12" spans="1:25" x14ac:dyDescent="0.25">
      <c r="A12" t="s">
        <v>82</v>
      </c>
      <c r="B12" t="s">
        <v>83</v>
      </c>
      <c r="C12">
        <v>2019</v>
      </c>
      <c r="D12">
        <v>8001</v>
      </c>
      <c r="E12">
        <v>2</v>
      </c>
      <c r="F12" t="s">
        <v>84</v>
      </c>
      <c r="G12">
        <v>28267645</v>
      </c>
      <c r="J12" s="2">
        <v>4143.6499999999996</v>
      </c>
      <c r="L12">
        <v>44283329</v>
      </c>
      <c r="M12" s="1">
        <v>43987</v>
      </c>
      <c r="N12" t="str">
        <f>"J200605K2"</f>
        <v>J200605K2</v>
      </c>
      <c r="O12" t="s">
        <v>28</v>
      </c>
      <c r="Q12" t="s">
        <v>29</v>
      </c>
      <c r="R12" t="s">
        <v>28</v>
      </c>
      <c r="S12" t="s">
        <v>85</v>
      </c>
      <c r="T12" t="s">
        <v>86</v>
      </c>
      <c r="U12" t="s">
        <v>87</v>
      </c>
      <c r="W12" t="s">
        <v>75</v>
      </c>
      <c r="X12" t="s">
        <v>34</v>
      </c>
      <c r="Y12" t="str">
        <f>"770243829"</f>
        <v>770243829</v>
      </c>
    </row>
    <row r="13" spans="1:25" x14ac:dyDescent="0.25">
      <c r="A13" t="s">
        <v>88</v>
      </c>
      <c r="B13" t="s">
        <v>89</v>
      </c>
      <c r="C13">
        <v>2019</v>
      </c>
      <c r="D13">
        <v>8001</v>
      </c>
      <c r="E13">
        <v>1</v>
      </c>
      <c r="F13" t="s">
        <v>90</v>
      </c>
      <c r="G13">
        <v>0</v>
      </c>
      <c r="J13">
        <v>37.96</v>
      </c>
      <c r="L13">
        <v>44048873</v>
      </c>
      <c r="M13" s="1">
        <v>43930</v>
      </c>
      <c r="N13" t="str">
        <f>"J200409F13"</f>
        <v>J200409F13</v>
      </c>
      <c r="O13" t="s">
        <v>28</v>
      </c>
      <c r="Q13" t="s">
        <v>29</v>
      </c>
      <c r="R13" t="s">
        <v>28</v>
      </c>
      <c r="S13" t="s">
        <v>90</v>
      </c>
      <c r="T13" t="s">
        <v>91</v>
      </c>
      <c r="U13" t="s">
        <v>60</v>
      </c>
      <c r="V13" t="s">
        <v>60</v>
      </c>
      <c r="W13" t="s">
        <v>92</v>
      </c>
      <c r="X13" t="s">
        <v>34</v>
      </c>
      <c r="Y13" t="str">
        <f>"786136856   "</f>
        <v xml:space="preserve">786136856   </v>
      </c>
    </row>
    <row r="14" spans="1:25" x14ac:dyDescent="0.25">
      <c r="A14" t="s">
        <v>93</v>
      </c>
      <c r="B14" t="s">
        <v>94</v>
      </c>
      <c r="C14">
        <v>2019</v>
      </c>
      <c r="D14">
        <v>8001</v>
      </c>
      <c r="E14">
        <v>1</v>
      </c>
      <c r="F14" t="s">
        <v>95</v>
      </c>
      <c r="G14">
        <v>0</v>
      </c>
      <c r="J14">
        <v>24.22</v>
      </c>
      <c r="L14">
        <v>43914998</v>
      </c>
      <c r="M14" s="1">
        <v>43900</v>
      </c>
      <c r="N14" t="str">
        <f>"J200310AW2"</f>
        <v>J200310AW2</v>
      </c>
      <c r="O14" t="s">
        <v>28</v>
      </c>
      <c r="Q14" t="s">
        <v>29</v>
      </c>
      <c r="R14" t="s">
        <v>28</v>
      </c>
      <c r="S14" t="s">
        <v>96</v>
      </c>
      <c r="T14" t="s">
        <v>97</v>
      </c>
      <c r="U14" t="s">
        <v>60</v>
      </c>
      <c r="V14" t="s">
        <v>60</v>
      </c>
      <c r="W14" t="s">
        <v>98</v>
      </c>
      <c r="X14" t="s">
        <v>34</v>
      </c>
      <c r="Y14" t="str">
        <f>"774610609   "</f>
        <v xml:space="preserve">774610609   </v>
      </c>
    </row>
    <row r="15" spans="1:25" x14ac:dyDescent="0.25">
      <c r="A15" t="s">
        <v>99</v>
      </c>
      <c r="B15" t="s">
        <v>100</v>
      </c>
      <c r="C15">
        <v>2019</v>
      </c>
      <c r="D15">
        <v>8001</v>
      </c>
      <c r="E15">
        <v>1</v>
      </c>
      <c r="F15" t="s">
        <v>101</v>
      </c>
      <c r="G15">
        <v>0</v>
      </c>
      <c r="J15">
        <v>11.98</v>
      </c>
      <c r="L15">
        <v>43914999</v>
      </c>
      <c r="M15" s="1">
        <v>43900</v>
      </c>
      <c r="N15" t="str">
        <f>"J200310AW2"</f>
        <v>J200310AW2</v>
      </c>
      <c r="O15" t="s">
        <v>28</v>
      </c>
      <c r="Q15" t="s">
        <v>29</v>
      </c>
      <c r="R15" t="s">
        <v>28</v>
      </c>
      <c r="S15" t="s">
        <v>96</v>
      </c>
      <c r="T15" t="s">
        <v>97</v>
      </c>
      <c r="U15" t="s">
        <v>60</v>
      </c>
      <c r="V15" t="s">
        <v>60</v>
      </c>
      <c r="W15" t="s">
        <v>98</v>
      </c>
      <c r="X15" t="s">
        <v>34</v>
      </c>
      <c r="Y15" t="str">
        <f>"774610609   "</f>
        <v xml:space="preserve">774610609   </v>
      </c>
    </row>
    <row r="16" spans="1:25" x14ac:dyDescent="0.25">
      <c r="A16" t="s">
        <v>102</v>
      </c>
      <c r="B16" t="s">
        <v>103</v>
      </c>
      <c r="C16">
        <v>2021</v>
      </c>
      <c r="D16">
        <v>8001</v>
      </c>
      <c r="E16">
        <v>1</v>
      </c>
      <c r="F16" t="s">
        <v>104</v>
      </c>
      <c r="G16">
        <v>31007931</v>
      </c>
      <c r="J16">
        <v>6.16</v>
      </c>
      <c r="L16">
        <v>49135346</v>
      </c>
      <c r="M16" s="1">
        <v>44573</v>
      </c>
      <c r="N16" t="str">
        <f>"RC220221"</f>
        <v>RC220221</v>
      </c>
      <c r="O16" t="s">
        <v>28</v>
      </c>
      <c r="Q16" t="s">
        <v>29</v>
      </c>
      <c r="R16" t="s">
        <v>28</v>
      </c>
      <c r="S16" t="s">
        <v>105</v>
      </c>
      <c r="T16" t="s">
        <v>106</v>
      </c>
      <c r="W16" t="s">
        <v>107</v>
      </c>
      <c r="X16" t="s">
        <v>34</v>
      </c>
      <c r="Y16" t="str">
        <f>"77449-0000"</f>
        <v>77449-0000</v>
      </c>
    </row>
    <row r="17" spans="1:25" x14ac:dyDescent="0.25">
      <c r="A17" t="s">
        <v>108</v>
      </c>
      <c r="B17" t="s">
        <v>109</v>
      </c>
      <c r="C17">
        <v>2021</v>
      </c>
      <c r="D17">
        <v>8001</v>
      </c>
      <c r="E17">
        <v>1</v>
      </c>
      <c r="F17" t="s">
        <v>110</v>
      </c>
      <c r="G17">
        <v>30496501</v>
      </c>
      <c r="J17" s="2">
        <v>3056.3</v>
      </c>
      <c r="L17">
        <v>49047072</v>
      </c>
      <c r="M17" s="1">
        <v>44571</v>
      </c>
      <c r="N17" t="str">
        <f>"EK220110"</f>
        <v>EK220110</v>
      </c>
      <c r="O17" t="s">
        <v>28</v>
      </c>
      <c r="Q17" t="s">
        <v>29</v>
      </c>
      <c r="R17" t="s">
        <v>28</v>
      </c>
      <c r="S17" t="s">
        <v>110</v>
      </c>
      <c r="T17" t="s">
        <v>111</v>
      </c>
      <c r="W17" t="s">
        <v>112</v>
      </c>
      <c r="X17" t="s">
        <v>34</v>
      </c>
      <c r="Y17" t="str">
        <f>"774781409"</f>
        <v>774781409</v>
      </c>
    </row>
    <row r="18" spans="1:25" x14ac:dyDescent="0.25">
      <c r="A18" t="s">
        <v>113</v>
      </c>
      <c r="B18" t="s">
        <v>114</v>
      </c>
      <c r="C18">
        <v>2020</v>
      </c>
      <c r="D18">
        <v>8001</v>
      </c>
      <c r="E18">
        <v>4</v>
      </c>
      <c r="F18" t="s">
        <v>115</v>
      </c>
      <c r="G18">
        <v>27605521</v>
      </c>
      <c r="J18">
        <v>22.61</v>
      </c>
      <c r="L18">
        <v>47559340</v>
      </c>
      <c r="M18" s="1">
        <v>44375</v>
      </c>
      <c r="N18" t="str">
        <f>"O210628BV9"</f>
        <v>O210628BV9</v>
      </c>
      <c r="O18" t="s">
        <v>28</v>
      </c>
      <c r="Q18" t="s">
        <v>29</v>
      </c>
      <c r="R18" t="s">
        <v>28</v>
      </c>
      <c r="S18" t="s">
        <v>116</v>
      </c>
      <c r="T18" t="s">
        <v>117</v>
      </c>
      <c r="W18" t="s">
        <v>107</v>
      </c>
      <c r="X18" t="s">
        <v>34</v>
      </c>
      <c r="Y18" t="str">
        <f>"774491478"</f>
        <v>774491478</v>
      </c>
    </row>
    <row r="19" spans="1:25" x14ac:dyDescent="0.25">
      <c r="A19" t="s">
        <v>118</v>
      </c>
      <c r="B19" t="s">
        <v>119</v>
      </c>
      <c r="C19">
        <v>2020</v>
      </c>
      <c r="D19">
        <v>8001</v>
      </c>
      <c r="E19">
        <v>1</v>
      </c>
      <c r="F19" t="s">
        <v>120</v>
      </c>
      <c r="G19">
        <v>0</v>
      </c>
      <c r="J19">
        <v>50.17</v>
      </c>
      <c r="L19">
        <v>47251243</v>
      </c>
      <c r="M19" s="1">
        <v>44292</v>
      </c>
      <c r="N19" t="str">
        <f>"J210406K1"</f>
        <v>J210406K1</v>
      </c>
      <c r="O19" t="s">
        <v>28</v>
      </c>
      <c r="Q19" t="s">
        <v>29</v>
      </c>
      <c r="R19" t="s">
        <v>28</v>
      </c>
      <c r="S19" t="s">
        <v>120</v>
      </c>
      <c r="T19" t="s">
        <v>121</v>
      </c>
      <c r="U19" t="s">
        <v>60</v>
      </c>
      <c r="V19" t="s">
        <v>60</v>
      </c>
      <c r="W19" t="s">
        <v>122</v>
      </c>
      <c r="X19" t="s">
        <v>123</v>
      </c>
      <c r="Y19" t="str">
        <f>"463424104   "</f>
        <v xml:space="preserve">463424104   </v>
      </c>
    </row>
    <row r="20" spans="1:25" x14ac:dyDescent="0.25">
      <c r="A20" t="s">
        <v>124</v>
      </c>
      <c r="B20" t="s">
        <v>125</v>
      </c>
      <c r="C20">
        <v>2020</v>
      </c>
      <c r="D20">
        <v>8001</v>
      </c>
      <c r="E20">
        <v>1</v>
      </c>
      <c r="F20" t="s">
        <v>126</v>
      </c>
      <c r="G20">
        <v>28797268</v>
      </c>
      <c r="J20">
        <v>128.13999999999999</v>
      </c>
      <c r="L20">
        <v>44937522</v>
      </c>
      <c r="M20" s="1">
        <v>44154</v>
      </c>
      <c r="N20" t="str">
        <f>"O201119BD1"</f>
        <v>O201119BD1</v>
      </c>
      <c r="O20" t="s">
        <v>28</v>
      </c>
      <c r="Q20" t="s">
        <v>29</v>
      </c>
      <c r="R20" t="s">
        <v>28</v>
      </c>
      <c r="S20" t="s">
        <v>127</v>
      </c>
      <c r="T20" t="s">
        <v>128</v>
      </c>
      <c r="U20" t="s">
        <v>129</v>
      </c>
      <c r="W20" t="s">
        <v>130</v>
      </c>
      <c r="X20" t="s">
        <v>34</v>
      </c>
      <c r="Y20" t="str">
        <f>"761827736"</f>
        <v>761827736</v>
      </c>
    </row>
    <row r="21" spans="1:25" x14ac:dyDescent="0.25">
      <c r="A21" t="s">
        <v>131</v>
      </c>
      <c r="B21" t="s">
        <v>132</v>
      </c>
      <c r="C21">
        <v>2020</v>
      </c>
      <c r="D21">
        <v>8001</v>
      </c>
      <c r="E21">
        <v>3</v>
      </c>
      <c r="F21" t="s">
        <v>133</v>
      </c>
      <c r="G21">
        <v>0</v>
      </c>
      <c r="J21">
        <v>126.18</v>
      </c>
      <c r="L21">
        <v>47388933</v>
      </c>
      <c r="M21" s="1">
        <v>44327</v>
      </c>
      <c r="N21" t="str">
        <f>"EL210511"</f>
        <v>EL210511</v>
      </c>
      <c r="O21" t="s">
        <v>28</v>
      </c>
      <c r="Q21" t="s">
        <v>29</v>
      </c>
      <c r="R21" t="s">
        <v>28</v>
      </c>
      <c r="S21" t="s">
        <v>133</v>
      </c>
      <c r="T21" t="s">
        <v>134</v>
      </c>
      <c r="U21" t="s">
        <v>60</v>
      </c>
      <c r="V21" t="s">
        <v>60</v>
      </c>
      <c r="W21" t="s">
        <v>135</v>
      </c>
      <c r="X21" t="s">
        <v>34</v>
      </c>
      <c r="Y21" t="str">
        <f>"770635609   "</f>
        <v xml:space="preserve">770635609   </v>
      </c>
    </row>
    <row r="22" spans="1:25" x14ac:dyDescent="0.25">
      <c r="A22" t="s">
        <v>136</v>
      </c>
      <c r="B22" t="s">
        <v>137</v>
      </c>
      <c r="C22">
        <v>2021</v>
      </c>
      <c r="D22">
        <v>8001</v>
      </c>
      <c r="E22">
        <v>2</v>
      </c>
      <c r="F22" t="s">
        <v>138</v>
      </c>
      <c r="G22">
        <v>30623234</v>
      </c>
      <c r="J22">
        <v>16.63</v>
      </c>
      <c r="L22">
        <v>49356297</v>
      </c>
      <c r="M22" s="1">
        <v>44581</v>
      </c>
      <c r="N22" t="str">
        <f>"O220120X5"</f>
        <v>O220120X5</v>
      </c>
      <c r="O22" t="s">
        <v>28</v>
      </c>
      <c r="Q22" t="s">
        <v>29</v>
      </c>
      <c r="R22" t="s">
        <v>28</v>
      </c>
      <c r="S22" t="s">
        <v>139</v>
      </c>
      <c r="T22" t="s">
        <v>140</v>
      </c>
      <c r="U22" t="s">
        <v>141</v>
      </c>
      <c r="W22" t="s">
        <v>142</v>
      </c>
      <c r="X22" t="s">
        <v>143</v>
      </c>
      <c r="Y22" t="str">
        <f>"190343204"</f>
        <v>190343204</v>
      </c>
    </row>
    <row r="23" spans="1:25" x14ac:dyDescent="0.25">
      <c r="A23" t="s">
        <v>144</v>
      </c>
      <c r="B23" t="s">
        <v>145</v>
      </c>
      <c r="C23">
        <v>2019</v>
      </c>
      <c r="D23">
        <v>8001</v>
      </c>
      <c r="E23">
        <v>1</v>
      </c>
      <c r="F23" t="s">
        <v>146</v>
      </c>
      <c r="G23">
        <v>28305739</v>
      </c>
      <c r="J23">
        <v>20</v>
      </c>
      <c r="L23">
        <v>43875794</v>
      </c>
      <c r="M23" s="1">
        <v>43894</v>
      </c>
      <c r="N23" t="str">
        <f>"EK200304"</f>
        <v>EK200304</v>
      </c>
      <c r="O23" t="s">
        <v>28</v>
      </c>
      <c r="Q23" t="s">
        <v>29</v>
      </c>
      <c r="R23" t="s">
        <v>28</v>
      </c>
      <c r="S23" t="s">
        <v>147</v>
      </c>
      <c r="T23" t="s">
        <v>148</v>
      </c>
      <c r="W23" t="s">
        <v>75</v>
      </c>
      <c r="X23" t="s">
        <v>34</v>
      </c>
      <c r="Y23" t="str">
        <f>"77085"</f>
        <v>77085</v>
      </c>
    </row>
    <row r="24" spans="1:25" x14ac:dyDescent="0.25">
      <c r="A24" t="s">
        <v>149</v>
      </c>
      <c r="B24" t="s">
        <v>150</v>
      </c>
      <c r="C24">
        <v>2020</v>
      </c>
      <c r="D24">
        <v>8001</v>
      </c>
      <c r="E24">
        <v>1</v>
      </c>
      <c r="F24" t="s">
        <v>151</v>
      </c>
      <c r="G24">
        <v>29596074</v>
      </c>
      <c r="J24">
        <v>22.17</v>
      </c>
      <c r="L24">
        <v>47018843</v>
      </c>
      <c r="M24" s="1">
        <v>44258</v>
      </c>
      <c r="N24" t="str">
        <f>"EK210303"</f>
        <v>EK210303</v>
      </c>
      <c r="O24" t="s">
        <v>28</v>
      </c>
      <c r="Q24" t="s">
        <v>29</v>
      </c>
      <c r="R24" t="s">
        <v>28</v>
      </c>
      <c r="S24" t="s">
        <v>152</v>
      </c>
      <c r="T24" t="s">
        <v>153</v>
      </c>
      <c r="W24" t="s">
        <v>154</v>
      </c>
      <c r="X24" t="s">
        <v>34</v>
      </c>
      <c r="Y24" t="str">
        <f>"77471"</f>
        <v>77471</v>
      </c>
    </row>
    <row r="25" spans="1:25" x14ac:dyDescent="0.25">
      <c r="A25" t="s">
        <v>155</v>
      </c>
      <c r="B25" t="s">
        <v>156</v>
      </c>
      <c r="C25">
        <v>2020</v>
      </c>
      <c r="D25">
        <v>8001</v>
      </c>
      <c r="E25">
        <v>1</v>
      </c>
      <c r="F25" t="s">
        <v>151</v>
      </c>
      <c r="G25">
        <v>29596075</v>
      </c>
      <c r="J25">
        <v>170.51</v>
      </c>
      <c r="L25">
        <v>47018844</v>
      </c>
      <c r="M25" s="1">
        <v>44258</v>
      </c>
      <c r="N25" t="str">
        <f>"EK210303"</f>
        <v>EK210303</v>
      </c>
      <c r="O25" t="s">
        <v>28</v>
      </c>
      <c r="Q25" t="s">
        <v>29</v>
      </c>
      <c r="R25" t="s">
        <v>28</v>
      </c>
      <c r="S25" t="s">
        <v>152</v>
      </c>
      <c r="T25" t="s">
        <v>153</v>
      </c>
      <c r="W25" t="s">
        <v>154</v>
      </c>
      <c r="X25" t="s">
        <v>34</v>
      </c>
      <c r="Y25" t="str">
        <f>"77471"</f>
        <v>77471</v>
      </c>
    </row>
    <row r="26" spans="1:25" x14ac:dyDescent="0.25">
      <c r="A26" t="s">
        <v>157</v>
      </c>
      <c r="B26" t="s">
        <v>158</v>
      </c>
      <c r="C26">
        <v>2019</v>
      </c>
      <c r="D26">
        <v>8001</v>
      </c>
      <c r="E26">
        <v>1</v>
      </c>
      <c r="F26" t="s">
        <v>159</v>
      </c>
      <c r="G26">
        <v>0</v>
      </c>
      <c r="J26">
        <v>19.36</v>
      </c>
      <c r="L26">
        <v>43130264</v>
      </c>
      <c r="M26" s="1">
        <v>43854</v>
      </c>
      <c r="N26" t="str">
        <f>"J200124K1"</f>
        <v>J200124K1</v>
      </c>
      <c r="O26" t="s">
        <v>28</v>
      </c>
      <c r="Q26" t="s">
        <v>29</v>
      </c>
      <c r="R26" t="s">
        <v>28</v>
      </c>
      <c r="S26" t="s">
        <v>159</v>
      </c>
      <c r="T26" t="s">
        <v>160</v>
      </c>
      <c r="U26" t="s">
        <v>60</v>
      </c>
      <c r="V26" t="s">
        <v>60</v>
      </c>
      <c r="W26" t="s">
        <v>161</v>
      </c>
      <c r="X26" t="s">
        <v>162</v>
      </c>
      <c r="Y26" t="str">
        <f>"076662827   "</f>
        <v xml:space="preserve">076662827   </v>
      </c>
    </row>
    <row r="27" spans="1:25" x14ac:dyDescent="0.25">
      <c r="A27" t="s">
        <v>163</v>
      </c>
      <c r="B27" t="s">
        <v>164</v>
      </c>
      <c r="C27">
        <v>2019</v>
      </c>
      <c r="D27">
        <v>8001</v>
      </c>
      <c r="E27">
        <v>7</v>
      </c>
      <c r="F27" t="s">
        <v>165</v>
      </c>
      <c r="G27">
        <v>27510933</v>
      </c>
      <c r="J27" s="2">
        <v>2958.49</v>
      </c>
      <c r="L27">
        <v>43669157</v>
      </c>
      <c r="M27" s="1">
        <v>43868</v>
      </c>
      <c r="N27" t="str">
        <f>"P200207F1"</f>
        <v>P200207F1</v>
      </c>
      <c r="O27" t="s">
        <v>28</v>
      </c>
      <c r="Q27" t="s">
        <v>29</v>
      </c>
      <c r="R27" t="s">
        <v>28</v>
      </c>
      <c r="S27" t="s">
        <v>166</v>
      </c>
      <c r="T27" t="s">
        <v>167</v>
      </c>
      <c r="W27" t="s">
        <v>168</v>
      </c>
      <c r="X27" t="s">
        <v>169</v>
      </c>
      <c r="Y27" t="str">
        <f>"801112940"</f>
        <v>801112940</v>
      </c>
    </row>
    <row r="28" spans="1:25" x14ac:dyDescent="0.25">
      <c r="A28" t="s">
        <v>170</v>
      </c>
      <c r="B28" t="s">
        <v>171</v>
      </c>
      <c r="C28">
        <v>2019</v>
      </c>
      <c r="D28">
        <v>8001</v>
      </c>
      <c r="E28">
        <v>2</v>
      </c>
      <c r="F28" t="s">
        <v>172</v>
      </c>
      <c r="G28">
        <v>27366742</v>
      </c>
      <c r="J28">
        <v>11.13</v>
      </c>
      <c r="L28">
        <v>42656492</v>
      </c>
      <c r="M28" s="1">
        <v>43836</v>
      </c>
      <c r="N28" t="str">
        <f>"J200106AW4"</f>
        <v>J200106AW4</v>
      </c>
      <c r="O28" t="s">
        <v>28</v>
      </c>
      <c r="Q28" t="s">
        <v>29</v>
      </c>
      <c r="R28" t="s">
        <v>28</v>
      </c>
      <c r="S28" t="s">
        <v>173</v>
      </c>
      <c r="T28" t="s">
        <v>174</v>
      </c>
      <c r="W28" t="s">
        <v>75</v>
      </c>
      <c r="X28" t="s">
        <v>34</v>
      </c>
      <c r="Y28" t="str">
        <f>"770273051"</f>
        <v>770273051</v>
      </c>
    </row>
    <row r="29" spans="1:25" x14ac:dyDescent="0.25">
      <c r="A29" t="s">
        <v>175</v>
      </c>
      <c r="B29" t="s">
        <v>176</v>
      </c>
      <c r="C29">
        <v>2019</v>
      </c>
      <c r="D29">
        <v>8001</v>
      </c>
      <c r="E29">
        <v>1</v>
      </c>
      <c r="F29" t="s">
        <v>177</v>
      </c>
      <c r="G29">
        <v>27426072</v>
      </c>
      <c r="J29">
        <v>140.22</v>
      </c>
      <c r="L29">
        <v>43864365</v>
      </c>
      <c r="M29" s="1">
        <v>43893</v>
      </c>
      <c r="N29" t="str">
        <f>"J200303K2"</f>
        <v>J200303K2</v>
      </c>
      <c r="O29" t="s">
        <v>28</v>
      </c>
      <c r="Q29" t="s">
        <v>29</v>
      </c>
      <c r="R29" t="s">
        <v>28</v>
      </c>
      <c r="S29" t="s">
        <v>178</v>
      </c>
      <c r="T29" t="s">
        <v>179</v>
      </c>
      <c r="U29" t="s">
        <v>180</v>
      </c>
      <c r="W29" t="s">
        <v>107</v>
      </c>
      <c r="X29" t="s">
        <v>34</v>
      </c>
      <c r="Y29" t="str">
        <f>"774943095"</f>
        <v>774943095</v>
      </c>
    </row>
    <row r="30" spans="1:25" x14ac:dyDescent="0.25">
      <c r="A30" t="s">
        <v>181</v>
      </c>
      <c r="B30" t="s">
        <v>182</v>
      </c>
      <c r="C30">
        <v>2019</v>
      </c>
      <c r="D30">
        <v>8001</v>
      </c>
      <c r="E30">
        <v>1</v>
      </c>
      <c r="F30" t="s">
        <v>177</v>
      </c>
      <c r="G30">
        <v>27426072</v>
      </c>
      <c r="J30">
        <v>26.31</v>
      </c>
      <c r="L30">
        <v>43864366</v>
      </c>
      <c r="M30" s="1">
        <v>43893</v>
      </c>
      <c r="N30" t="str">
        <f>"J200303K2"</f>
        <v>J200303K2</v>
      </c>
      <c r="O30" t="s">
        <v>28</v>
      </c>
      <c r="Q30" t="s">
        <v>29</v>
      </c>
      <c r="R30" t="s">
        <v>28</v>
      </c>
      <c r="S30" t="s">
        <v>178</v>
      </c>
      <c r="T30" t="s">
        <v>179</v>
      </c>
      <c r="U30" t="s">
        <v>180</v>
      </c>
      <c r="W30" t="s">
        <v>107</v>
      </c>
      <c r="X30" t="s">
        <v>34</v>
      </c>
      <c r="Y30" t="str">
        <f>"774943095"</f>
        <v>774943095</v>
      </c>
    </row>
    <row r="31" spans="1:25" x14ac:dyDescent="0.25">
      <c r="A31" t="s">
        <v>183</v>
      </c>
      <c r="B31" t="s">
        <v>184</v>
      </c>
      <c r="C31">
        <v>2019</v>
      </c>
      <c r="D31">
        <v>8001</v>
      </c>
      <c r="E31">
        <v>1</v>
      </c>
      <c r="F31" t="s">
        <v>185</v>
      </c>
      <c r="G31">
        <v>28305684</v>
      </c>
      <c r="J31">
        <v>128.69999999999999</v>
      </c>
      <c r="L31">
        <v>43875739</v>
      </c>
      <c r="M31" s="1">
        <v>43894</v>
      </c>
      <c r="N31" t="str">
        <f>"EK200304"</f>
        <v>EK200304</v>
      </c>
      <c r="O31" t="s">
        <v>28</v>
      </c>
      <c r="Q31" t="s">
        <v>29</v>
      </c>
      <c r="R31" t="s">
        <v>28</v>
      </c>
      <c r="S31" t="s">
        <v>186</v>
      </c>
      <c r="T31" t="s">
        <v>187</v>
      </c>
      <c r="W31" t="s">
        <v>40</v>
      </c>
      <c r="X31" t="s">
        <v>34</v>
      </c>
      <c r="Y31" t="str">
        <f>"77479"</f>
        <v>77479</v>
      </c>
    </row>
    <row r="32" spans="1:25" x14ac:dyDescent="0.25">
      <c r="A32" t="s">
        <v>188</v>
      </c>
      <c r="B32" t="s">
        <v>189</v>
      </c>
      <c r="C32">
        <v>2020</v>
      </c>
      <c r="D32">
        <v>8001</v>
      </c>
      <c r="E32">
        <v>2</v>
      </c>
      <c r="F32" t="s">
        <v>190</v>
      </c>
      <c r="G32">
        <v>28969613</v>
      </c>
      <c r="J32">
        <v>10.210000000000001</v>
      </c>
      <c r="L32">
        <v>45490038</v>
      </c>
      <c r="M32" s="1">
        <v>44194</v>
      </c>
      <c r="N32" t="str">
        <f>"CC201229"</f>
        <v>CC201229</v>
      </c>
      <c r="O32" t="s">
        <v>28</v>
      </c>
      <c r="Q32" t="s">
        <v>29</v>
      </c>
      <c r="R32" t="s">
        <v>28</v>
      </c>
      <c r="S32" t="s">
        <v>191</v>
      </c>
      <c r="T32" t="s">
        <v>192</v>
      </c>
      <c r="W32" t="s">
        <v>193</v>
      </c>
      <c r="X32" t="s">
        <v>34</v>
      </c>
      <c r="Y32" t="str">
        <f>"77441"</f>
        <v>77441</v>
      </c>
    </row>
    <row r="33" spans="1:25" x14ac:dyDescent="0.25">
      <c r="A33" t="s">
        <v>194</v>
      </c>
      <c r="B33" t="s">
        <v>195</v>
      </c>
      <c r="C33">
        <v>2020</v>
      </c>
      <c r="D33">
        <v>8001</v>
      </c>
      <c r="E33">
        <v>2</v>
      </c>
      <c r="F33" t="s">
        <v>196</v>
      </c>
      <c r="G33">
        <v>0</v>
      </c>
      <c r="J33">
        <v>311.72000000000003</v>
      </c>
      <c r="L33">
        <v>45096263</v>
      </c>
      <c r="M33" s="1">
        <v>44168</v>
      </c>
      <c r="N33" t="str">
        <f>"L201203A"</f>
        <v>L201203A</v>
      </c>
      <c r="O33" t="s">
        <v>28</v>
      </c>
      <c r="Q33" t="s">
        <v>29</v>
      </c>
      <c r="R33" t="s">
        <v>28</v>
      </c>
      <c r="S33" t="s">
        <v>196</v>
      </c>
      <c r="T33" t="s">
        <v>197</v>
      </c>
      <c r="U33" t="s">
        <v>60</v>
      </c>
      <c r="V33" t="s">
        <v>60</v>
      </c>
      <c r="W33" t="s">
        <v>198</v>
      </c>
      <c r="X33" t="s">
        <v>34</v>
      </c>
      <c r="Y33" t="str">
        <f>"752524931   "</f>
        <v xml:space="preserve">752524931   </v>
      </c>
    </row>
    <row r="34" spans="1:25" x14ac:dyDescent="0.25">
      <c r="A34" t="s">
        <v>199</v>
      </c>
      <c r="B34" t="s">
        <v>200</v>
      </c>
      <c r="C34">
        <v>2020</v>
      </c>
      <c r="D34">
        <v>8001</v>
      </c>
      <c r="E34">
        <v>1</v>
      </c>
      <c r="F34" t="s">
        <v>201</v>
      </c>
      <c r="G34">
        <v>28746954</v>
      </c>
      <c r="J34">
        <v>22.76</v>
      </c>
      <c r="L34">
        <v>46754684</v>
      </c>
      <c r="M34" s="1">
        <v>44231</v>
      </c>
      <c r="N34" t="str">
        <f>"RC210301"</f>
        <v>RC210301</v>
      </c>
      <c r="O34" t="s">
        <v>28</v>
      </c>
      <c r="Q34" t="s">
        <v>29</v>
      </c>
      <c r="R34" t="s">
        <v>28</v>
      </c>
      <c r="S34" t="s">
        <v>202</v>
      </c>
      <c r="T34" t="s">
        <v>203</v>
      </c>
      <c r="U34" t="s">
        <v>204</v>
      </c>
      <c r="V34">
        <v>100</v>
      </c>
      <c r="W34" t="s">
        <v>193</v>
      </c>
      <c r="X34" t="s">
        <v>34</v>
      </c>
      <c r="Y34" t="str">
        <f>"774412234"</f>
        <v>774412234</v>
      </c>
    </row>
    <row r="35" spans="1:25" x14ac:dyDescent="0.25">
      <c r="A35" t="s">
        <v>205</v>
      </c>
      <c r="B35" t="s">
        <v>206</v>
      </c>
      <c r="C35">
        <v>2020</v>
      </c>
      <c r="D35">
        <v>8001</v>
      </c>
      <c r="E35">
        <v>1</v>
      </c>
      <c r="F35" t="s">
        <v>207</v>
      </c>
      <c r="G35">
        <v>29914574</v>
      </c>
      <c r="J35">
        <v>247.39</v>
      </c>
      <c r="L35">
        <v>47594758</v>
      </c>
      <c r="M35" s="1">
        <v>44386</v>
      </c>
      <c r="N35" t="str">
        <f>"RC210712"</f>
        <v>RC210712</v>
      </c>
      <c r="O35" t="s">
        <v>28</v>
      </c>
      <c r="Q35" t="s">
        <v>29</v>
      </c>
      <c r="R35" t="s">
        <v>28</v>
      </c>
      <c r="S35" t="s">
        <v>208</v>
      </c>
      <c r="T35" t="s">
        <v>209</v>
      </c>
      <c r="W35" t="s">
        <v>75</v>
      </c>
      <c r="X35" t="s">
        <v>34</v>
      </c>
      <c r="Y35" t="str">
        <f>"77023"</f>
        <v>77023</v>
      </c>
    </row>
    <row r="36" spans="1:25" x14ac:dyDescent="0.25">
      <c r="A36" t="s">
        <v>210</v>
      </c>
      <c r="B36" t="s">
        <v>211</v>
      </c>
      <c r="C36">
        <v>2019</v>
      </c>
      <c r="D36">
        <v>8001</v>
      </c>
      <c r="E36">
        <v>1</v>
      </c>
      <c r="F36" t="s">
        <v>212</v>
      </c>
      <c r="G36">
        <v>0</v>
      </c>
      <c r="J36">
        <v>360.61</v>
      </c>
      <c r="L36">
        <v>42618533</v>
      </c>
      <c r="M36" s="1">
        <v>43833</v>
      </c>
      <c r="N36" t="str">
        <f>"L200103"</f>
        <v>L200103</v>
      </c>
      <c r="O36" t="s">
        <v>28</v>
      </c>
      <c r="Q36" t="s">
        <v>29</v>
      </c>
      <c r="R36" t="s">
        <v>28</v>
      </c>
      <c r="S36" t="s">
        <v>212</v>
      </c>
      <c r="T36" t="s">
        <v>213</v>
      </c>
      <c r="U36" t="s">
        <v>60</v>
      </c>
      <c r="V36" t="s">
        <v>60</v>
      </c>
      <c r="W36" t="s">
        <v>214</v>
      </c>
      <c r="X36" t="s">
        <v>34</v>
      </c>
      <c r="Y36" t="str">
        <f>"774064605   "</f>
        <v xml:space="preserve">774064605   </v>
      </c>
    </row>
    <row r="37" spans="1:25" x14ac:dyDescent="0.25">
      <c r="A37" t="s">
        <v>215</v>
      </c>
      <c r="B37" t="s">
        <v>216</v>
      </c>
      <c r="C37">
        <v>2020</v>
      </c>
      <c r="D37">
        <v>8001</v>
      </c>
      <c r="E37">
        <v>1</v>
      </c>
      <c r="F37" t="s">
        <v>217</v>
      </c>
      <c r="G37">
        <v>0</v>
      </c>
      <c r="J37">
        <v>429.7</v>
      </c>
      <c r="L37">
        <v>46396821</v>
      </c>
      <c r="M37" s="1">
        <v>44223</v>
      </c>
      <c r="N37" t="str">
        <f>"L210127"</f>
        <v>L210127</v>
      </c>
      <c r="O37" t="s">
        <v>28</v>
      </c>
      <c r="Q37" t="s">
        <v>29</v>
      </c>
      <c r="R37" t="s">
        <v>28</v>
      </c>
      <c r="S37" t="s">
        <v>217</v>
      </c>
      <c r="T37" t="s">
        <v>218</v>
      </c>
      <c r="U37" t="s">
        <v>60</v>
      </c>
      <c r="V37" t="s">
        <v>60</v>
      </c>
      <c r="W37" t="s">
        <v>219</v>
      </c>
      <c r="X37" t="s">
        <v>34</v>
      </c>
      <c r="Y37" t="str">
        <f>"774783232   "</f>
        <v xml:space="preserve">774783232   </v>
      </c>
    </row>
    <row r="38" spans="1:25" x14ac:dyDescent="0.25">
      <c r="A38" t="s">
        <v>220</v>
      </c>
      <c r="B38" t="s">
        <v>221</v>
      </c>
      <c r="C38">
        <v>2019</v>
      </c>
      <c r="D38">
        <v>8001</v>
      </c>
      <c r="E38">
        <v>1</v>
      </c>
      <c r="F38" t="s">
        <v>222</v>
      </c>
      <c r="G38">
        <v>28394492</v>
      </c>
      <c r="J38">
        <v>5.55</v>
      </c>
      <c r="L38">
        <v>44049075</v>
      </c>
      <c r="M38" s="1">
        <v>43930</v>
      </c>
      <c r="N38" t="str">
        <f>"RC200414"</f>
        <v>RC200414</v>
      </c>
      <c r="O38" t="s">
        <v>28</v>
      </c>
      <c r="Q38" t="s">
        <v>29</v>
      </c>
      <c r="R38" t="s">
        <v>28</v>
      </c>
      <c r="S38" t="s">
        <v>223</v>
      </c>
      <c r="T38" t="s">
        <v>224</v>
      </c>
      <c r="U38" t="s">
        <v>225</v>
      </c>
      <c r="W38" t="s">
        <v>226</v>
      </c>
      <c r="X38" t="s">
        <v>227</v>
      </c>
      <c r="Y38" t="str">
        <f>"852541720"</f>
        <v>852541720</v>
      </c>
    </row>
    <row r="39" spans="1:25" x14ac:dyDescent="0.25">
      <c r="A39" t="s">
        <v>228</v>
      </c>
      <c r="B39" t="s">
        <v>229</v>
      </c>
      <c r="C39">
        <v>2020</v>
      </c>
      <c r="D39">
        <v>8001</v>
      </c>
      <c r="E39">
        <v>1</v>
      </c>
      <c r="F39" t="s">
        <v>230</v>
      </c>
      <c r="G39">
        <v>27842564</v>
      </c>
      <c r="J39" s="2">
        <v>3746.85</v>
      </c>
      <c r="L39">
        <v>45029772</v>
      </c>
      <c r="M39" s="1">
        <v>44166</v>
      </c>
      <c r="N39" t="str">
        <f>"O201201AB1"</f>
        <v>O201201AB1</v>
      </c>
      <c r="O39" t="s">
        <v>28</v>
      </c>
      <c r="Q39" t="s">
        <v>29</v>
      </c>
      <c r="R39" t="s">
        <v>28</v>
      </c>
      <c r="S39" t="s">
        <v>231</v>
      </c>
      <c r="T39" t="s">
        <v>203</v>
      </c>
      <c r="U39" t="s">
        <v>232</v>
      </c>
      <c r="W39" t="s">
        <v>233</v>
      </c>
      <c r="X39" t="s">
        <v>34</v>
      </c>
      <c r="Y39" t="str">
        <f>"76092"</f>
        <v>76092</v>
      </c>
    </row>
    <row r="40" spans="1:25" x14ac:dyDescent="0.25">
      <c r="A40" t="s">
        <v>234</v>
      </c>
      <c r="B40" t="s">
        <v>235</v>
      </c>
      <c r="C40">
        <v>2020</v>
      </c>
      <c r="D40">
        <v>8001</v>
      </c>
      <c r="E40">
        <v>3</v>
      </c>
      <c r="F40" t="s">
        <v>236</v>
      </c>
      <c r="G40">
        <v>29766015</v>
      </c>
      <c r="J40">
        <v>43.1</v>
      </c>
      <c r="L40">
        <v>47297400</v>
      </c>
      <c r="M40" s="1">
        <v>44301</v>
      </c>
      <c r="N40" t="str">
        <f>"RC210425"</f>
        <v>RC210425</v>
      </c>
      <c r="O40" t="s">
        <v>28</v>
      </c>
      <c r="Q40" t="s">
        <v>29</v>
      </c>
      <c r="R40" t="s">
        <v>28</v>
      </c>
      <c r="S40" t="s">
        <v>237</v>
      </c>
      <c r="T40" t="s">
        <v>238</v>
      </c>
      <c r="W40" t="s">
        <v>75</v>
      </c>
      <c r="X40" t="s">
        <v>34</v>
      </c>
      <c r="Y40" t="str">
        <f>"770166412"</f>
        <v>770166412</v>
      </c>
    </row>
    <row r="41" spans="1:25" x14ac:dyDescent="0.25">
      <c r="A41" t="s">
        <v>239</v>
      </c>
      <c r="B41" t="s">
        <v>240</v>
      </c>
      <c r="C41">
        <v>2021</v>
      </c>
      <c r="D41">
        <v>8001</v>
      </c>
      <c r="E41">
        <v>1</v>
      </c>
      <c r="F41" t="s">
        <v>241</v>
      </c>
      <c r="G41">
        <v>29978122</v>
      </c>
      <c r="J41">
        <v>109.14</v>
      </c>
      <c r="L41">
        <v>49953256</v>
      </c>
      <c r="M41" s="1">
        <v>44595</v>
      </c>
      <c r="N41" t="str">
        <f>"RC220314"</f>
        <v>RC220314</v>
      </c>
      <c r="O41" t="s">
        <v>28</v>
      </c>
      <c r="Q41" t="s">
        <v>29</v>
      </c>
      <c r="R41" t="s">
        <v>28</v>
      </c>
      <c r="S41" t="s">
        <v>242</v>
      </c>
      <c r="T41" t="s">
        <v>243</v>
      </c>
      <c r="W41" t="s">
        <v>244</v>
      </c>
      <c r="X41" t="s">
        <v>245</v>
      </c>
      <c r="Y41" t="str">
        <f>"482263573"</f>
        <v>482263573</v>
      </c>
    </row>
    <row r="42" spans="1:25" x14ac:dyDescent="0.25">
      <c r="A42" t="s">
        <v>246</v>
      </c>
      <c r="B42" t="s">
        <v>247</v>
      </c>
      <c r="C42">
        <v>2020</v>
      </c>
      <c r="D42">
        <v>8001</v>
      </c>
      <c r="E42">
        <v>2</v>
      </c>
      <c r="F42" t="s">
        <v>248</v>
      </c>
      <c r="G42">
        <v>26573077</v>
      </c>
      <c r="J42">
        <v>110.5</v>
      </c>
      <c r="L42">
        <v>47026254</v>
      </c>
      <c r="M42" s="1">
        <v>44258</v>
      </c>
      <c r="N42" t="str">
        <f>"RC210310"</f>
        <v>RC210310</v>
      </c>
      <c r="O42" t="s">
        <v>28</v>
      </c>
      <c r="Q42" t="s">
        <v>29</v>
      </c>
      <c r="R42" t="s">
        <v>28</v>
      </c>
      <c r="S42" t="s">
        <v>249</v>
      </c>
      <c r="T42" t="s">
        <v>250</v>
      </c>
      <c r="W42" t="s">
        <v>75</v>
      </c>
      <c r="X42" t="s">
        <v>34</v>
      </c>
      <c r="Y42" t="str">
        <f>"770211544"</f>
        <v>770211544</v>
      </c>
    </row>
    <row r="43" spans="1:25" x14ac:dyDescent="0.25">
      <c r="A43" t="s">
        <v>251</v>
      </c>
      <c r="B43" t="s">
        <v>252</v>
      </c>
      <c r="C43">
        <v>2020</v>
      </c>
      <c r="D43">
        <v>8001</v>
      </c>
      <c r="E43">
        <v>1</v>
      </c>
      <c r="F43" t="s">
        <v>253</v>
      </c>
      <c r="G43">
        <v>27999688</v>
      </c>
      <c r="J43">
        <v>8.51</v>
      </c>
      <c r="L43">
        <v>43708504</v>
      </c>
      <c r="M43" s="1">
        <v>44147</v>
      </c>
      <c r="N43" t="str">
        <f>"TE201112"</f>
        <v>TE201112</v>
      </c>
      <c r="O43" t="s">
        <v>28</v>
      </c>
      <c r="Q43" t="s">
        <v>29</v>
      </c>
      <c r="R43" t="s">
        <v>28</v>
      </c>
      <c r="S43" t="s">
        <v>254</v>
      </c>
      <c r="T43" t="s">
        <v>255</v>
      </c>
      <c r="U43" t="s">
        <v>256</v>
      </c>
      <c r="W43" t="s">
        <v>81</v>
      </c>
      <c r="X43" t="s">
        <v>34</v>
      </c>
      <c r="Y43" t="str">
        <f>"774064652"</f>
        <v>774064652</v>
      </c>
    </row>
    <row r="44" spans="1:25" x14ac:dyDescent="0.25">
      <c r="A44" t="s">
        <v>257</v>
      </c>
      <c r="B44" t="s">
        <v>258</v>
      </c>
      <c r="C44">
        <v>2020</v>
      </c>
      <c r="D44">
        <v>8001</v>
      </c>
      <c r="E44">
        <v>3</v>
      </c>
      <c r="F44" t="s">
        <v>259</v>
      </c>
      <c r="G44">
        <v>0</v>
      </c>
      <c r="J44">
        <v>1.73</v>
      </c>
      <c r="L44">
        <v>47080586</v>
      </c>
      <c r="M44" s="1">
        <v>44292</v>
      </c>
      <c r="N44" t="str">
        <f>"T210406BI1"</f>
        <v>T210406BI1</v>
      </c>
      <c r="O44" t="s">
        <v>260</v>
      </c>
      <c r="Q44" t="s">
        <v>29</v>
      </c>
      <c r="R44" t="s">
        <v>28</v>
      </c>
      <c r="S44" t="s">
        <v>259</v>
      </c>
      <c r="T44" t="s">
        <v>261</v>
      </c>
      <c r="U44" t="s">
        <v>262</v>
      </c>
      <c r="V44" t="s">
        <v>60</v>
      </c>
      <c r="W44" t="s">
        <v>263</v>
      </c>
      <c r="X44" t="s">
        <v>264</v>
      </c>
      <c r="Y44" t="str">
        <f>"631012065   "</f>
        <v xml:space="preserve">631012065   </v>
      </c>
    </row>
    <row r="45" spans="1:25" x14ac:dyDescent="0.25">
      <c r="A45" t="s">
        <v>265</v>
      </c>
      <c r="B45" t="s">
        <v>266</v>
      </c>
      <c r="C45">
        <v>2020</v>
      </c>
      <c r="D45">
        <v>8001</v>
      </c>
      <c r="E45">
        <v>3</v>
      </c>
      <c r="F45" t="s">
        <v>259</v>
      </c>
      <c r="G45">
        <v>0</v>
      </c>
      <c r="J45">
        <v>6.27</v>
      </c>
      <c r="L45">
        <v>47080583</v>
      </c>
      <c r="M45" s="1">
        <v>44292</v>
      </c>
      <c r="N45" t="str">
        <f>"T210406BI1"</f>
        <v>T210406BI1</v>
      </c>
      <c r="O45" t="s">
        <v>260</v>
      </c>
      <c r="Q45" t="s">
        <v>29</v>
      </c>
      <c r="R45" t="s">
        <v>28</v>
      </c>
      <c r="S45" t="s">
        <v>259</v>
      </c>
      <c r="T45" t="s">
        <v>261</v>
      </c>
      <c r="U45" t="s">
        <v>262</v>
      </c>
      <c r="V45" t="s">
        <v>60</v>
      </c>
      <c r="W45" t="s">
        <v>263</v>
      </c>
      <c r="X45" t="s">
        <v>264</v>
      </c>
      <c r="Y45" t="str">
        <f>"631012065   "</f>
        <v xml:space="preserve">631012065   </v>
      </c>
    </row>
    <row r="46" spans="1:25" x14ac:dyDescent="0.25">
      <c r="A46" t="s">
        <v>267</v>
      </c>
      <c r="B46" t="s">
        <v>268</v>
      </c>
      <c r="C46">
        <v>2020</v>
      </c>
      <c r="D46">
        <v>8001</v>
      </c>
      <c r="E46">
        <v>3</v>
      </c>
      <c r="F46" t="s">
        <v>259</v>
      </c>
      <c r="G46">
        <v>0</v>
      </c>
      <c r="J46">
        <v>6.27</v>
      </c>
      <c r="L46">
        <v>47080584</v>
      </c>
      <c r="M46" s="1">
        <v>44292</v>
      </c>
      <c r="N46" t="str">
        <f>"T210406BI1"</f>
        <v>T210406BI1</v>
      </c>
      <c r="O46" t="s">
        <v>260</v>
      </c>
      <c r="Q46" t="s">
        <v>29</v>
      </c>
      <c r="R46" t="s">
        <v>28</v>
      </c>
      <c r="S46" t="s">
        <v>259</v>
      </c>
      <c r="T46" t="s">
        <v>261</v>
      </c>
      <c r="U46" t="s">
        <v>262</v>
      </c>
      <c r="V46" t="s">
        <v>60</v>
      </c>
      <c r="W46" t="s">
        <v>263</v>
      </c>
      <c r="X46" t="s">
        <v>264</v>
      </c>
      <c r="Y46" t="str">
        <f>"631012065   "</f>
        <v xml:space="preserve">631012065   </v>
      </c>
    </row>
    <row r="47" spans="1:25" x14ac:dyDescent="0.25">
      <c r="A47" t="s">
        <v>269</v>
      </c>
      <c r="B47" t="s">
        <v>270</v>
      </c>
      <c r="C47">
        <v>2019</v>
      </c>
      <c r="D47">
        <v>8001</v>
      </c>
      <c r="E47">
        <v>6</v>
      </c>
      <c r="F47" t="s">
        <v>271</v>
      </c>
      <c r="G47">
        <v>0</v>
      </c>
      <c r="J47">
        <v>18.34</v>
      </c>
      <c r="L47">
        <v>44050476</v>
      </c>
      <c r="M47" s="1">
        <v>43930</v>
      </c>
      <c r="N47" t="str">
        <f>"J200409F20"</f>
        <v>J200409F20</v>
      </c>
      <c r="O47" t="s">
        <v>28</v>
      </c>
      <c r="Q47" t="s">
        <v>29</v>
      </c>
      <c r="R47" t="s">
        <v>28</v>
      </c>
      <c r="S47" t="s">
        <v>271</v>
      </c>
      <c r="T47" t="s">
        <v>272</v>
      </c>
      <c r="U47" t="s">
        <v>60</v>
      </c>
      <c r="V47" t="s">
        <v>60</v>
      </c>
      <c r="W47" t="s">
        <v>273</v>
      </c>
      <c r="X47" t="s">
        <v>34</v>
      </c>
      <c r="Y47" t="str">
        <f>"774410216   "</f>
        <v xml:space="preserve">774410216   </v>
      </c>
    </row>
    <row r="48" spans="1:25" x14ac:dyDescent="0.25">
      <c r="A48" t="s">
        <v>274</v>
      </c>
      <c r="B48" t="s">
        <v>275</v>
      </c>
      <c r="C48">
        <v>2019</v>
      </c>
      <c r="D48">
        <v>8001</v>
      </c>
      <c r="E48">
        <v>1</v>
      </c>
      <c r="F48" t="s">
        <v>276</v>
      </c>
      <c r="G48">
        <v>22473380</v>
      </c>
      <c r="J48">
        <v>73.430000000000007</v>
      </c>
      <c r="L48">
        <v>43860607</v>
      </c>
      <c r="M48" s="1">
        <v>43893</v>
      </c>
      <c r="N48" t="str">
        <f>"O200303AB1"</f>
        <v>O200303AB1</v>
      </c>
      <c r="O48" t="s">
        <v>28</v>
      </c>
      <c r="Q48" t="s">
        <v>29</v>
      </c>
      <c r="R48" t="s">
        <v>28</v>
      </c>
      <c r="S48" t="s">
        <v>277</v>
      </c>
      <c r="T48" t="s">
        <v>278</v>
      </c>
      <c r="W48" t="s">
        <v>81</v>
      </c>
      <c r="X48" t="s">
        <v>34</v>
      </c>
      <c r="Y48" t="str">
        <f>"774060129"</f>
        <v>774060129</v>
      </c>
    </row>
    <row r="49" spans="1:25" x14ac:dyDescent="0.25">
      <c r="A49" t="s">
        <v>279</v>
      </c>
      <c r="B49" t="s">
        <v>280</v>
      </c>
      <c r="C49">
        <v>2019</v>
      </c>
      <c r="D49">
        <v>8001</v>
      </c>
      <c r="E49">
        <v>1</v>
      </c>
      <c r="F49" t="s">
        <v>281</v>
      </c>
      <c r="G49">
        <v>22473380</v>
      </c>
      <c r="J49">
        <v>88.34</v>
      </c>
      <c r="L49">
        <v>43860599</v>
      </c>
      <c r="M49" s="1">
        <v>43893</v>
      </c>
      <c r="N49" t="str">
        <f>"O200303AB1"</f>
        <v>O200303AB1</v>
      </c>
      <c r="O49" t="s">
        <v>28</v>
      </c>
      <c r="Q49" t="s">
        <v>29</v>
      </c>
      <c r="R49" t="s">
        <v>28</v>
      </c>
      <c r="S49" t="s">
        <v>277</v>
      </c>
      <c r="T49" t="s">
        <v>278</v>
      </c>
      <c r="W49" t="s">
        <v>81</v>
      </c>
      <c r="X49" t="s">
        <v>34</v>
      </c>
      <c r="Y49" t="str">
        <f>"774060129"</f>
        <v>774060129</v>
      </c>
    </row>
    <row r="50" spans="1:25" x14ac:dyDescent="0.25">
      <c r="A50" t="s">
        <v>282</v>
      </c>
      <c r="B50" t="s">
        <v>283</v>
      </c>
      <c r="C50">
        <v>2020</v>
      </c>
      <c r="D50">
        <v>8001</v>
      </c>
      <c r="E50">
        <v>8</v>
      </c>
      <c r="F50" t="s">
        <v>284</v>
      </c>
      <c r="G50">
        <v>27704078</v>
      </c>
      <c r="J50">
        <v>273.61</v>
      </c>
      <c r="L50">
        <v>45919732</v>
      </c>
      <c r="M50" s="1">
        <v>44208</v>
      </c>
      <c r="N50" t="str">
        <f>"RC210128"</f>
        <v>RC210128</v>
      </c>
      <c r="O50" t="s">
        <v>28</v>
      </c>
      <c r="Q50" t="s">
        <v>29</v>
      </c>
      <c r="R50" t="s">
        <v>28</v>
      </c>
      <c r="S50" t="s">
        <v>285</v>
      </c>
      <c r="T50" t="s">
        <v>286</v>
      </c>
      <c r="W50" t="s">
        <v>75</v>
      </c>
      <c r="X50" t="s">
        <v>34</v>
      </c>
      <c r="Y50" t="str">
        <f>"77042-4240"</f>
        <v>77042-4240</v>
      </c>
    </row>
    <row r="51" spans="1:25" x14ac:dyDescent="0.25">
      <c r="A51" t="s">
        <v>287</v>
      </c>
      <c r="B51" t="s">
        <v>288</v>
      </c>
      <c r="C51">
        <v>2021</v>
      </c>
      <c r="D51">
        <v>8001</v>
      </c>
      <c r="E51">
        <v>1</v>
      </c>
      <c r="F51" t="s">
        <v>289</v>
      </c>
      <c r="G51">
        <v>30575048</v>
      </c>
      <c r="J51">
        <v>6.29</v>
      </c>
      <c r="L51">
        <v>48789110</v>
      </c>
      <c r="M51" s="1">
        <v>44560</v>
      </c>
      <c r="N51" t="str">
        <f>"RC220125"</f>
        <v>RC220125</v>
      </c>
      <c r="O51" t="s">
        <v>28</v>
      </c>
      <c r="Q51" t="s">
        <v>29</v>
      </c>
      <c r="R51" t="s">
        <v>28</v>
      </c>
      <c r="S51" t="s">
        <v>290</v>
      </c>
      <c r="T51" t="s">
        <v>291</v>
      </c>
      <c r="W51" t="s">
        <v>75</v>
      </c>
      <c r="X51" t="s">
        <v>34</v>
      </c>
      <c r="Y51" t="str">
        <f>"77048-2646"</f>
        <v>77048-2646</v>
      </c>
    </row>
    <row r="52" spans="1:25" x14ac:dyDescent="0.25">
      <c r="A52" t="s">
        <v>292</v>
      </c>
      <c r="B52" t="s">
        <v>293</v>
      </c>
      <c r="C52">
        <v>2019</v>
      </c>
      <c r="D52">
        <v>8001</v>
      </c>
      <c r="E52">
        <v>1</v>
      </c>
      <c r="F52" t="s">
        <v>294</v>
      </c>
      <c r="G52">
        <v>0</v>
      </c>
      <c r="J52">
        <v>135.55000000000001</v>
      </c>
      <c r="L52">
        <v>44329945</v>
      </c>
      <c r="M52" s="1">
        <v>44006</v>
      </c>
      <c r="N52" t="str">
        <f>"J200624K1"</f>
        <v>J200624K1</v>
      </c>
      <c r="O52" t="s">
        <v>28</v>
      </c>
      <c r="Q52" t="s">
        <v>29</v>
      </c>
      <c r="R52" t="s">
        <v>28</v>
      </c>
      <c r="S52" t="s">
        <v>294</v>
      </c>
      <c r="T52" t="s">
        <v>295</v>
      </c>
      <c r="U52" t="s">
        <v>60</v>
      </c>
      <c r="V52" t="s">
        <v>60</v>
      </c>
      <c r="W52" t="s">
        <v>296</v>
      </c>
      <c r="X52" t="s">
        <v>34</v>
      </c>
      <c r="Y52" t="str">
        <f>"774179621   "</f>
        <v xml:space="preserve">774179621   </v>
      </c>
    </row>
    <row r="53" spans="1:25" x14ac:dyDescent="0.25">
      <c r="A53" t="s">
        <v>297</v>
      </c>
      <c r="B53" t="s">
        <v>298</v>
      </c>
      <c r="C53">
        <v>2019</v>
      </c>
      <c r="D53">
        <v>8001</v>
      </c>
      <c r="E53">
        <v>1</v>
      </c>
      <c r="F53" t="s">
        <v>294</v>
      </c>
      <c r="G53">
        <v>0</v>
      </c>
      <c r="J53">
        <v>8</v>
      </c>
      <c r="L53">
        <v>44329944</v>
      </c>
      <c r="M53" s="1">
        <v>44006</v>
      </c>
      <c r="N53" t="str">
        <f>"J200624K1"</f>
        <v>J200624K1</v>
      </c>
      <c r="O53" t="s">
        <v>28</v>
      </c>
      <c r="Q53" t="s">
        <v>29</v>
      </c>
      <c r="R53" t="s">
        <v>28</v>
      </c>
      <c r="S53" t="s">
        <v>294</v>
      </c>
      <c r="T53" t="s">
        <v>295</v>
      </c>
      <c r="U53" t="s">
        <v>60</v>
      </c>
      <c r="V53" t="s">
        <v>60</v>
      </c>
      <c r="W53" t="s">
        <v>296</v>
      </c>
      <c r="X53" t="s">
        <v>34</v>
      </c>
      <c r="Y53" t="str">
        <f>"774179621   "</f>
        <v xml:space="preserve">774179621   </v>
      </c>
    </row>
    <row r="54" spans="1:25" x14ac:dyDescent="0.25">
      <c r="A54" t="s">
        <v>299</v>
      </c>
      <c r="B54" t="s">
        <v>300</v>
      </c>
      <c r="C54">
        <v>2021</v>
      </c>
      <c r="D54">
        <v>8001</v>
      </c>
      <c r="E54">
        <v>1</v>
      </c>
      <c r="F54" t="s">
        <v>301</v>
      </c>
      <c r="G54">
        <v>30918408</v>
      </c>
      <c r="J54">
        <v>69.52</v>
      </c>
      <c r="L54">
        <v>49849734</v>
      </c>
      <c r="M54" s="1">
        <v>44594</v>
      </c>
      <c r="N54" t="str">
        <f>"RC220202"</f>
        <v>RC220202</v>
      </c>
      <c r="O54" t="s">
        <v>28</v>
      </c>
      <c r="Q54" t="s">
        <v>29</v>
      </c>
      <c r="R54" t="s">
        <v>28</v>
      </c>
      <c r="S54" t="s">
        <v>302</v>
      </c>
      <c r="T54" t="s">
        <v>303</v>
      </c>
      <c r="W54" t="s">
        <v>304</v>
      </c>
      <c r="X54" t="s">
        <v>34</v>
      </c>
      <c r="Y54" t="str">
        <f>"774170841"</f>
        <v>774170841</v>
      </c>
    </row>
    <row r="55" spans="1:25" x14ac:dyDescent="0.25">
      <c r="A55" t="s">
        <v>305</v>
      </c>
      <c r="B55" t="s">
        <v>306</v>
      </c>
      <c r="C55">
        <v>2021</v>
      </c>
      <c r="D55">
        <v>8001</v>
      </c>
      <c r="E55">
        <v>1</v>
      </c>
      <c r="F55" t="s">
        <v>307</v>
      </c>
      <c r="G55">
        <v>22878712</v>
      </c>
      <c r="J55">
        <v>5.3</v>
      </c>
      <c r="L55">
        <v>47675075</v>
      </c>
      <c r="M55" s="1">
        <v>44516</v>
      </c>
      <c r="N55" t="str">
        <f>"TE211116"</f>
        <v>TE211116</v>
      </c>
      <c r="O55" t="s">
        <v>28</v>
      </c>
      <c r="Q55" t="s">
        <v>29</v>
      </c>
      <c r="R55" t="s">
        <v>28</v>
      </c>
      <c r="S55" t="s">
        <v>308</v>
      </c>
      <c r="T55" t="s">
        <v>309</v>
      </c>
      <c r="U55" t="s">
        <v>310</v>
      </c>
      <c r="W55" t="s">
        <v>81</v>
      </c>
      <c r="X55" t="s">
        <v>34</v>
      </c>
      <c r="Y55" t="str">
        <f>"774692640"</f>
        <v>774692640</v>
      </c>
    </row>
    <row r="56" spans="1:25" x14ac:dyDescent="0.25">
      <c r="A56" t="s">
        <v>311</v>
      </c>
      <c r="B56" t="s">
        <v>312</v>
      </c>
      <c r="C56">
        <v>2021</v>
      </c>
      <c r="D56">
        <v>8001</v>
      </c>
      <c r="E56">
        <v>2</v>
      </c>
      <c r="F56" t="s">
        <v>313</v>
      </c>
      <c r="G56">
        <v>20340738</v>
      </c>
      <c r="J56">
        <v>5.52</v>
      </c>
      <c r="L56">
        <v>49136247</v>
      </c>
      <c r="M56" s="1">
        <v>44573</v>
      </c>
      <c r="N56" t="str">
        <f>"RC220221"</f>
        <v>RC220221</v>
      </c>
      <c r="O56" t="s">
        <v>28</v>
      </c>
      <c r="Q56" t="s">
        <v>29</v>
      </c>
      <c r="R56" t="s">
        <v>28</v>
      </c>
      <c r="S56" t="s">
        <v>314</v>
      </c>
      <c r="T56" t="s">
        <v>315</v>
      </c>
      <c r="W56" t="s">
        <v>316</v>
      </c>
      <c r="X56" t="s">
        <v>317</v>
      </c>
      <c r="Y56" t="str">
        <f>"94605-5538"</f>
        <v>94605-5538</v>
      </c>
    </row>
    <row r="57" spans="1:25" x14ac:dyDescent="0.25">
      <c r="A57" t="s">
        <v>318</v>
      </c>
      <c r="B57" t="s">
        <v>319</v>
      </c>
      <c r="C57">
        <v>2021</v>
      </c>
      <c r="D57">
        <v>8001</v>
      </c>
      <c r="E57">
        <v>6</v>
      </c>
      <c r="F57" t="s">
        <v>320</v>
      </c>
      <c r="G57">
        <v>0</v>
      </c>
      <c r="J57">
        <v>24.58</v>
      </c>
      <c r="L57">
        <v>50124083</v>
      </c>
      <c r="M57" s="1">
        <v>44602</v>
      </c>
      <c r="N57" t="str">
        <f>"O220210AO1"</f>
        <v>O220210AO1</v>
      </c>
      <c r="O57" t="s">
        <v>28</v>
      </c>
      <c r="Q57" t="s">
        <v>29</v>
      </c>
      <c r="R57" t="s">
        <v>28</v>
      </c>
      <c r="S57" t="s">
        <v>320</v>
      </c>
      <c r="T57" t="s">
        <v>321</v>
      </c>
      <c r="U57" t="s">
        <v>60</v>
      </c>
      <c r="V57" t="s">
        <v>60</v>
      </c>
      <c r="W57" t="s">
        <v>296</v>
      </c>
      <c r="X57" t="s">
        <v>34</v>
      </c>
      <c r="Y57" t="str">
        <f>"774175922   "</f>
        <v xml:space="preserve">774175922   </v>
      </c>
    </row>
    <row r="58" spans="1:25" x14ac:dyDescent="0.25">
      <c r="A58" t="s">
        <v>322</v>
      </c>
      <c r="B58" t="s">
        <v>323</v>
      </c>
      <c r="C58">
        <v>2019</v>
      </c>
      <c r="D58">
        <v>8001</v>
      </c>
      <c r="E58">
        <v>1</v>
      </c>
      <c r="F58" t="s">
        <v>324</v>
      </c>
      <c r="G58">
        <v>0</v>
      </c>
      <c r="J58">
        <v>5</v>
      </c>
      <c r="L58">
        <v>43686743</v>
      </c>
      <c r="M58" s="1">
        <v>43868</v>
      </c>
      <c r="N58" t="str">
        <f>"J200207AW17"</f>
        <v>J200207AW17</v>
      </c>
      <c r="O58" t="s">
        <v>28</v>
      </c>
      <c r="Q58" t="s">
        <v>29</v>
      </c>
      <c r="R58" t="s">
        <v>28</v>
      </c>
      <c r="S58" t="s">
        <v>324</v>
      </c>
      <c r="T58" t="s">
        <v>325</v>
      </c>
      <c r="U58" t="s">
        <v>60</v>
      </c>
      <c r="V58" t="s">
        <v>60</v>
      </c>
      <c r="W58" t="s">
        <v>326</v>
      </c>
      <c r="X58" t="s">
        <v>34</v>
      </c>
      <c r="Y58" t="str">
        <f>"775472007   "</f>
        <v xml:space="preserve">775472007   </v>
      </c>
    </row>
    <row r="59" spans="1:25" x14ac:dyDescent="0.25">
      <c r="A59" t="s">
        <v>327</v>
      </c>
      <c r="B59" t="s">
        <v>328</v>
      </c>
      <c r="C59">
        <v>2019</v>
      </c>
      <c r="D59">
        <v>8001</v>
      </c>
      <c r="E59">
        <v>5</v>
      </c>
      <c r="F59" t="s">
        <v>329</v>
      </c>
      <c r="G59">
        <v>28176080</v>
      </c>
      <c r="J59">
        <v>20.68</v>
      </c>
      <c r="L59">
        <v>43576800</v>
      </c>
      <c r="M59" s="1">
        <v>43865</v>
      </c>
      <c r="N59" t="str">
        <f>"CC200204"</f>
        <v>CC200204</v>
      </c>
      <c r="O59" t="s">
        <v>28</v>
      </c>
      <c r="Q59" t="s">
        <v>29</v>
      </c>
      <c r="R59" t="s">
        <v>28</v>
      </c>
      <c r="S59" t="s">
        <v>330</v>
      </c>
      <c r="T59" t="s">
        <v>331</v>
      </c>
      <c r="W59" t="s">
        <v>332</v>
      </c>
      <c r="X59" t="s">
        <v>34</v>
      </c>
      <c r="Y59" t="str">
        <f>"75244"</f>
        <v>75244</v>
      </c>
    </row>
    <row r="60" spans="1:25" x14ac:dyDescent="0.25">
      <c r="A60" t="s">
        <v>333</v>
      </c>
      <c r="B60" t="s">
        <v>334</v>
      </c>
      <c r="C60">
        <v>2021</v>
      </c>
      <c r="D60">
        <v>8001</v>
      </c>
      <c r="E60">
        <v>1</v>
      </c>
      <c r="F60" t="s">
        <v>335</v>
      </c>
      <c r="G60">
        <v>24135174</v>
      </c>
      <c r="J60">
        <v>105.31</v>
      </c>
      <c r="L60">
        <v>48386963</v>
      </c>
      <c r="M60" s="1">
        <v>44539</v>
      </c>
      <c r="N60" t="str">
        <f>"RC220113"</f>
        <v>RC220113</v>
      </c>
      <c r="O60" t="s">
        <v>28</v>
      </c>
      <c r="Q60" t="s">
        <v>29</v>
      </c>
      <c r="R60" t="s">
        <v>28</v>
      </c>
      <c r="S60" t="s">
        <v>336</v>
      </c>
      <c r="T60" t="s">
        <v>337</v>
      </c>
      <c r="W60" t="s">
        <v>304</v>
      </c>
      <c r="X60" t="s">
        <v>34</v>
      </c>
      <c r="Y60" t="str">
        <f>"77451-0014"</f>
        <v>77451-0014</v>
      </c>
    </row>
    <row r="61" spans="1:25" x14ac:dyDescent="0.25">
      <c r="A61" t="s">
        <v>343</v>
      </c>
      <c r="B61" t="s">
        <v>344</v>
      </c>
      <c r="C61">
        <v>2020</v>
      </c>
      <c r="D61">
        <v>8001</v>
      </c>
      <c r="E61">
        <v>1</v>
      </c>
      <c r="F61" t="s">
        <v>196</v>
      </c>
      <c r="G61">
        <v>0</v>
      </c>
      <c r="J61">
        <v>490.79</v>
      </c>
      <c r="L61">
        <v>45096262</v>
      </c>
      <c r="M61" s="1">
        <v>44168</v>
      </c>
      <c r="N61" t="str">
        <f>"L201203A"</f>
        <v>L201203A</v>
      </c>
      <c r="O61" t="s">
        <v>28</v>
      </c>
      <c r="Q61" t="s">
        <v>29</v>
      </c>
      <c r="R61" t="s">
        <v>28</v>
      </c>
      <c r="S61" t="s">
        <v>196</v>
      </c>
      <c r="T61" t="s">
        <v>197</v>
      </c>
      <c r="U61" t="s">
        <v>60</v>
      </c>
      <c r="V61" t="s">
        <v>60</v>
      </c>
      <c r="W61" t="s">
        <v>198</v>
      </c>
      <c r="X61" t="s">
        <v>34</v>
      </c>
      <c r="Y61" t="str">
        <f>"752524931   "</f>
        <v xml:space="preserve">752524931   </v>
      </c>
    </row>
    <row r="62" spans="1:25" x14ac:dyDescent="0.25">
      <c r="A62" t="s">
        <v>345</v>
      </c>
      <c r="B62" t="s">
        <v>346</v>
      </c>
      <c r="C62">
        <v>2020</v>
      </c>
      <c r="D62">
        <v>8001</v>
      </c>
      <c r="E62">
        <v>3</v>
      </c>
      <c r="F62" t="s">
        <v>347</v>
      </c>
      <c r="G62">
        <v>29855861</v>
      </c>
      <c r="J62">
        <v>92.25</v>
      </c>
      <c r="L62">
        <v>47493658</v>
      </c>
      <c r="M62" s="1">
        <v>44350</v>
      </c>
      <c r="N62" t="str">
        <f>"EK210603"</f>
        <v>EK210603</v>
      </c>
      <c r="O62" t="s">
        <v>28</v>
      </c>
      <c r="Q62" t="s">
        <v>29</v>
      </c>
      <c r="R62" t="s">
        <v>28</v>
      </c>
      <c r="S62" t="s">
        <v>348</v>
      </c>
      <c r="T62" t="s">
        <v>349</v>
      </c>
      <c r="W62" t="s">
        <v>107</v>
      </c>
      <c r="X62" t="s">
        <v>34</v>
      </c>
      <c r="Y62" t="str">
        <f>"77494"</f>
        <v>77494</v>
      </c>
    </row>
    <row r="63" spans="1:25" x14ac:dyDescent="0.25">
      <c r="A63" t="s">
        <v>350</v>
      </c>
      <c r="B63" t="s">
        <v>351</v>
      </c>
      <c r="C63">
        <v>2019</v>
      </c>
      <c r="D63">
        <v>8001</v>
      </c>
      <c r="E63">
        <v>1</v>
      </c>
      <c r="F63" t="s">
        <v>352</v>
      </c>
      <c r="G63">
        <v>0</v>
      </c>
      <c r="J63">
        <v>69.86</v>
      </c>
      <c r="L63">
        <v>44292542</v>
      </c>
      <c r="M63" s="1">
        <v>43991</v>
      </c>
      <c r="N63" t="str">
        <f>"J200609K3"</f>
        <v>J200609K3</v>
      </c>
      <c r="O63" t="s">
        <v>28</v>
      </c>
      <c r="Q63" t="s">
        <v>29</v>
      </c>
      <c r="R63" t="s">
        <v>28</v>
      </c>
      <c r="S63" t="s">
        <v>352</v>
      </c>
      <c r="T63" t="s">
        <v>353</v>
      </c>
      <c r="U63" t="s">
        <v>60</v>
      </c>
      <c r="V63" t="s">
        <v>60</v>
      </c>
      <c r="W63" t="s">
        <v>214</v>
      </c>
      <c r="X63" t="s">
        <v>34</v>
      </c>
      <c r="Y63" t="str">
        <f>"774062203   "</f>
        <v xml:space="preserve">774062203   </v>
      </c>
    </row>
    <row r="64" spans="1:25" x14ac:dyDescent="0.25">
      <c r="A64" t="s">
        <v>354</v>
      </c>
      <c r="B64" t="s">
        <v>355</v>
      </c>
      <c r="C64">
        <v>2020</v>
      </c>
      <c r="D64">
        <v>8001</v>
      </c>
      <c r="E64">
        <v>2</v>
      </c>
      <c r="F64" t="s">
        <v>356</v>
      </c>
      <c r="G64">
        <v>25536250</v>
      </c>
      <c r="J64">
        <v>394.32</v>
      </c>
      <c r="L64">
        <v>47197172</v>
      </c>
      <c r="M64" s="1">
        <v>44285</v>
      </c>
      <c r="N64" t="str">
        <f>"R210330AJ1"</f>
        <v>R210330AJ1</v>
      </c>
      <c r="O64" t="s">
        <v>28</v>
      </c>
      <c r="Q64" t="s">
        <v>29</v>
      </c>
      <c r="R64" t="s">
        <v>28</v>
      </c>
      <c r="S64" t="s">
        <v>357</v>
      </c>
      <c r="T64" t="s">
        <v>358</v>
      </c>
      <c r="U64" t="s">
        <v>359</v>
      </c>
      <c r="W64" t="s">
        <v>81</v>
      </c>
      <c r="X64" t="s">
        <v>34</v>
      </c>
      <c r="Y64" t="str">
        <f>"77406"</f>
        <v>77406</v>
      </c>
    </row>
    <row r="65" spans="1:25" x14ac:dyDescent="0.25">
      <c r="A65" t="s">
        <v>360</v>
      </c>
      <c r="B65" t="s">
        <v>361</v>
      </c>
      <c r="C65">
        <v>2019</v>
      </c>
      <c r="D65">
        <v>8001</v>
      </c>
      <c r="E65">
        <v>1</v>
      </c>
      <c r="F65" t="s">
        <v>362</v>
      </c>
      <c r="G65">
        <v>27360409</v>
      </c>
      <c r="J65">
        <v>333.61</v>
      </c>
      <c r="L65">
        <v>41128085</v>
      </c>
      <c r="M65" s="1">
        <v>43770</v>
      </c>
      <c r="N65" t="str">
        <f>"T191101F1"</f>
        <v>T191101F1</v>
      </c>
      <c r="O65" t="s">
        <v>28</v>
      </c>
      <c r="Q65" t="s">
        <v>29</v>
      </c>
      <c r="R65" t="s">
        <v>28</v>
      </c>
      <c r="S65" t="s">
        <v>363</v>
      </c>
      <c r="T65" t="s">
        <v>364</v>
      </c>
      <c r="W65" t="s">
        <v>365</v>
      </c>
      <c r="X65" t="s">
        <v>34</v>
      </c>
      <c r="Y65" t="str">
        <f>"77304"</f>
        <v>77304</v>
      </c>
    </row>
    <row r="66" spans="1:25" x14ac:dyDescent="0.25">
      <c r="A66" t="s">
        <v>366</v>
      </c>
      <c r="B66" t="s">
        <v>367</v>
      </c>
      <c r="C66">
        <v>2019</v>
      </c>
      <c r="D66">
        <v>8001</v>
      </c>
      <c r="E66">
        <v>2</v>
      </c>
      <c r="F66" t="s">
        <v>368</v>
      </c>
      <c r="G66">
        <v>28375203</v>
      </c>
      <c r="J66">
        <v>603.62</v>
      </c>
      <c r="L66">
        <v>44023728</v>
      </c>
      <c r="M66" s="1">
        <v>43945</v>
      </c>
      <c r="N66" t="str">
        <f>"V200424BI2"</f>
        <v>V200424BI2</v>
      </c>
      <c r="O66" t="s">
        <v>28</v>
      </c>
      <c r="Q66" t="s">
        <v>29</v>
      </c>
      <c r="R66" t="s">
        <v>28</v>
      </c>
      <c r="S66" t="s">
        <v>369</v>
      </c>
      <c r="T66" t="s">
        <v>370</v>
      </c>
      <c r="W66" t="s">
        <v>371</v>
      </c>
      <c r="X66" t="s">
        <v>34</v>
      </c>
      <c r="Y66" t="str">
        <f>"77477"</f>
        <v>77477</v>
      </c>
    </row>
    <row r="67" spans="1:25" x14ac:dyDescent="0.25">
      <c r="A67" t="s">
        <v>372</v>
      </c>
      <c r="B67" t="s">
        <v>373</v>
      </c>
      <c r="C67">
        <v>2019</v>
      </c>
      <c r="D67">
        <v>8001</v>
      </c>
      <c r="E67">
        <v>1</v>
      </c>
      <c r="F67" t="s">
        <v>374</v>
      </c>
      <c r="G67">
        <v>0</v>
      </c>
      <c r="J67">
        <v>5.29</v>
      </c>
      <c r="L67">
        <v>43714017</v>
      </c>
      <c r="M67" s="1">
        <v>43872</v>
      </c>
      <c r="N67" t="str">
        <f>"J200211AW19"</f>
        <v>J200211AW19</v>
      </c>
      <c r="O67" t="s">
        <v>28</v>
      </c>
      <c r="Q67" t="s">
        <v>29</v>
      </c>
      <c r="R67" t="s">
        <v>28</v>
      </c>
      <c r="S67" t="s">
        <v>374</v>
      </c>
      <c r="T67" t="s">
        <v>375</v>
      </c>
      <c r="U67" t="s">
        <v>60</v>
      </c>
      <c r="V67" t="s">
        <v>60</v>
      </c>
      <c r="W67" t="s">
        <v>376</v>
      </c>
      <c r="X67" t="s">
        <v>34</v>
      </c>
      <c r="Y67" t="str">
        <f>"774776611   "</f>
        <v xml:space="preserve">774776611   </v>
      </c>
    </row>
    <row r="68" spans="1:25" x14ac:dyDescent="0.25">
      <c r="A68" t="s">
        <v>377</v>
      </c>
      <c r="B68" t="s">
        <v>378</v>
      </c>
      <c r="C68">
        <v>2019</v>
      </c>
      <c r="D68">
        <v>8001</v>
      </c>
      <c r="E68">
        <v>1</v>
      </c>
      <c r="F68" t="s">
        <v>379</v>
      </c>
      <c r="G68">
        <v>27998586</v>
      </c>
      <c r="J68">
        <v>22.69</v>
      </c>
      <c r="L68">
        <v>43300881</v>
      </c>
      <c r="M68" s="1">
        <v>43859</v>
      </c>
      <c r="N68" t="str">
        <f>"J200129F9"</f>
        <v>J200129F9</v>
      </c>
      <c r="O68" t="s">
        <v>28</v>
      </c>
      <c r="Q68" t="s">
        <v>29</v>
      </c>
      <c r="R68" t="s">
        <v>28</v>
      </c>
      <c r="S68" t="s">
        <v>380</v>
      </c>
      <c r="T68" t="s">
        <v>381</v>
      </c>
      <c r="W68" t="s">
        <v>75</v>
      </c>
      <c r="X68" t="s">
        <v>34</v>
      </c>
      <c r="Y68" t="str">
        <f>"77027"</f>
        <v>77027</v>
      </c>
    </row>
    <row r="69" spans="1:25" x14ac:dyDescent="0.25">
      <c r="A69" t="s">
        <v>382</v>
      </c>
      <c r="B69" t="s">
        <v>383</v>
      </c>
      <c r="C69">
        <v>2021</v>
      </c>
      <c r="D69">
        <v>8001</v>
      </c>
      <c r="E69">
        <v>1</v>
      </c>
      <c r="F69" t="s">
        <v>384</v>
      </c>
      <c r="G69">
        <v>24671965</v>
      </c>
      <c r="J69">
        <v>162.5</v>
      </c>
      <c r="L69">
        <v>49862709</v>
      </c>
      <c r="M69" s="1">
        <v>44593</v>
      </c>
      <c r="N69" t="str">
        <f>"O220201C7"</f>
        <v>O220201C7</v>
      </c>
      <c r="O69" t="s">
        <v>28</v>
      </c>
      <c r="Q69" t="s">
        <v>29</v>
      </c>
      <c r="R69" t="s">
        <v>28</v>
      </c>
      <c r="S69" t="s">
        <v>385</v>
      </c>
      <c r="T69" t="s">
        <v>386</v>
      </c>
      <c r="W69" t="s">
        <v>371</v>
      </c>
      <c r="X69" t="s">
        <v>34</v>
      </c>
      <c r="Y69" t="str">
        <f>"774776602"</f>
        <v>774776602</v>
      </c>
    </row>
    <row r="70" spans="1:25" x14ac:dyDescent="0.25">
      <c r="A70" t="s">
        <v>387</v>
      </c>
      <c r="B70" t="s">
        <v>388</v>
      </c>
      <c r="C70">
        <v>2019</v>
      </c>
      <c r="D70">
        <v>8001</v>
      </c>
      <c r="E70">
        <v>1</v>
      </c>
      <c r="F70" t="s">
        <v>389</v>
      </c>
      <c r="G70">
        <v>28305682</v>
      </c>
      <c r="J70">
        <v>90.48</v>
      </c>
      <c r="L70">
        <v>43875737</v>
      </c>
      <c r="M70" s="1">
        <v>43894</v>
      </c>
      <c r="N70" t="str">
        <f>"EK200304"</f>
        <v>EK200304</v>
      </c>
      <c r="O70" t="s">
        <v>28</v>
      </c>
      <c r="Q70" t="s">
        <v>29</v>
      </c>
      <c r="R70" t="s">
        <v>28</v>
      </c>
      <c r="S70" t="s">
        <v>390</v>
      </c>
      <c r="T70" t="s">
        <v>391</v>
      </c>
      <c r="W70" t="s">
        <v>392</v>
      </c>
      <c r="X70" t="s">
        <v>34</v>
      </c>
      <c r="Y70" t="str">
        <f>"77459"</f>
        <v>77459</v>
      </c>
    </row>
    <row r="71" spans="1:25" x14ac:dyDescent="0.25">
      <c r="A71" t="s">
        <v>393</v>
      </c>
      <c r="B71" t="s">
        <v>394</v>
      </c>
      <c r="C71">
        <v>2021</v>
      </c>
      <c r="D71">
        <v>8001</v>
      </c>
      <c r="E71">
        <v>1</v>
      </c>
      <c r="F71" t="s">
        <v>395</v>
      </c>
      <c r="G71">
        <v>0</v>
      </c>
      <c r="J71">
        <v>159.84</v>
      </c>
      <c r="L71">
        <v>49862725</v>
      </c>
      <c r="M71" s="1">
        <v>44593</v>
      </c>
      <c r="N71" t="str">
        <f>"O220201C7"</f>
        <v>O220201C7</v>
      </c>
      <c r="O71" t="s">
        <v>28</v>
      </c>
      <c r="Q71" t="s">
        <v>29</v>
      </c>
      <c r="R71" t="s">
        <v>28</v>
      </c>
      <c r="S71" t="s">
        <v>395</v>
      </c>
      <c r="T71" t="s">
        <v>396</v>
      </c>
      <c r="U71" t="s">
        <v>60</v>
      </c>
      <c r="V71" t="s">
        <v>60</v>
      </c>
      <c r="W71" t="s">
        <v>376</v>
      </c>
      <c r="X71" t="s">
        <v>34</v>
      </c>
      <c r="Y71" t="str">
        <f>"774776602   "</f>
        <v xml:space="preserve">774776602   </v>
      </c>
    </row>
    <row r="72" spans="1:25" x14ac:dyDescent="0.25">
      <c r="A72" t="s">
        <v>397</v>
      </c>
      <c r="B72" t="s">
        <v>398</v>
      </c>
      <c r="C72">
        <v>2021</v>
      </c>
      <c r="D72">
        <v>8001</v>
      </c>
      <c r="E72">
        <v>1</v>
      </c>
      <c r="F72" t="s">
        <v>399</v>
      </c>
      <c r="G72">
        <v>30510501</v>
      </c>
      <c r="J72">
        <v>6.34</v>
      </c>
      <c r="L72">
        <v>48367733</v>
      </c>
      <c r="M72" s="1">
        <v>44538</v>
      </c>
      <c r="N72" t="str">
        <f>"RC220113"</f>
        <v>RC220113</v>
      </c>
      <c r="O72" t="s">
        <v>28</v>
      </c>
      <c r="Q72" t="s">
        <v>29</v>
      </c>
      <c r="R72" t="s">
        <v>28</v>
      </c>
      <c r="S72" t="s">
        <v>400</v>
      </c>
      <c r="T72" t="s">
        <v>401</v>
      </c>
      <c r="W72" t="s">
        <v>75</v>
      </c>
      <c r="X72" t="s">
        <v>34</v>
      </c>
      <c r="Y72" t="str">
        <f>"77098"</f>
        <v>77098</v>
      </c>
    </row>
    <row r="73" spans="1:25" x14ac:dyDescent="0.25">
      <c r="A73" t="s">
        <v>402</v>
      </c>
      <c r="B73" t="s">
        <v>403</v>
      </c>
      <c r="C73">
        <v>2020</v>
      </c>
      <c r="D73">
        <v>8001</v>
      </c>
      <c r="E73">
        <v>1</v>
      </c>
      <c r="F73" t="s">
        <v>404</v>
      </c>
      <c r="G73">
        <v>29257305</v>
      </c>
      <c r="J73">
        <v>22.66</v>
      </c>
      <c r="L73">
        <v>46284909</v>
      </c>
      <c r="M73" s="1">
        <v>44221</v>
      </c>
      <c r="N73" t="str">
        <f>"CC210125"</f>
        <v>CC210125</v>
      </c>
      <c r="O73" t="s">
        <v>28</v>
      </c>
      <c r="Q73" t="s">
        <v>29</v>
      </c>
      <c r="R73" t="s">
        <v>28</v>
      </c>
      <c r="S73" t="s">
        <v>405</v>
      </c>
      <c r="T73" t="s">
        <v>406</v>
      </c>
      <c r="W73" t="s">
        <v>407</v>
      </c>
      <c r="X73" t="s">
        <v>34</v>
      </c>
      <c r="Y73" t="str">
        <f>"77435"</f>
        <v>77435</v>
      </c>
    </row>
    <row r="74" spans="1:25" x14ac:dyDescent="0.25">
      <c r="A74" t="s">
        <v>408</v>
      </c>
      <c r="B74" t="s">
        <v>409</v>
      </c>
      <c r="C74">
        <v>2019</v>
      </c>
      <c r="D74">
        <v>8001</v>
      </c>
      <c r="E74">
        <v>1</v>
      </c>
      <c r="F74" t="s">
        <v>410</v>
      </c>
      <c r="G74">
        <v>22593431</v>
      </c>
      <c r="J74">
        <v>23.35</v>
      </c>
      <c r="L74">
        <v>43713281</v>
      </c>
      <c r="M74" s="1">
        <v>43872</v>
      </c>
      <c r="N74" t="str">
        <f>"J200211AW16"</f>
        <v>J200211AW16</v>
      </c>
      <c r="O74" t="s">
        <v>28</v>
      </c>
      <c r="Q74" t="s">
        <v>29</v>
      </c>
      <c r="R74" t="s">
        <v>28</v>
      </c>
      <c r="S74" t="s">
        <v>411</v>
      </c>
      <c r="T74" t="s">
        <v>412</v>
      </c>
      <c r="U74" t="s">
        <v>413</v>
      </c>
      <c r="W74" t="s">
        <v>407</v>
      </c>
      <c r="X74" t="s">
        <v>34</v>
      </c>
      <c r="Y74" t="str">
        <f>"77435"</f>
        <v>77435</v>
      </c>
    </row>
    <row r="75" spans="1:25" x14ac:dyDescent="0.25">
      <c r="A75" t="s">
        <v>414</v>
      </c>
      <c r="B75" t="s">
        <v>415</v>
      </c>
      <c r="C75">
        <v>2020</v>
      </c>
      <c r="D75">
        <v>8001</v>
      </c>
      <c r="E75">
        <v>1</v>
      </c>
      <c r="F75" t="s">
        <v>416</v>
      </c>
      <c r="G75">
        <v>0</v>
      </c>
      <c r="J75">
        <v>59.74</v>
      </c>
      <c r="L75">
        <v>47946213</v>
      </c>
      <c r="M75" s="1">
        <v>44502</v>
      </c>
      <c r="N75" t="str">
        <f>"J211102K2"</f>
        <v>J211102K2</v>
      </c>
      <c r="O75" t="s">
        <v>28</v>
      </c>
      <c r="Q75" t="s">
        <v>29</v>
      </c>
      <c r="R75" t="s">
        <v>28</v>
      </c>
      <c r="S75" t="s">
        <v>416</v>
      </c>
      <c r="T75" t="s">
        <v>417</v>
      </c>
      <c r="U75" t="s">
        <v>60</v>
      </c>
      <c r="V75" t="s">
        <v>60</v>
      </c>
      <c r="W75" t="s">
        <v>296</v>
      </c>
      <c r="X75" t="s">
        <v>34</v>
      </c>
      <c r="Y75" t="str">
        <f>"774170027   "</f>
        <v xml:space="preserve">774170027   </v>
      </c>
    </row>
    <row r="76" spans="1:25" x14ac:dyDescent="0.25">
      <c r="A76" t="s">
        <v>418</v>
      </c>
      <c r="B76" t="s">
        <v>419</v>
      </c>
      <c r="C76">
        <v>2020</v>
      </c>
      <c r="D76">
        <v>8001</v>
      </c>
      <c r="E76">
        <v>3</v>
      </c>
      <c r="F76" t="s">
        <v>420</v>
      </c>
      <c r="G76">
        <v>28816537</v>
      </c>
      <c r="J76">
        <v>65.319999999999993</v>
      </c>
      <c r="L76">
        <v>44998672</v>
      </c>
      <c r="M76" s="1">
        <v>44160</v>
      </c>
      <c r="N76" t="str">
        <f>"O201125U1"</f>
        <v>O201125U1</v>
      </c>
      <c r="O76" t="s">
        <v>28</v>
      </c>
      <c r="Q76" t="s">
        <v>29</v>
      </c>
      <c r="R76" t="s">
        <v>28</v>
      </c>
      <c r="S76" t="s">
        <v>421</v>
      </c>
      <c r="T76" t="s">
        <v>422</v>
      </c>
      <c r="U76" t="s">
        <v>423</v>
      </c>
      <c r="W76" t="s">
        <v>407</v>
      </c>
      <c r="X76" t="s">
        <v>34</v>
      </c>
      <c r="Y76" t="str">
        <f>"774358705"</f>
        <v>774358705</v>
      </c>
    </row>
    <row r="77" spans="1:25" x14ac:dyDescent="0.25">
      <c r="A77" t="s">
        <v>424</v>
      </c>
      <c r="B77" t="s">
        <v>425</v>
      </c>
      <c r="C77">
        <v>2021</v>
      </c>
      <c r="D77">
        <v>8001</v>
      </c>
      <c r="E77">
        <v>2</v>
      </c>
      <c r="F77" t="s">
        <v>426</v>
      </c>
      <c r="G77">
        <v>30914489</v>
      </c>
      <c r="J77">
        <v>39.49</v>
      </c>
      <c r="L77">
        <v>49035763</v>
      </c>
      <c r="M77" s="1">
        <v>44568</v>
      </c>
      <c r="N77" t="str">
        <f>"RC220202"</f>
        <v>RC220202</v>
      </c>
      <c r="O77" t="s">
        <v>28</v>
      </c>
      <c r="Q77" t="s">
        <v>29</v>
      </c>
      <c r="R77" t="s">
        <v>28</v>
      </c>
      <c r="S77" t="s">
        <v>427</v>
      </c>
      <c r="T77" t="s">
        <v>428</v>
      </c>
      <c r="U77" t="s">
        <v>429</v>
      </c>
      <c r="W77" t="s">
        <v>430</v>
      </c>
      <c r="X77" t="s">
        <v>34</v>
      </c>
      <c r="Y77" t="str">
        <f>"774859899"</f>
        <v>774859899</v>
      </c>
    </row>
    <row r="78" spans="1:25" x14ac:dyDescent="0.25">
      <c r="A78" t="s">
        <v>431</v>
      </c>
      <c r="B78" t="s">
        <v>432</v>
      </c>
      <c r="C78">
        <v>2021</v>
      </c>
      <c r="D78">
        <v>8001</v>
      </c>
      <c r="E78">
        <v>2</v>
      </c>
      <c r="F78" t="s">
        <v>433</v>
      </c>
      <c r="G78">
        <v>31115185</v>
      </c>
      <c r="J78">
        <v>105.87</v>
      </c>
      <c r="L78">
        <v>50134680</v>
      </c>
      <c r="M78" s="1">
        <v>44602</v>
      </c>
      <c r="N78" t="str">
        <f>"RC220309"</f>
        <v>RC220309</v>
      </c>
      <c r="O78" t="s">
        <v>28</v>
      </c>
      <c r="Q78" t="s">
        <v>29</v>
      </c>
      <c r="R78" t="s">
        <v>28</v>
      </c>
      <c r="S78" t="s">
        <v>434</v>
      </c>
      <c r="T78" t="s">
        <v>435</v>
      </c>
      <c r="W78" t="s">
        <v>436</v>
      </c>
      <c r="X78" t="s">
        <v>34</v>
      </c>
      <c r="Y78" t="str">
        <f>"774440394"</f>
        <v>774440394</v>
      </c>
    </row>
    <row r="79" spans="1:25" x14ac:dyDescent="0.25">
      <c r="A79" t="s">
        <v>437</v>
      </c>
      <c r="B79" t="s">
        <v>438</v>
      </c>
      <c r="C79">
        <v>2019</v>
      </c>
      <c r="D79">
        <v>8001</v>
      </c>
      <c r="E79">
        <v>2</v>
      </c>
      <c r="F79" t="s">
        <v>439</v>
      </c>
      <c r="G79">
        <v>27748054</v>
      </c>
      <c r="J79">
        <v>17.61</v>
      </c>
      <c r="L79">
        <v>42293941</v>
      </c>
      <c r="M79" s="1">
        <v>43816</v>
      </c>
      <c r="N79" t="str">
        <f>"J191217AW11"</f>
        <v>J191217AW11</v>
      </c>
      <c r="O79" t="s">
        <v>28</v>
      </c>
      <c r="Q79" t="s">
        <v>29</v>
      </c>
      <c r="R79" t="s">
        <v>28</v>
      </c>
      <c r="S79" t="s">
        <v>440</v>
      </c>
      <c r="T79" t="s">
        <v>441</v>
      </c>
      <c r="W79" t="s">
        <v>442</v>
      </c>
      <c r="X79" t="s">
        <v>443</v>
      </c>
      <c r="Y79" t="str">
        <f>"44145"</f>
        <v>44145</v>
      </c>
    </row>
    <row r="80" spans="1:25" x14ac:dyDescent="0.25">
      <c r="A80" t="s">
        <v>444</v>
      </c>
      <c r="B80" t="s">
        <v>445</v>
      </c>
      <c r="C80">
        <v>2019</v>
      </c>
      <c r="D80">
        <v>8001</v>
      </c>
      <c r="E80">
        <v>1</v>
      </c>
      <c r="F80" t="s">
        <v>446</v>
      </c>
      <c r="G80">
        <v>27426072</v>
      </c>
      <c r="J80">
        <v>539.71</v>
      </c>
      <c r="L80">
        <v>43666195</v>
      </c>
      <c r="M80" s="1">
        <v>43868</v>
      </c>
      <c r="N80" t="str">
        <f>"J200207F4"</f>
        <v>J200207F4</v>
      </c>
      <c r="O80" t="s">
        <v>28</v>
      </c>
      <c r="Q80" t="s">
        <v>29</v>
      </c>
      <c r="R80" t="s">
        <v>28</v>
      </c>
      <c r="S80" t="s">
        <v>178</v>
      </c>
      <c r="T80" t="s">
        <v>179</v>
      </c>
      <c r="U80" t="s">
        <v>180</v>
      </c>
      <c r="W80" t="s">
        <v>107</v>
      </c>
      <c r="X80" t="s">
        <v>34</v>
      </c>
      <c r="Y80" t="str">
        <f>"774943095"</f>
        <v>774943095</v>
      </c>
    </row>
    <row r="81" spans="1:25" x14ac:dyDescent="0.25">
      <c r="A81" t="s">
        <v>447</v>
      </c>
      <c r="B81" t="s">
        <v>448</v>
      </c>
      <c r="C81">
        <v>2021</v>
      </c>
      <c r="D81">
        <v>8001</v>
      </c>
      <c r="E81">
        <v>1</v>
      </c>
      <c r="F81" t="s">
        <v>449</v>
      </c>
      <c r="G81">
        <v>0</v>
      </c>
      <c r="J81">
        <v>51.23</v>
      </c>
      <c r="L81">
        <v>48286105</v>
      </c>
      <c r="M81" s="1">
        <v>44532</v>
      </c>
      <c r="N81" t="str">
        <f>"J211202K3"</f>
        <v>J211202K3</v>
      </c>
      <c r="O81" t="s">
        <v>28</v>
      </c>
      <c r="Q81" t="s">
        <v>29</v>
      </c>
      <c r="R81" t="s">
        <v>28</v>
      </c>
      <c r="S81" t="s">
        <v>449</v>
      </c>
      <c r="T81" t="s">
        <v>450</v>
      </c>
      <c r="U81" t="s">
        <v>60</v>
      </c>
      <c r="V81" t="s">
        <v>60</v>
      </c>
      <c r="W81" t="s">
        <v>214</v>
      </c>
      <c r="X81" t="s">
        <v>34</v>
      </c>
      <c r="Y81" t="str">
        <f>"774063897   "</f>
        <v xml:space="preserve">774063897   </v>
      </c>
    </row>
    <row r="82" spans="1:25" x14ac:dyDescent="0.25">
      <c r="A82" t="s">
        <v>451</v>
      </c>
      <c r="B82" t="s">
        <v>452</v>
      </c>
      <c r="C82">
        <v>2020</v>
      </c>
      <c r="D82">
        <v>8001</v>
      </c>
      <c r="E82">
        <v>4</v>
      </c>
      <c r="F82" t="s">
        <v>453</v>
      </c>
      <c r="G82">
        <v>29955714</v>
      </c>
      <c r="J82">
        <v>19.22</v>
      </c>
      <c r="L82">
        <v>47679398</v>
      </c>
      <c r="M82" s="1">
        <v>44413</v>
      </c>
      <c r="N82" t="str">
        <f>"CC210805"</f>
        <v>CC210805</v>
      </c>
      <c r="O82" t="s">
        <v>28</v>
      </c>
      <c r="Q82" t="s">
        <v>29</v>
      </c>
      <c r="R82" t="s">
        <v>28</v>
      </c>
      <c r="S82" t="s">
        <v>454</v>
      </c>
      <c r="T82" t="s">
        <v>455</v>
      </c>
      <c r="W82" t="s">
        <v>193</v>
      </c>
      <c r="X82" t="s">
        <v>34</v>
      </c>
      <c r="Y82" t="str">
        <f>"77441"</f>
        <v>77441</v>
      </c>
    </row>
    <row r="83" spans="1:25" x14ac:dyDescent="0.25">
      <c r="A83" t="s">
        <v>456</v>
      </c>
      <c r="B83" t="s">
        <v>457</v>
      </c>
      <c r="C83">
        <v>2019</v>
      </c>
      <c r="D83">
        <v>8001</v>
      </c>
      <c r="E83">
        <v>1</v>
      </c>
      <c r="F83" t="s">
        <v>458</v>
      </c>
      <c r="G83">
        <v>21750102</v>
      </c>
      <c r="J83" s="2">
        <v>1719.66</v>
      </c>
      <c r="L83">
        <v>43678504</v>
      </c>
      <c r="M83" s="1">
        <v>43868</v>
      </c>
      <c r="N83" t="str">
        <f>"O200207BS1"</f>
        <v>O200207BS1</v>
      </c>
      <c r="O83" t="s">
        <v>28</v>
      </c>
      <c r="Q83" t="s">
        <v>29</v>
      </c>
      <c r="R83" t="s">
        <v>28</v>
      </c>
      <c r="S83" t="s">
        <v>459</v>
      </c>
      <c r="T83" t="s">
        <v>460</v>
      </c>
      <c r="U83" t="s">
        <v>461</v>
      </c>
      <c r="W83" t="s">
        <v>462</v>
      </c>
      <c r="X83" t="s">
        <v>463</v>
      </c>
      <c r="Y83" t="str">
        <f>"352360567"</f>
        <v>352360567</v>
      </c>
    </row>
    <row r="84" spans="1:25" x14ac:dyDescent="0.25">
      <c r="A84" t="s">
        <v>464</v>
      </c>
      <c r="B84" t="s">
        <v>465</v>
      </c>
      <c r="C84">
        <v>2020</v>
      </c>
      <c r="D84">
        <v>8001</v>
      </c>
      <c r="E84">
        <v>1</v>
      </c>
      <c r="F84" t="s">
        <v>466</v>
      </c>
      <c r="G84">
        <v>28838484</v>
      </c>
      <c r="J84" s="2">
        <v>8049.17</v>
      </c>
      <c r="L84">
        <v>45056257</v>
      </c>
      <c r="M84" s="1">
        <v>44167</v>
      </c>
      <c r="N84" t="str">
        <f>"O201202W1"</f>
        <v>O201202W1</v>
      </c>
      <c r="O84" t="s">
        <v>28</v>
      </c>
      <c r="Q84" t="s">
        <v>29</v>
      </c>
      <c r="R84" t="s">
        <v>28</v>
      </c>
      <c r="S84" t="s">
        <v>467</v>
      </c>
      <c r="T84" t="s">
        <v>468</v>
      </c>
      <c r="W84" t="s">
        <v>332</v>
      </c>
      <c r="X84" t="s">
        <v>34</v>
      </c>
      <c r="Y84" t="str">
        <f>"752405229"</f>
        <v>752405229</v>
      </c>
    </row>
    <row r="85" spans="1:25" x14ac:dyDescent="0.25">
      <c r="A85" t="s">
        <v>469</v>
      </c>
      <c r="B85" t="s">
        <v>470</v>
      </c>
      <c r="C85">
        <v>2020</v>
      </c>
      <c r="D85">
        <v>8001</v>
      </c>
      <c r="E85">
        <v>2</v>
      </c>
      <c r="F85" t="s">
        <v>471</v>
      </c>
      <c r="G85">
        <v>23164768</v>
      </c>
      <c r="J85">
        <v>28.98</v>
      </c>
      <c r="L85">
        <v>46699031</v>
      </c>
      <c r="M85" s="1">
        <v>44230</v>
      </c>
      <c r="N85" t="str">
        <f>"O210203F1"</f>
        <v>O210203F1</v>
      </c>
      <c r="O85" t="s">
        <v>28</v>
      </c>
      <c r="Q85" t="s">
        <v>29</v>
      </c>
      <c r="R85" t="s">
        <v>28</v>
      </c>
      <c r="S85" t="s">
        <v>472</v>
      </c>
      <c r="T85" t="s">
        <v>441</v>
      </c>
      <c r="W85" t="s">
        <v>442</v>
      </c>
      <c r="X85" t="s">
        <v>443</v>
      </c>
      <c r="Y85" t="str">
        <f>"441451050"</f>
        <v>441451050</v>
      </c>
    </row>
    <row r="86" spans="1:25" x14ac:dyDescent="0.25">
      <c r="A86" t="s">
        <v>473</v>
      </c>
      <c r="B86" t="s">
        <v>474</v>
      </c>
      <c r="C86">
        <v>2019</v>
      </c>
      <c r="D86">
        <v>8001</v>
      </c>
      <c r="E86">
        <v>5</v>
      </c>
      <c r="F86" t="s">
        <v>475</v>
      </c>
      <c r="G86">
        <v>0</v>
      </c>
      <c r="J86">
        <v>7.68</v>
      </c>
      <c r="L86">
        <v>44070560</v>
      </c>
      <c r="M86" s="1">
        <v>43937</v>
      </c>
      <c r="N86" t="str">
        <f>"J200416F9"</f>
        <v>J200416F9</v>
      </c>
      <c r="O86" t="s">
        <v>28</v>
      </c>
      <c r="Q86" t="s">
        <v>29</v>
      </c>
      <c r="R86" t="s">
        <v>28</v>
      </c>
      <c r="S86" t="s">
        <v>475</v>
      </c>
      <c r="T86" t="s">
        <v>476</v>
      </c>
      <c r="U86" t="s">
        <v>60</v>
      </c>
      <c r="V86" t="s">
        <v>60</v>
      </c>
      <c r="W86" t="s">
        <v>477</v>
      </c>
      <c r="X86" t="s">
        <v>34</v>
      </c>
      <c r="Y86" t="str">
        <f>"774760586   "</f>
        <v xml:space="preserve">774760586   </v>
      </c>
    </row>
    <row r="87" spans="1:25" x14ac:dyDescent="0.25">
      <c r="A87" t="s">
        <v>478</v>
      </c>
      <c r="B87" t="s">
        <v>479</v>
      </c>
      <c r="C87">
        <v>2020</v>
      </c>
      <c r="D87">
        <v>8001</v>
      </c>
      <c r="E87">
        <v>1</v>
      </c>
      <c r="F87" t="s">
        <v>480</v>
      </c>
      <c r="G87">
        <v>29596072</v>
      </c>
      <c r="J87">
        <v>8.91</v>
      </c>
      <c r="L87">
        <v>47018841</v>
      </c>
      <c r="M87" s="1">
        <v>44258</v>
      </c>
      <c r="N87" t="str">
        <f>"EK210303"</f>
        <v>EK210303</v>
      </c>
      <c r="O87" t="s">
        <v>28</v>
      </c>
      <c r="Q87" t="s">
        <v>29</v>
      </c>
      <c r="R87" t="s">
        <v>28</v>
      </c>
      <c r="S87" t="s">
        <v>481</v>
      </c>
      <c r="T87" t="s">
        <v>482</v>
      </c>
      <c r="W87" t="s">
        <v>430</v>
      </c>
      <c r="X87" t="s">
        <v>34</v>
      </c>
      <c r="Y87" t="str">
        <f>"77485"</f>
        <v>77485</v>
      </c>
    </row>
    <row r="88" spans="1:25" x14ac:dyDescent="0.25">
      <c r="A88" t="s">
        <v>483</v>
      </c>
      <c r="B88" t="s">
        <v>484</v>
      </c>
      <c r="C88">
        <v>2021</v>
      </c>
      <c r="D88">
        <v>8001</v>
      </c>
      <c r="E88">
        <v>1</v>
      </c>
      <c r="F88" t="s">
        <v>485</v>
      </c>
      <c r="G88">
        <v>0</v>
      </c>
      <c r="J88">
        <v>17.48</v>
      </c>
      <c r="L88">
        <v>49657180</v>
      </c>
      <c r="M88" s="1">
        <v>44589</v>
      </c>
      <c r="N88" t="str">
        <f>"L220128"</f>
        <v>L220128</v>
      </c>
      <c r="O88" t="s">
        <v>28</v>
      </c>
      <c r="Q88" t="s">
        <v>29</v>
      </c>
      <c r="R88" t="s">
        <v>28</v>
      </c>
      <c r="S88" t="s">
        <v>485</v>
      </c>
      <c r="T88" t="s">
        <v>486</v>
      </c>
      <c r="U88" t="s">
        <v>60</v>
      </c>
      <c r="V88" t="s">
        <v>60</v>
      </c>
      <c r="W88" t="s">
        <v>273</v>
      </c>
      <c r="X88" t="s">
        <v>34</v>
      </c>
      <c r="Y88" t="str">
        <f>"774410961   "</f>
        <v xml:space="preserve">774410961   </v>
      </c>
    </row>
    <row r="89" spans="1:25" x14ac:dyDescent="0.25">
      <c r="A89" t="s">
        <v>487</v>
      </c>
      <c r="B89" t="s">
        <v>488</v>
      </c>
      <c r="C89">
        <v>2020</v>
      </c>
      <c r="D89">
        <v>8001</v>
      </c>
      <c r="E89">
        <v>1</v>
      </c>
      <c r="F89" t="s">
        <v>489</v>
      </c>
      <c r="G89">
        <v>29556790</v>
      </c>
      <c r="J89">
        <v>20.04</v>
      </c>
      <c r="L89">
        <v>46527692</v>
      </c>
      <c r="M89" s="1">
        <v>44225</v>
      </c>
      <c r="N89" t="str">
        <f>"RC210224"</f>
        <v>RC210224</v>
      </c>
      <c r="O89" t="s">
        <v>28</v>
      </c>
      <c r="Q89" t="s">
        <v>29</v>
      </c>
      <c r="R89" t="s">
        <v>28</v>
      </c>
      <c r="S89" t="s">
        <v>490</v>
      </c>
      <c r="T89" t="s">
        <v>491</v>
      </c>
      <c r="W89" t="s">
        <v>492</v>
      </c>
      <c r="X89" t="s">
        <v>34</v>
      </c>
      <c r="Y89" t="str">
        <f>"78610"</f>
        <v>78610</v>
      </c>
    </row>
    <row r="90" spans="1:25" x14ac:dyDescent="0.25">
      <c r="A90" t="s">
        <v>493</v>
      </c>
      <c r="B90" t="s">
        <v>494</v>
      </c>
      <c r="C90">
        <v>2020</v>
      </c>
      <c r="D90">
        <v>8001</v>
      </c>
      <c r="E90">
        <v>1</v>
      </c>
      <c r="F90" t="s">
        <v>495</v>
      </c>
      <c r="G90">
        <v>0</v>
      </c>
      <c r="J90">
        <v>0.6</v>
      </c>
      <c r="L90">
        <v>46442644</v>
      </c>
      <c r="M90" s="1">
        <v>44224</v>
      </c>
      <c r="N90" t="str">
        <f>"P210128E1"</f>
        <v>P210128E1</v>
      </c>
      <c r="O90" t="s">
        <v>260</v>
      </c>
      <c r="Q90" t="s">
        <v>29</v>
      </c>
      <c r="R90" t="s">
        <v>28</v>
      </c>
      <c r="S90" t="s">
        <v>495</v>
      </c>
      <c r="T90" t="s">
        <v>496</v>
      </c>
      <c r="U90" t="s">
        <v>60</v>
      </c>
      <c r="V90" t="s">
        <v>60</v>
      </c>
      <c r="W90" t="s">
        <v>477</v>
      </c>
      <c r="X90" t="s">
        <v>34</v>
      </c>
      <c r="Y90" t="str">
        <f>"774760649   "</f>
        <v xml:space="preserve">774760649   </v>
      </c>
    </row>
    <row r="91" spans="1:25" x14ac:dyDescent="0.25">
      <c r="A91" t="s">
        <v>497</v>
      </c>
      <c r="B91" t="s">
        <v>498</v>
      </c>
      <c r="C91">
        <v>2021</v>
      </c>
      <c r="D91">
        <v>8001</v>
      </c>
      <c r="E91">
        <v>1</v>
      </c>
      <c r="F91" t="s">
        <v>499</v>
      </c>
      <c r="G91">
        <v>23453764</v>
      </c>
      <c r="J91">
        <v>514.19000000000005</v>
      </c>
      <c r="L91">
        <v>49175380</v>
      </c>
      <c r="M91" s="1">
        <v>44574</v>
      </c>
      <c r="N91" t="str">
        <f>"RC220221"</f>
        <v>RC220221</v>
      </c>
      <c r="O91" t="s">
        <v>28</v>
      </c>
      <c r="Q91" t="s">
        <v>29</v>
      </c>
      <c r="R91" t="s">
        <v>28</v>
      </c>
      <c r="S91" t="s">
        <v>500</v>
      </c>
      <c r="T91" t="s">
        <v>501</v>
      </c>
      <c r="W91" t="s">
        <v>40</v>
      </c>
      <c r="X91" t="s">
        <v>34</v>
      </c>
      <c r="Y91" t="str">
        <f>"774795781"</f>
        <v>774795781</v>
      </c>
    </row>
    <row r="92" spans="1:25" x14ac:dyDescent="0.25">
      <c r="A92" t="s">
        <v>502</v>
      </c>
      <c r="B92" t="s">
        <v>503</v>
      </c>
      <c r="C92">
        <v>2021</v>
      </c>
      <c r="D92">
        <v>8001</v>
      </c>
      <c r="E92">
        <v>11</v>
      </c>
      <c r="F92" t="s">
        <v>504</v>
      </c>
      <c r="G92">
        <v>0</v>
      </c>
      <c r="J92">
        <v>342.24</v>
      </c>
      <c r="L92">
        <v>47712104</v>
      </c>
      <c r="M92" s="1">
        <v>44516</v>
      </c>
      <c r="N92" t="str">
        <f>"TE211116"</f>
        <v>TE211116</v>
      </c>
      <c r="O92" t="s">
        <v>28</v>
      </c>
      <c r="Q92" t="s">
        <v>29</v>
      </c>
      <c r="R92" t="s">
        <v>28</v>
      </c>
      <c r="S92" t="s">
        <v>504</v>
      </c>
      <c r="T92" t="s">
        <v>505</v>
      </c>
      <c r="U92" t="s">
        <v>60</v>
      </c>
      <c r="V92" t="s">
        <v>60</v>
      </c>
      <c r="W92" t="s">
        <v>506</v>
      </c>
      <c r="X92" t="s">
        <v>34</v>
      </c>
      <c r="Y92" t="str">
        <f>"774309600   "</f>
        <v xml:space="preserve">774309600   </v>
      </c>
    </row>
    <row r="93" spans="1:25" x14ac:dyDescent="0.25">
      <c r="A93" t="s">
        <v>502</v>
      </c>
      <c r="B93" t="s">
        <v>503</v>
      </c>
      <c r="C93">
        <v>2021</v>
      </c>
      <c r="D93">
        <v>8001</v>
      </c>
      <c r="E93">
        <v>11</v>
      </c>
      <c r="F93" t="s">
        <v>504</v>
      </c>
      <c r="G93">
        <v>25483033</v>
      </c>
      <c r="J93">
        <v>500</v>
      </c>
      <c r="L93">
        <v>47746312</v>
      </c>
      <c r="M93" s="1">
        <v>44516</v>
      </c>
      <c r="N93" t="str">
        <f>"TE211116"</f>
        <v>TE211116</v>
      </c>
      <c r="O93" t="s">
        <v>28</v>
      </c>
      <c r="Q93" t="s">
        <v>29</v>
      </c>
      <c r="R93" t="s">
        <v>28</v>
      </c>
      <c r="S93" t="s">
        <v>507</v>
      </c>
      <c r="T93" t="s">
        <v>508</v>
      </c>
      <c r="U93" t="s">
        <v>509</v>
      </c>
      <c r="W93" t="s">
        <v>46</v>
      </c>
      <c r="X93" t="s">
        <v>34</v>
      </c>
      <c r="Y93" t="str">
        <f>"774309600"</f>
        <v>774309600</v>
      </c>
    </row>
    <row r="94" spans="1:25" x14ac:dyDescent="0.25">
      <c r="A94" t="s">
        <v>502</v>
      </c>
      <c r="B94" t="s">
        <v>503</v>
      </c>
      <c r="C94">
        <v>2021</v>
      </c>
      <c r="D94">
        <v>8001</v>
      </c>
      <c r="E94">
        <v>11</v>
      </c>
      <c r="F94" t="s">
        <v>504</v>
      </c>
      <c r="G94">
        <v>0</v>
      </c>
      <c r="J94">
        <v>500</v>
      </c>
      <c r="L94">
        <v>47826701</v>
      </c>
      <c r="M94" s="1">
        <v>44516</v>
      </c>
      <c r="N94" t="str">
        <f>"TE211116"</f>
        <v>TE211116</v>
      </c>
      <c r="O94" t="s">
        <v>28</v>
      </c>
      <c r="Q94" t="s">
        <v>29</v>
      </c>
      <c r="R94" t="s">
        <v>28</v>
      </c>
      <c r="S94" t="s">
        <v>504</v>
      </c>
      <c r="T94" t="s">
        <v>505</v>
      </c>
      <c r="U94" t="s">
        <v>60</v>
      </c>
      <c r="V94" t="s">
        <v>60</v>
      </c>
      <c r="W94" t="s">
        <v>506</v>
      </c>
      <c r="X94" t="s">
        <v>34</v>
      </c>
      <c r="Y94" t="str">
        <f>"774309600   "</f>
        <v xml:space="preserve">774309600   </v>
      </c>
    </row>
    <row r="95" spans="1:25" x14ac:dyDescent="0.25">
      <c r="A95" t="s">
        <v>502</v>
      </c>
      <c r="B95" t="s">
        <v>503</v>
      </c>
      <c r="C95">
        <v>2021</v>
      </c>
      <c r="D95">
        <v>8001</v>
      </c>
      <c r="E95">
        <v>11</v>
      </c>
      <c r="F95" t="s">
        <v>504</v>
      </c>
      <c r="G95">
        <v>25775232</v>
      </c>
      <c r="J95">
        <v>500</v>
      </c>
      <c r="L95">
        <v>47911591</v>
      </c>
      <c r="M95" s="1">
        <v>44516</v>
      </c>
      <c r="N95" t="str">
        <f>"TE211116"</f>
        <v>TE211116</v>
      </c>
      <c r="O95" t="s">
        <v>28</v>
      </c>
      <c r="Q95" t="s">
        <v>29</v>
      </c>
      <c r="R95" t="s">
        <v>28</v>
      </c>
      <c r="S95" t="s">
        <v>510</v>
      </c>
      <c r="T95" t="s">
        <v>509</v>
      </c>
      <c r="W95" t="s">
        <v>46</v>
      </c>
      <c r="X95" t="s">
        <v>34</v>
      </c>
      <c r="Y95" t="str">
        <f>"774309600"</f>
        <v>774309600</v>
      </c>
    </row>
    <row r="96" spans="1:25" x14ac:dyDescent="0.25">
      <c r="A96" t="s">
        <v>511</v>
      </c>
      <c r="B96" t="s">
        <v>512</v>
      </c>
      <c r="C96">
        <v>2018</v>
      </c>
      <c r="D96">
        <v>8001</v>
      </c>
      <c r="E96">
        <v>4</v>
      </c>
      <c r="F96" t="s">
        <v>513</v>
      </c>
      <c r="G96">
        <v>0</v>
      </c>
      <c r="J96">
        <v>6.27</v>
      </c>
      <c r="L96">
        <v>41227034</v>
      </c>
      <c r="M96" s="1">
        <v>43608</v>
      </c>
      <c r="N96" t="str">
        <f>"J190523B2"</f>
        <v>J190523B2</v>
      </c>
      <c r="O96" t="s">
        <v>28</v>
      </c>
      <c r="Q96" t="s">
        <v>29</v>
      </c>
      <c r="R96" t="s">
        <v>28</v>
      </c>
      <c r="S96" t="s">
        <v>513</v>
      </c>
      <c r="T96" t="s">
        <v>514</v>
      </c>
      <c r="U96" t="s">
        <v>60</v>
      </c>
      <c r="V96" t="s">
        <v>60</v>
      </c>
      <c r="W96" t="s">
        <v>61</v>
      </c>
      <c r="X96" t="s">
        <v>34</v>
      </c>
      <c r="Y96" t="str">
        <f>"774850736   "</f>
        <v xml:space="preserve">774850736   </v>
      </c>
    </row>
    <row r="97" spans="1:25" x14ac:dyDescent="0.25">
      <c r="A97" t="s">
        <v>511</v>
      </c>
      <c r="B97" t="s">
        <v>512</v>
      </c>
      <c r="C97">
        <v>2019</v>
      </c>
      <c r="D97">
        <v>8001</v>
      </c>
      <c r="E97">
        <v>3</v>
      </c>
      <c r="F97" t="s">
        <v>513</v>
      </c>
      <c r="G97">
        <v>28657270</v>
      </c>
      <c r="J97">
        <v>5.88</v>
      </c>
      <c r="L97">
        <v>44534805</v>
      </c>
      <c r="M97" s="1">
        <v>44083</v>
      </c>
      <c r="N97" t="str">
        <f>"RC200914"</f>
        <v>RC200914</v>
      </c>
      <c r="O97" t="s">
        <v>28</v>
      </c>
      <c r="Q97" t="s">
        <v>29</v>
      </c>
      <c r="R97" t="s">
        <v>28</v>
      </c>
      <c r="S97" t="s">
        <v>515</v>
      </c>
      <c r="T97" t="s">
        <v>516</v>
      </c>
      <c r="W97" t="s">
        <v>430</v>
      </c>
      <c r="X97" t="s">
        <v>34</v>
      </c>
      <c r="Y97" t="str">
        <f>"77485736"</f>
        <v>77485736</v>
      </c>
    </row>
    <row r="98" spans="1:25" x14ac:dyDescent="0.25">
      <c r="A98" t="s">
        <v>517</v>
      </c>
      <c r="B98" t="s">
        <v>518</v>
      </c>
      <c r="C98">
        <v>2019</v>
      </c>
      <c r="D98">
        <v>8001</v>
      </c>
      <c r="E98">
        <v>1</v>
      </c>
      <c r="F98" t="s">
        <v>519</v>
      </c>
      <c r="G98">
        <v>22424318</v>
      </c>
      <c r="J98">
        <v>31.82</v>
      </c>
      <c r="L98">
        <v>44305411</v>
      </c>
      <c r="M98" s="1">
        <v>43997</v>
      </c>
      <c r="N98" t="str">
        <f>"O200615AO5"</f>
        <v>O200615AO5</v>
      </c>
      <c r="O98" t="s">
        <v>28</v>
      </c>
      <c r="Q98" t="s">
        <v>29</v>
      </c>
      <c r="R98" t="s">
        <v>28</v>
      </c>
      <c r="S98" t="s">
        <v>520</v>
      </c>
      <c r="T98" t="s">
        <v>521</v>
      </c>
      <c r="W98" t="s">
        <v>75</v>
      </c>
      <c r="X98" t="s">
        <v>34</v>
      </c>
      <c r="Y98" t="str">
        <f>"770213427"</f>
        <v>770213427</v>
      </c>
    </row>
    <row r="99" spans="1:25" x14ac:dyDescent="0.25">
      <c r="A99" t="s">
        <v>522</v>
      </c>
      <c r="B99" t="s">
        <v>523</v>
      </c>
      <c r="C99">
        <v>2021</v>
      </c>
      <c r="D99">
        <v>8001</v>
      </c>
      <c r="E99">
        <v>2</v>
      </c>
      <c r="F99" t="s">
        <v>524</v>
      </c>
      <c r="G99">
        <v>0</v>
      </c>
      <c r="J99">
        <v>7.05</v>
      </c>
      <c r="L99">
        <v>48286485</v>
      </c>
      <c r="M99" s="1">
        <v>44532</v>
      </c>
      <c r="N99" t="str">
        <f>"L211202"</f>
        <v>L211202</v>
      </c>
      <c r="O99" t="s">
        <v>28</v>
      </c>
      <c r="Q99" t="s">
        <v>29</v>
      </c>
      <c r="R99" t="s">
        <v>28</v>
      </c>
      <c r="S99" t="s">
        <v>524</v>
      </c>
      <c r="T99" t="s">
        <v>525</v>
      </c>
      <c r="U99" t="s">
        <v>60</v>
      </c>
      <c r="V99" t="s">
        <v>60</v>
      </c>
      <c r="W99" t="s">
        <v>526</v>
      </c>
      <c r="X99" t="s">
        <v>34</v>
      </c>
      <c r="Y99" t="str">
        <f>"774640464   "</f>
        <v xml:space="preserve">774640464   </v>
      </c>
    </row>
    <row r="100" spans="1:25" x14ac:dyDescent="0.25">
      <c r="A100" t="s">
        <v>527</v>
      </c>
      <c r="B100" t="s">
        <v>528</v>
      </c>
      <c r="C100">
        <v>2020</v>
      </c>
      <c r="D100">
        <v>8001</v>
      </c>
      <c r="E100">
        <v>1</v>
      </c>
      <c r="F100" t="s">
        <v>529</v>
      </c>
      <c r="G100">
        <v>29859264</v>
      </c>
      <c r="J100">
        <v>8.89</v>
      </c>
      <c r="L100">
        <v>47500763</v>
      </c>
      <c r="M100" s="1">
        <v>44351</v>
      </c>
      <c r="N100" t="str">
        <f>"CC210604"</f>
        <v>CC210604</v>
      </c>
      <c r="O100" t="s">
        <v>28</v>
      </c>
      <c r="Q100" t="s">
        <v>29</v>
      </c>
      <c r="R100" t="s">
        <v>28</v>
      </c>
      <c r="S100" t="s">
        <v>530</v>
      </c>
      <c r="T100" t="s">
        <v>531</v>
      </c>
      <c r="W100" t="s">
        <v>430</v>
      </c>
      <c r="X100" t="s">
        <v>34</v>
      </c>
      <c r="Y100" t="str">
        <f>"77485"</f>
        <v>77485</v>
      </c>
    </row>
    <row r="101" spans="1:25" x14ac:dyDescent="0.25">
      <c r="A101" t="s">
        <v>532</v>
      </c>
      <c r="B101" t="s">
        <v>533</v>
      </c>
      <c r="C101">
        <v>2018</v>
      </c>
      <c r="D101">
        <v>8001</v>
      </c>
      <c r="E101">
        <v>2</v>
      </c>
      <c r="F101" t="s">
        <v>534</v>
      </c>
      <c r="G101">
        <v>22343054</v>
      </c>
      <c r="J101">
        <v>48.62</v>
      </c>
      <c r="L101">
        <v>41033259</v>
      </c>
      <c r="M101" s="1">
        <v>43553</v>
      </c>
      <c r="N101" t="str">
        <f>"O190329X5"</f>
        <v>O190329X5</v>
      </c>
      <c r="O101" t="s">
        <v>28</v>
      </c>
      <c r="Q101" t="s">
        <v>29</v>
      </c>
      <c r="R101" t="s">
        <v>28</v>
      </c>
      <c r="S101" t="s">
        <v>535</v>
      </c>
      <c r="T101" t="s">
        <v>536</v>
      </c>
      <c r="W101" t="s">
        <v>537</v>
      </c>
      <c r="X101" t="s">
        <v>34</v>
      </c>
      <c r="Y101" t="str">
        <f>"780234186"</f>
        <v>780234186</v>
      </c>
    </row>
    <row r="102" spans="1:25" x14ac:dyDescent="0.25">
      <c r="A102" t="s">
        <v>538</v>
      </c>
      <c r="B102" t="s">
        <v>539</v>
      </c>
      <c r="C102">
        <v>2020</v>
      </c>
      <c r="D102">
        <v>8001</v>
      </c>
      <c r="E102">
        <v>1</v>
      </c>
      <c r="F102" t="s">
        <v>540</v>
      </c>
      <c r="G102">
        <v>29576662</v>
      </c>
      <c r="J102">
        <v>31.55</v>
      </c>
      <c r="L102">
        <v>46885373</v>
      </c>
      <c r="M102" s="1">
        <v>44236</v>
      </c>
      <c r="N102" t="str">
        <f>"RC210304"</f>
        <v>RC210304</v>
      </c>
      <c r="O102" t="s">
        <v>28</v>
      </c>
      <c r="Q102" t="s">
        <v>29</v>
      </c>
      <c r="R102" t="s">
        <v>28</v>
      </c>
      <c r="S102" t="s">
        <v>541</v>
      </c>
      <c r="T102" t="s">
        <v>542</v>
      </c>
      <c r="W102" t="s">
        <v>543</v>
      </c>
      <c r="X102" t="s">
        <v>34</v>
      </c>
      <c r="Y102" t="str">
        <f>"77356-8505"</f>
        <v>77356-8505</v>
      </c>
    </row>
    <row r="103" spans="1:25" x14ac:dyDescent="0.25">
      <c r="A103" t="s">
        <v>544</v>
      </c>
      <c r="B103" t="s">
        <v>545</v>
      </c>
      <c r="C103">
        <v>2020</v>
      </c>
      <c r="D103">
        <v>8001</v>
      </c>
      <c r="E103">
        <v>1</v>
      </c>
      <c r="F103" t="s">
        <v>540</v>
      </c>
      <c r="G103">
        <v>29576662</v>
      </c>
      <c r="J103">
        <v>10.5</v>
      </c>
      <c r="L103">
        <v>46885374</v>
      </c>
      <c r="M103" s="1">
        <v>44236</v>
      </c>
      <c r="N103" t="str">
        <f>"RC210304"</f>
        <v>RC210304</v>
      </c>
      <c r="O103" t="s">
        <v>28</v>
      </c>
      <c r="Q103" t="s">
        <v>29</v>
      </c>
      <c r="R103" t="s">
        <v>28</v>
      </c>
      <c r="S103" t="s">
        <v>541</v>
      </c>
      <c r="T103" t="s">
        <v>542</v>
      </c>
      <c r="W103" t="s">
        <v>543</v>
      </c>
      <c r="X103" t="s">
        <v>34</v>
      </c>
      <c r="Y103" t="str">
        <f>"77356-8505"</f>
        <v>77356-8505</v>
      </c>
    </row>
    <row r="104" spans="1:25" x14ac:dyDescent="0.25">
      <c r="A104" t="s">
        <v>546</v>
      </c>
      <c r="B104" t="s">
        <v>547</v>
      </c>
      <c r="C104">
        <v>2021</v>
      </c>
      <c r="D104">
        <v>8001</v>
      </c>
      <c r="E104">
        <v>9</v>
      </c>
      <c r="F104" t="s">
        <v>548</v>
      </c>
      <c r="G104">
        <v>22971682</v>
      </c>
      <c r="J104">
        <v>75.959999999999994</v>
      </c>
      <c r="L104">
        <v>50092365</v>
      </c>
      <c r="M104" s="1">
        <v>44600</v>
      </c>
      <c r="N104" t="str">
        <f>"RC220309"</f>
        <v>RC220309</v>
      </c>
      <c r="O104" t="s">
        <v>28</v>
      </c>
      <c r="Q104" t="s">
        <v>29</v>
      </c>
      <c r="R104" t="s">
        <v>28</v>
      </c>
      <c r="S104" t="s">
        <v>549</v>
      </c>
      <c r="T104" t="s">
        <v>550</v>
      </c>
      <c r="W104" t="s">
        <v>392</v>
      </c>
      <c r="X104" t="s">
        <v>34</v>
      </c>
      <c r="Y104" t="str">
        <f>"774592990"</f>
        <v>774592990</v>
      </c>
    </row>
    <row r="105" spans="1:25" x14ac:dyDescent="0.25">
      <c r="A105" t="s">
        <v>551</v>
      </c>
      <c r="B105" t="s">
        <v>552</v>
      </c>
      <c r="C105">
        <v>2020</v>
      </c>
      <c r="D105">
        <v>8001</v>
      </c>
      <c r="E105">
        <v>1</v>
      </c>
      <c r="F105" t="s">
        <v>553</v>
      </c>
      <c r="G105">
        <v>0</v>
      </c>
      <c r="J105">
        <v>694.02</v>
      </c>
      <c r="L105">
        <v>46334601</v>
      </c>
      <c r="M105" s="1">
        <v>44222</v>
      </c>
      <c r="N105" t="str">
        <f>"L210126"</f>
        <v>L210126</v>
      </c>
      <c r="O105" t="s">
        <v>28</v>
      </c>
      <c r="Q105" t="s">
        <v>29</v>
      </c>
      <c r="R105" t="s">
        <v>28</v>
      </c>
      <c r="S105" t="s">
        <v>553</v>
      </c>
      <c r="T105" t="s">
        <v>554</v>
      </c>
      <c r="U105" t="s">
        <v>555</v>
      </c>
      <c r="V105" t="s">
        <v>60</v>
      </c>
      <c r="W105" t="s">
        <v>556</v>
      </c>
      <c r="X105" t="s">
        <v>557</v>
      </c>
      <c r="Y105" t="str">
        <f>"066111350   "</f>
        <v xml:space="preserve">066111350   </v>
      </c>
    </row>
    <row r="106" spans="1:25" x14ac:dyDescent="0.25">
      <c r="A106" t="s">
        <v>558</v>
      </c>
      <c r="B106" t="s">
        <v>559</v>
      </c>
      <c r="C106">
        <v>2019</v>
      </c>
      <c r="D106">
        <v>8001</v>
      </c>
      <c r="E106">
        <v>3</v>
      </c>
      <c r="F106" t="s">
        <v>560</v>
      </c>
      <c r="G106">
        <v>27687617</v>
      </c>
      <c r="J106">
        <v>43.41</v>
      </c>
      <c r="L106">
        <v>44437034</v>
      </c>
      <c r="M106" s="1">
        <v>44040</v>
      </c>
      <c r="N106" t="str">
        <f>"J200728AW7"</f>
        <v>J200728AW7</v>
      </c>
      <c r="O106" t="s">
        <v>28</v>
      </c>
      <c r="Q106" t="s">
        <v>29</v>
      </c>
      <c r="R106" t="s">
        <v>28</v>
      </c>
      <c r="S106" t="s">
        <v>561</v>
      </c>
      <c r="T106" t="s">
        <v>562</v>
      </c>
      <c r="W106" t="s">
        <v>563</v>
      </c>
      <c r="X106" t="s">
        <v>34</v>
      </c>
      <c r="Y106" t="str">
        <f>"750630156"</f>
        <v>750630156</v>
      </c>
    </row>
    <row r="107" spans="1:25" x14ac:dyDescent="0.25">
      <c r="A107" t="s">
        <v>564</v>
      </c>
      <c r="B107" t="s">
        <v>565</v>
      </c>
      <c r="C107">
        <v>2020</v>
      </c>
      <c r="D107">
        <v>8001</v>
      </c>
      <c r="E107">
        <v>2</v>
      </c>
      <c r="F107" t="s">
        <v>566</v>
      </c>
      <c r="G107">
        <v>0</v>
      </c>
      <c r="J107">
        <v>6.71</v>
      </c>
      <c r="L107">
        <v>47519910</v>
      </c>
      <c r="M107" s="1">
        <v>44357</v>
      </c>
      <c r="N107" t="str">
        <f>"J210610BW2"</f>
        <v>J210610BW2</v>
      </c>
      <c r="O107" t="s">
        <v>28</v>
      </c>
      <c r="Q107" t="s">
        <v>29</v>
      </c>
      <c r="R107" t="s">
        <v>28</v>
      </c>
      <c r="S107" t="s">
        <v>566</v>
      </c>
      <c r="T107" t="s">
        <v>567</v>
      </c>
      <c r="U107" t="s">
        <v>60</v>
      </c>
      <c r="V107" t="s">
        <v>60</v>
      </c>
      <c r="W107" t="s">
        <v>568</v>
      </c>
      <c r="X107" t="s">
        <v>34</v>
      </c>
      <c r="Y107" t="str">
        <f>"787343408   "</f>
        <v xml:space="preserve">787343408   </v>
      </c>
    </row>
    <row r="108" spans="1:25" x14ac:dyDescent="0.25">
      <c r="A108" t="s">
        <v>569</v>
      </c>
      <c r="B108" t="s">
        <v>570</v>
      </c>
      <c r="C108">
        <v>2020</v>
      </c>
      <c r="D108">
        <v>8001</v>
      </c>
      <c r="E108">
        <v>1</v>
      </c>
      <c r="F108" t="s">
        <v>571</v>
      </c>
      <c r="G108">
        <v>20729334</v>
      </c>
      <c r="J108">
        <v>52.13</v>
      </c>
      <c r="L108">
        <v>45728261</v>
      </c>
      <c r="M108" s="1">
        <v>44202</v>
      </c>
      <c r="N108" t="str">
        <f>"RC210119"</f>
        <v>RC210119</v>
      </c>
      <c r="O108" t="s">
        <v>28</v>
      </c>
      <c r="Q108" t="s">
        <v>29</v>
      </c>
      <c r="R108" t="s">
        <v>28</v>
      </c>
      <c r="S108" t="s">
        <v>572</v>
      </c>
      <c r="T108" t="s">
        <v>573</v>
      </c>
      <c r="W108" t="s">
        <v>574</v>
      </c>
      <c r="X108" t="s">
        <v>34</v>
      </c>
      <c r="Y108" t="str">
        <f>"77476"</f>
        <v>77476</v>
      </c>
    </row>
    <row r="109" spans="1:25" x14ac:dyDescent="0.25">
      <c r="A109" t="s">
        <v>575</v>
      </c>
      <c r="B109" t="s">
        <v>576</v>
      </c>
      <c r="C109">
        <v>2020</v>
      </c>
      <c r="D109">
        <v>8001</v>
      </c>
      <c r="E109">
        <v>1</v>
      </c>
      <c r="F109" t="s">
        <v>577</v>
      </c>
      <c r="G109">
        <v>0</v>
      </c>
      <c r="J109">
        <v>38.07</v>
      </c>
      <c r="L109">
        <v>45728260</v>
      </c>
      <c r="M109" s="1">
        <v>44202</v>
      </c>
      <c r="N109" t="str">
        <f>"J210106K2"</f>
        <v>J210106K2</v>
      </c>
      <c r="O109" t="s">
        <v>28</v>
      </c>
      <c r="Q109" t="s">
        <v>29</v>
      </c>
      <c r="R109" t="s">
        <v>28</v>
      </c>
      <c r="S109" t="s">
        <v>577</v>
      </c>
      <c r="T109" t="s">
        <v>578</v>
      </c>
      <c r="U109" t="s">
        <v>60</v>
      </c>
      <c r="V109" t="s">
        <v>60</v>
      </c>
      <c r="W109" t="s">
        <v>477</v>
      </c>
      <c r="X109" t="s">
        <v>34</v>
      </c>
      <c r="Y109" t="str">
        <f>"774760806   "</f>
        <v xml:space="preserve">774760806   </v>
      </c>
    </row>
    <row r="110" spans="1:25" x14ac:dyDescent="0.25">
      <c r="A110" t="s">
        <v>579</v>
      </c>
      <c r="B110" t="s">
        <v>580</v>
      </c>
      <c r="C110">
        <v>2021</v>
      </c>
      <c r="D110">
        <v>8001</v>
      </c>
      <c r="E110">
        <v>1</v>
      </c>
      <c r="F110" t="s">
        <v>581</v>
      </c>
      <c r="G110">
        <v>0</v>
      </c>
      <c r="J110" s="2">
        <v>1093.3800000000001</v>
      </c>
      <c r="L110">
        <v>49549395</v>
      </c>
      <c r="M110" s="1">
        <v>44587</v>
      </c>
      <c r="N110" t="str">
        <f>"J220126BW6"</f>
        <v>J220126BW6</v>
      </c>
      <c r="O110" t="s">
        <v>28</v>
      </c>
      <c r="Q110" t="s">
        <v>29</v>
      </c>
      <c r="R110" t="s">
        <v>28</v>
      </c>
      <c r="S110" t="s">
        <v>581</v>
      </c>
      <c r="T110" t="s">
        <v>496</v>
      </c>
      <c r="U110" t="s">
        <v>60</v>
      </c>
      <c r="V110" t="s">
        <v>60</v>
      </c>
      <c r="W110" t="s">
        <v>477</v>
      </c>
      <c r="X110" t="s">
        <v>34</v>
      </c>
      <c r="Y110" t="str">
        <f>"774760649   "</f>
        <v xml:space="preserve">774760649   </v>
      </c>
    </row>
    <row r="111" spans="1:25" x14ac:dyDescent="0.25">
      <c r="A111" t="s">
        <v>582</v>
      </c>
      <c r="B111" t="s">
        <v>583</v>
      </c>
      <c r="C111">
        <v>2020</v>
      </c>
      <c r="D111">
        <v>8001</v>
      </c>
      <c r="E111">
        <v>1</v>
      </c>
      <c r="F111" t="s">
        <v>584</v>
      </c>
      <c r="G111">
        <v>28682301</v>
      </c>
      <c r="J111">
        <v>15.24</v>
      </c>
      <c r="L111">
        <v>47779174</v>
      </c>
      <c r="M111" s="1">
        <v>44474</v>
      </c>
      <c r="N111" t="str">
        <f>"RC211018"</f>
        <v>RC211018</v>
      </c>
      <c r="O111" t="s">
        <v>28</v>
      </c>
      <c r="Q111" t="s">
        <v>29</v>
      </c>
      <c r="R111" t="s">
        <v>28</v>
      </c>
      <c r="S111" t="s">
        <v>363</v>
      </c>
      <c r="T111" t="s">
        <v>585</v>
      </c>
      <c r="W111" t="s">
        <v>586</v>
      </c>
      <c r="X111" t="s">
        <v>34</v>
      </c>
      <c r="Y111" t="str">
        <f>"775846201"</f>
        <v>775846201</v>
      </c>
    </row>
    <row r="112" spans="1:25" x14ac:dyDescent="0.25">
      <c r="A112" t="s">
        <v>587</v>
      </c>
      <c r="B112" t="s">
        <v>588</v>
      </c>
      <c r="C112">
        <v>2020</v>
      </c>
      <c r="D112">
        <v>8001</v>
      </c>
      <c r="E112">
        <v>1</v>
      </c>
      <c r="F112" t="s">
        <v>589</v>
      </c>
      <c r="G112">
        <v>30087214</v>
      </c>
      <c r="J112">
        <v>15.8</v>
      </c>
      <c r="L112">
        <v>47955630</v>
      </c>
      <c r="M112" s="1">
        <v>44503</v>
      </c>
      <c r="N112" t="str">
        <f>"EK211103"</f>
        <v>EK211103</v>
      </c>
      <c r="O112" t="s">
        <v>28</v>
      </c>
      <c r="Q112" t="s">
        <v>29</v>
      </c>
      <c r="R112" t="s">
        <v>28</v>
      </c>
      <c r="S112" t="s">
        <v>590</v>
      </c>
      <c r="T112" t="s">
        <v>591</v>
      </c>
      <c r="W112" t="s">
        <v>81</v>
      </c>
      <c r="X112" t="s">
        <v>34</v>
      </c>
      <c r="Y112" t="str">
        <f>"77469"</f>
        <v>77469</v>
      </c>
    </row>
    <row r="113" spans="1:25" x14ac:dyDescent="0.25">
      <c r="A113" t="s">
        <v>592</v>
      </c>
      <c r="B113" t="s">
        <v>593</v>
      </c>
      <c r="C113">
        <v>2020</v>
      </c>
      <c r="D113">
        <v>8001</v>
      </c>
      <c r="E113">
        <v>4</v>
      </c>
      <c r="F113" t="s">
        <v>594</v>
      </c>
      <c r="G113">
        <v>29604543</v>
      </c>
      <c r="J113">
        <v>6.47</v>
      </c>
      <c r="L113">
        <v>47034725</v>
      </c>
      <c r="M113" s="1">
        <v>44259</v>
      </c>
      <c r="N113" t="str">
        <f>"CC210304"</f>
        <v>CC210304</v>
      </c>
      <c r="O113" t="s">
        <v>28</v>
      </c>
      <c r="Q113" t="s">
        <v>29</v>
      </c>
      <c r="R113" t="s">
        <v>28</v>
      </c>
      <c r="S113" t="s">
        <v>595</v>
      </c>
      <c r="T113" t="s">
        <v>596</v>
      </c>
      <c r="W113" t="s">
        <v>81</v>
      </c>
      <c r="X113" t="s">
        <v>34</v>
      </c>
      <c r="Y113" t="str">
        <f>"77469"</f>
        <v>77469</v>
      </c>
    </row>
    <row r="114" spans="1:25" x14ac:dyDescent="0.25">
      <c r="A114" t="s">
        <v>597</v>
      </c>
      <c r="B114" t="s">
        <v>598</v>
      </c>
      <c r="C114">
        <v>2020</v>
      </c>
      <c r="D114">
        <v>8001</v>
      </c>
      <c r="E114">
        <v>1</v>
      </c>
      <c r="F114" t="s">
        <v>599</v>
      </c>
      <c r="G114">
        <v>29871405</v>
      </c>
      <c r="J114">
        <v>36.07</v>
      </c>
      <c r="L114">
        <v>47509956</v>
      </c>
      <c r="M114" s="1">
        <v>44355</v>
      </c>
      <c r="N114" t="str">
        <f>"RC210614"</f>
        <v>RC210614</v>
      </c>
      <c r="O114" t="s">
        <v>28</v>
      </c>
      <c r="Q114" t="s">
        <v>29</v>
      </c>
      <c r="R114" t="s">
        <v>28</v>
      </c>
      <c r="S114" t="s">
        <v>600</v>
      </c>
      <c r="T114" t="s">
        <v>601</v>
      </c>
      <c r="U114" t="s">
        <v>602</v>
      </c>
      <c r="W114" t="s">
        <v>75</v>
      </c>
      <c r="X114" t="s">
        <v>34</v>
      </c>
      <c r="Y114" t="str">
        <f>"77043-3109"</f>
        <v>77043-3109</v>
      </c>
    </row>
    <row r="115" spans="1:25" x14ac:dyDescent="0.25">
      <c r="A115" t="s">
        <v>603</v>
      </c>
      <c r="B115" t="s">
        <v>604</v>
      </c>
      <c r="C115">
        <v>2018</v>
      </c>
      <c r="D115">
        <v>8001</v>
      </c>
      <c r="E115">
        <v>1</v>
      </c>
      <c r="F115" t="s">
        <v>605</v>
      </c>
      <c r="G115">
        <v>27382712</v>
      </c>
      <c r="J115">
        <v>116.03</v>
      </c>
      <c r="L115">
        <v>41176952</v>
      </c>
      <c r="M115" s="1">
        <v>43592</v>
      </c>
      <c r="N115" t="str">
        <f>"J190507AW8"</f>
        <v>J190507AW8</v>
      </c>
      <c r="O115" t="s">
        <v>28</v>
      </c>
      <c r="Q115" t="s">
        <v>29</v>
      </c>
      <c r="R115" t="s">
        <v>28</v>
      </c>
      <c r="S115" t="s">
        <v>606</v>
      </c>
      <c r="T115" t="s">
        <v>607</v>
      </c>
      <c r="W115" t="s">
        <v>608</v>
      </c>
      <c r="X115" t="s">
        <v>34</v>
      </c>
      <c r="Y115" t="str">
        <f>"77488"</f>
        <v>77488</v>
      </c>
    </row>
    <row r="116" spans="1:25" x14ac:dyDescent="0.25">
      <c r="A116" t="s">
        <v>609</v>
      </c>
      <c r="B116" t="s">
        <v>610</v>
      </c>
      <c r="C116">
        <v>2019</v>
      </c>
      <c r="D116">
        <v>8001</v>
      </c>
      <c r="E116">
        <v>1</v>
      </c>
      <c r="F116" t="s">
        <v>611</v>
      </c>
      <c r="G116">
        <v>0</v>
      </c>
      <c r="J116">
        <v>14.32</v>
      </c>
      <c r="L116">
        <v>43915013</v>
      </c>
      <c r="M116" s="1">
        <v>43900</v>
      </c>
      <c r="N116" t="str">
        <f>"J200310AW2"</f>
        <v>J200310AW2</v>
      </c>
      <c r="O116" t="s">
        <v>28</v>
      </c>
      <c r="Q116" t="s">
        <v>29</v>
      </c>
      <c r="R116" t="s">
        <v>28</v>
      </c>
      <c r="S116" t="s">
        <v>611</v>
      </c>
      <c r="T116" t="s">
        <v>612</v>
      </c>
      <c r="U116" t="s">
        <v>60</v>
      </c>
      <c r="V116" t="s">
        <v>60</v>
      </c>
      <c r="W116" t="s">
        <v>219</v>
      </c>
      <c r="X116" t="s">
        <v>34</v>
      </c>
      <c r="Y116" t="str">
        <f>"774982634   "</f>
        <v xml:space="preserve">774982634   </v>
      </c>
    </row>
    <row r="117" spans="1:25" x14ac:dyDescent="0.25">
      <c r="A117" t="s">
        <v>613</v>
      </c>
      <c r="B117" t="s">
        <v>614</v>
      </c>
      <c r="C117">
        <v>2021</v>
      </c>
      <c r="D117">
        <v>8001</v>
      </c>
      <c r="E117">
        <v>1</v>
      </c>
      <c r="F117" t="s">
        <v>615</v>
      </c>
      <c r="G117">
        <v>22114556</v>
      </c>
      <c r="J117">
        <v>5.5</v>
      </c>
      <c r="L117">
        <v>49241676</v>
      </c>
      <c r="M117" s="1">
        <v>44579</v>
      </c>
      <c r="N117" t="str">
        <f>"RC220221"</f>
        <v>RC220221</v>
      </c>
      <c r="O117" t="s">
        <v>28</v>
      </c>
      <c r="Q117" t="s">
        <v>29</v>
      </c>
      <c r="R117" t="s">
        <v>28</v>
      </c>
      <c r="S117" t="s">
        <v>616</v>
      </c>
      <c r="T117" t="s">
        <v>617</v>
      </c>
      <c r="W117" t="s">
        <v>618</v>
      </c>
      <c r="X117" t="s">
        <v>34</v>
      </c>
      <c r="Y117" t="str">
        <f>"774618931"</f>
        <v>774618931</v>
      </c>
    </row>
    <row r="118" spans="1:25" x14ac:dyDescent="0.25">
      <c r="A118" t="s">
        <v>619</v>
      </c>
      <c r="B118" t="s">
        <v>620</v>
      </c>
      <c r="C118">
        <v>2021</v>
      </c>
      <c r="D118">
        <v>8001</v>
      </c>
      <c r="E118">
        <v>2</v>
      </c>
      <c r="F118" t="s">
        <v>621</v>
      </c>
      <c r="G118">
        <v>0</v>
      </c>
      <c r="J118">
        <v>20</v>
      </c>
      <c r="L118">
        <v>49967896</v>
      </c>
      <c r="M118" s="1">
        <v>44595</v>
      </c>
      <c r="N118" t="str">
        <f>"L220203A"</f>
        <v>L220203A</v>
      </c>
      <c r="O118" t="s">
        <v>28</v>
      </c>
      <c r="Q118" t="s">
        <v>29</v>
      </c>
      <c r="R118" t="s">
        <v>28</v>
      </c>
      <c r="S118" t="s">
        <v>621</v>
      </c>
      <c r="T118" t="s">
        <v>622</v>
      </c>
      <c r="U118" t="s">
        <v>60</v>
      </c>
      <c r="V118" t="s">
        <v>60</v>
      </c>
      <c r="W118" t="s">
        <v>135</v>
      </c>
      <c r="X118" t="s">
        <v>34</v>
      </c>
      <c r="Y118" t="str">
        <f>"770773408   "</f>
        <v xml:space="preserve">770773408   </v>
      </c>
    </row>
    <row r="119" spans="1:25" x14ac:dyDescent="0.25">
      <c r="A119" t="s">
        <v>623</v>
      </c>
      <c r="B119" t="s">
        <v>624</v>
      </c>
      <c r="C119">
        <v>2020</v>
      </c>
      <c r="D119">
        <v>8001</v>
      </c>
      <c r="E119">
        <v>3</v>
      </c>
      <c r="F119" t="s">
        <v>625</v>
      </c>
      <c r="G119">
        <v>29130138</v>
      </c>
      <c r="J119">
        <v>7.19</v>
      </c>
      <c r="L119">
        <v>45810349</v>
      </c>
      <c r="M119" s="1">
        <v>44203</v>
      </c>
      <c r="N119" t="str">
        <f>"RC210119"</f>
        <v>RC210119</v>
      </c>
      <c r="O119" t="s">
        <v>28</v>
      </c>
      <c r="Q119" t="s">
        <v>29</v>
      </c>
      <c r="R119" t="s">
        <v>28</v>
      </c>
      <c r="S119" t="s">
        <v>626</v>
      </c>
      <c r="T119" t="s">
        <v>627</v>
      </c>
      <c r="W119" t="s">
        <v>628</v>
      </c>
      <c r="X119" t="s">
        <v>34</v>
      </c>
      <c r="Y119" t="str">
        <f>"77351"</f>
        <v>77351</v>
      </c>
    </row>
    <row r="120" spans="1:25" x14ac:dyDescent="0.25">
      <c r="A120" t="s">
        <v>629</v>
      </c>
      <c r="B120" t="s">
        <v>630</v>
      </c>
      <c r="C120">
        <v>2021</v>
      </c>
      <c r="D120">
        <v>8001</v>
      </c>
      <c r="E120">
        <v>1</v>
      </c>
      <c r="F120" t="s">
        <v>631</v>
      </c>
      <c r="G120">
        <v>0</v>
      </c>
      <c r="J120">
        <v>618.28</v>
      </c>
      <c r="L120">
        <v>49452043</v>
      </c>
      <c r="M120" s="1">
        <v>44585</v>
      </c>
      <c r="N120" t="str">
        <f>"J220124K5"</f>
        <v>J220124K5</v>
      </c>
      <c r="O120" t="s">
        <v>28</v>
      </c>
      <c r="Q120" t="s">
        <v>29</v>
      </c>
      <c r="R120" t="s">
        <v>28</v>
      </c>
      <c r="S120" t="s">
        <v>631</v>
      </c>
      <c r="T120" t="s">
        <v>632</v>
      </c>
      <c r="U120" t="s">
        <v>60</v>
      </c>
      <c r="V120" t="s">
        <v>60</v>
      </c>
      <c r="W120" t="s">
        <v>376</v>
      </c>
      <c r="X120" t="s">
        <v>34</v>
      </c>
      <c r="Y120" t="str">
        <f>"774775520   "</f>
        <v xml:space="preserve">774775520   </v>
      </c>
    </row>
    <row r="121" spans="1:25" x14ac:dyDescent="0.25">
      <c r="A121" t="s">
        <v>633</v>
      </c>
      <c r="B121" t="s">
        <v>634</v>
      </c>
      <c r="C121">
        <v>2019</v>
      </c>
      <c r="D121">
        <v>8001</v>
      </c>
      <c r="E121">
        <v>1</v>
      </c>
      <c r="F121" t="s">
        <v>635</v>
      </c>
      <c r="G121">
        <v>0</v>
      </c>
      <c r="J121" s="2">
        <v>1937.68</v>
      </c>
      <c r="L121">
        <v>43742566</v>
      </c>
      <c r="M121" s="1">
        <v>43878</v>
      </c>
      <c r="N121" t="str">
        <f>"J200217K3"</f>
        <v>J200217K3</v>
      </c>
      <c r="O121" t="s">
        <v>28</v>
      </c>
      <c r="Q121" t="s">
        <v>29</v>
      </c>
      <c r="R121" t="s">
        <v>28</v>
      </c>
      <c r="S121" t="s">
        <v>635</v>
      </c>
      <c r="T121" t="s">
        <v>636</v>
      </c>
      <c r="U121" t="s">
        <v>60</v>
      </c>
      <c r="V121" t="s">
        <v>60</v>
      </c>
      <c r="W121" t="s">
        <v>135</v>
      </c>
      <c r="X121" t="s">
        <v>34</v>
      </c>
      <c r="Y121" t="str">
        <f>"770355007   "</f>
        <v xml:space="preserve">770355007   </v>
      </c>
    </row>
    <row r="122" spans="1:25" x14ac:dyDescent="0.25">
      <c r="A122" t="s">
        <v>633</v>
      </c>
      <c r="B122" t="s">
        <v>634</v>
      </c>
      <c r="C122">
        <v>2020</v>
      </c>
      <c r="D122">
        <v>8001</v>
      </c>
      <c r="E122">
        <v>2</v>
      </c>
      <c r="F122" t="s">
        <v>635</v>
      </c>
      <c r="G122">
        <v>0</v>
      </c>
      <c r="J122">
        <v>34.11</v>
      </c>
      <c r="L122">
        <v>47014721</v>
      </c>
      <c r="M122" s="1">
        <v>44257</v>
      </c>
      <c r="N122" t="str">
        <f>"EL210302"</f>
        <v>EL210302</v>
      </c>
      <c r="O122" t="s">
        <v>28</v>
      </c>
      <c r="Q122" t="s">
        <v>29</v>
      </c>
      <c r="R122" t="s">
        <v>28</v>
      </c>
      <c r="S122" t="s">
        <v>635</v>
      </c>
      <c r="T122" t="s">
        <v>636</v>
      </c>
      <c r="U122" t="s">
        <v>60</v>
      </c>
      <c r="V122" t="s">
        <v>60</v>
      </c>
      <c r="W122" t="s">
        <v>135</v>
      </c>
      <c r="X122" t="s">
        <v>34</v>
      </c>
      <c r="Y122" t="str">
        <f>"770355007   "</f>
        <v xml:space="preserve">770355007   </v>
      </c>
    </row>
    <row r="123" spans="1:25" x14ac:dyDescent="0.25">
      <c r="A123" t="s">
        <v>637</v>
      </c>
      <c r="B123" t="s">
        <v>638</v>
      </c>
      <c r="C123">
        <v>2020</v>
      </c>
      <c r="D123">
        <v>8001</v>
      </c>
      <c r="E123">
        <v>1</v>
      </c>
      <c r="F123" t="s">
        <v>639</v>
      </c>
      <c r="G123">
        <v>29108512</v>
      </c>
      <c r="J123">
        <v>11.21</v>
      </c>
      <c r="L123">
        <v>45747440</v>
      </c>
      <c r="M123" s="1">
        <v>44202</v>
      </c>
      <c r="N123" t="str">
        <f>"RC210119"</f>
        <v>RC210119</v>
      </c>
      <c r="O123" t="s">
        <v>28</v>
      </c>
      <c r="Q123" t="s">
        <v>29</v>
      </c>
      <c r="R123" t="s">
        <v>28</v>
      </c>
      <c r="S123" t="s">
        <v>639</v>
      </c>
      <c r="T123" t="s">
        <v>640</v>
      </c>
      <c r="U123" t="s">
        <v>641</v>
      </c>
      <c r="V123" t="s">
        <v>642</v>
      </c>
      <c r="W123" t="s">
        <v>112</v>
      </c>
      <c r="X123" t="s">
        <v>34</v>
      </c>
      <c r="Y123" t="str">
        <f>"774987468"</f>
        <v>774987468</v>
      </c>
    </row>
    <row r="124" spans="1:25" x14ac:dyDescent="0.25">
      <c r="A124" t="s">
        <v>643</v>
      </c>
      <c r="B124" t="s">
        <v>644</v>
      </c>
      <c r="C124">
        <v>2020</v>
      </c>
      <c r="D124">
        <v>8001</v>
      </c>
      <c r="E124">
        <v>1</v>
      </c>
      <c r="F124" t="s">
        <v>639</v>
      </c>
      <c r="G124">
        <v>29108512</v>
      </c>
      <c r="J124">
        <v>11.89</v>
      </c>
      <c r="L124">
        <v>45747439</v>
      </c>
      <c r="M124" s="1">
        <v>44202</v>
      </c>
      <c r="N124" t="str">
        <f>"RC210119"</f>
        <v>RC210119</v>
      </c>
      <c r="O124" t="s">
        <v>28</v>
      </c>
      <c r="Q124" t="s">
        <v>29</v>
      </c>
      <c r="R124" t="s">
        <v>28</v>
      </c>
      <c r="S124" t="s">
        <v>639</v>
      </c>
      <c r="T124" t="s">
        <v>640</v>
      </c>
      <c r="U124" t="s">
        <v>641</v>
      </c>
      <c r="V124" t="s">
        <v>642</v>
      </c>
      <c r="W124" t="s">
        <v>112</v>
      </c>
      <c r="X124" t="s">
        <v>34</v>
      </c>
      <c r="Y124" t="str">
        <f>"774987468"</f>
        <v>774987468</v>
      </c>
    </row>
    <row r="125" spans="1:25" x14ac:dyDescent="0.25">
      <c r="A125" t="s">
        <v>645</v>
      </c>
      <c r="B125" t="s">
        <v>646</v>
      </c>
      <c r="C125">
        <v>2020</v>
      </c>
      <c r="D125">
        <v>8001</v>
      </c>
      <c r="E125">
        <v>1</v>
      </c>
      <c r="F125" t="s">
        <v>647</v>
      </c>
      <c r="G125">
        <v>0</v>
      </c>
      <c r="J125">
        <v>19.5</v>
      </c>
      <c r="L125">
        <v>42677349</v>
      </c>
      <c r="M125" s="1">
        <v>44147</v>
      </c>
      <c r="N125" t="str">
        <f>"TE201112"</f>
        <v>TE201112</v>
      </c>
      <c r="O125" t="s">
        <v>28</v>
      </c>
      <c r="Q125" t="s">
        <v>29</v>
      </c>
      <c r="R125" t="s">
        <v>28</v>
      </c>
      <c r="S125" t="s">
        <v>647</v>
      </c>
      <c r="T125" t="s">
        <v>648</v>
      </c>
      <c r="U125" t="s">
        <v>60</v>
      </c>
      <c r="V125" t="s">
        <v>60</v>
      </c>
      <c r="W125" t="s">
        <v>649</v>
      </c>
      <c r="X125" t="s">
        <v>34</v>
      </c>
      <c r="Y125" t="str">
        <f>"774719534   "</f>
        <v xml:space="preserve">774719534   </v>
      </c>
    </row>
    <row r="126" spans="1:25" x14ac:dyDescent="0.25">
      <c r="A126" t="s">
        <v>650</v>
      </c>
      <c r="B126" t="s">
        <v>651</v>
      </c>
      <c r="C126">
        <v>2021</v>
      </c>
      <c r="D126">
        <v>8001</v>
      </c>
      <c r="E126">
        <v>1</v>
      </c>
      <c r="F126" t="s">
        <v>652</v>
      </c>
      <c r="G126">
        <v>21920352</v>
      </c>
      <c r="J126">
        <v>193.01</v>
      </c>
      <c r="L126">
        <v>47764530</v>
      </c>
      <c r="M126" s="1">
        <v>44516</v>
      </c>
      <c r="N126" t="str">
        <f>"TE211116"</f>
        <v>TE211116</v>
      </c>
      <c r="O126" t="s">
        <v>28</v>
      </c>
      <c r="Q126" t="s">
        <v>29</v>
      </c>
      <c r="R126" t="s">
        <v>28</v>
      </c>
      <c r="S126" t="s">
        <v>653</v>
      </c>
      <c r="T126" t="s">
        <v>654</v>
      </c>
      <c r="W126" t="s">
        <v>154</v>
      </c>
      <c r="X126" t="s">
        <v>34</v>
      </c>
      <c r="Y126" t="str">
        <f>"774718810"</f>
        <v>774718810</v>
      </c>
    </row>
    <row r="127" spans="1:25" x14ac:dyDescent="0.25">
      <c r="A127" t="s">
        <v>655</v>
      </c>
      <c r="B127" t="s">
        <v>656</v>
      </c>
      <c r="C127">
        <v>2020</v>
      </c>
      <c r="D127">
        <v>8001</v>
      </c>
      <c r="E127">
        <v>2</v>
      </c>
      <c r="F127" t="s">
        <v>657</v>
      </c>
      <c r="G127">
        <v>0</v>
      </c>
      <c r="J127" s="2">
        <v>1836.69</v>
      </c>
      <c r="L127">
        <v>47886409</v>
      </c>
      <c r="M127" s="1">
        <v>44497</v>
      </c>
      <c r="N127" t="str">
        <f>"O211028AE1"</f>
        <v>O211028AE1</v>
      </c>
      <c r="O127" t="s">
        <v>28</v>
      </c>
      <c r="Q127" t="s">
        <v>29</v>
      </c>
      <c r="R127" t="s">
        <v>28</v>
      </c>
      <c r="S127" t="s">
        <v>657</v>
      </c>
      <c r="T127" t="s">
        <v>658</v>
      </c>
      <c r="U127" t="s">
        <v>60</v>
      </c>
      <c r="V127" t="s">
        <v>60</v>
      </c>
      <c r="W127" t="s">
        <v>214</v>
      </c>
      <c r="X127" t="s">
        <v>34</v>
      </c>
      <c r="Y127" t="str">
        <f>"774063995   "</f>
        <v xml:space="preserve">774063995   </v>
      </c>
    </row>
    <row r="128" spans="1:25" x14ac:dyDescent="0.25">
      <c r="A128" t="s">
        <v>659</v>
      </c>
      <c r="B128" t="s">
        <v>660</v>
      </c>
      <c r="C128">
        <v>2018</v>
      </c>
      <c r="D128">
        <v>8001</v>
      </c>
      <c r="E128">
        <v>1</v>
      </c>
      <c r="F128" t="s">
        <v>661</v>
      </c>
      <c r="G128">
        <v>27306304</v>
      </c>
      <c r="J128">
        <v>15.12</v>
      </c>
      <c r="L128">
        <v>41012536</v>
      </c>
      <c r="M128" s="1">
        <v>43551</v>
      </c>
      <c r="N128" t="str">
        <f>"S190327AX1"</f>
        <v>S190327AX1</v>
      </c>
      <c r="O128" t="s">
        <v>28</v>
      </c>
      <c r="Q128" t="s">
        <v>29</v>
      </c>
      <c r="R128" t="s">
        <v>28</v>
      </c>
      <c r="S128" t="s">
        <v>662</v>
      </c>
      <c r="T128" t="s">
        <v>663</v>
      </c>
      <c r="W128" t="s">
        <v>664</v>
      </c>
      <c r="X128" t="s">
        <v>665</v>
      </c>
      <c r="Y128" t="str">
        <f>"50309"</f>
        <v>50309</v>
      </c>
    </row>
    <row r="129" spans="1:25" x14ac:dyDescent="0.25">
      <c r="A129" t="s">
        <v>666</v>
      </c>
      <c r="B129" t="s">
        <v>667</v>
      </c>
      <c r="C129">
        <v>2020</v>
      </c>
      <c r="D129">
        <v>8001</v>
      </c>
      <c r="E129">
        <v>1</v>
      </c>
      <c r="F129" t="s">
        <v>668</v>
      </c>
      <c r="G129">
        <v>22300497</v>
      </c>
      <c r="J129">
        <v>84.2</v>
      </c>
      <c r="L129">
        <v>47765837</v>
      </c>
      <c r="M129" s="1">
        <v>44468</v>
      </c>
      <c r="N129" t="str">
        <f>"RC211004"</f>
        <v>RC211004</v>
      </c>
      <c r="O129" t="s">
        <v>28</v>
      </c>
      <c r="Q129" t="s">
        <v>29</v>
      </c>
      <c r="R129" t="s">
        <v>28</v>
      </c>
      <c r="S129" t="s">
        <v>669</v>
      </c>
      <c r="T129" t="s">
        <v>670</v>
      </c>
      <c r="W129" t="s">
        <v>75</v>
      </c>
      <c r="X129" t="s">
        <v>34</v>
      </c>
      <c r="Y129" t="str">
        <f>"770654996"</f>
        <v>770654996</v>
      </c>
    </row>
    <row r="130" spans="1:25" x14ac:dyDescent="0.25">
      <c r="A130" t="s">
        <v>671</v>
      </c>
      <c r="B130" t="s">
        <v>672</v>
      </c>
      <c r="C130">
        <v>2021</v>
      </c>
      <c r="D130">
        <v>8001</v>
      </c>
      <c r="E130">
        <v>1</v>
      </c>
      <c r="F130" t="s">
        <v>673</v>
      </c>
      <c r="G130">
        <v>30576336</v>
      </c>
      <c r="J130">
        <v>56.17</v>
      </c>
      <c r="L130">
        <v>48670415</v>
      </c>
      <c r="M130" s="1">
        <v>44557</v>
      </c>
      <c r="N130" t="str">
        <f>"RC220125"</f>
        <v>RC220125</v>
      </c>
      <c r="O130" t="s">
        <v>28</v>
      </c>
      <c r="Q130" t="s">
        <v>29</v>
      </c>
      <c r="R130" t="s">
        <v>28</v>
      </c>
      <c r="S130" t="s">
        <v>674</v>
      </c>
      <c r="T130" t="s">
        <v>675</v>
      </c>
      <c r="U130" t="s">
        <v>676</v>
      </c>
      <c r="V130" t="s">
        <v>677</v>
      </c>
      <c r="W130" t="s">
        <v>107</v>
      </c>
      <c r="X130" t="s">
        <v>34</v>
      </c>
      <c r="Y130" t="str">
        <f>"774945410"</f>
        <v>774945410</v>
      </c>
    </row>
    <row r="131" spans="1:25" x14ac:dyDescent="0.25">
      <c r="A131" t="s">
        <v>678</v>
      </c>
      <c r="B131" t="s">
        <v>679</v>
      </c>
      <c r="C131">
        <v>2019</v>
      </c>
      <c r="D131">
        <v>8001</v>
      </c>
      <c r="E131">
        <v>1</v>
      </c>
      <c r="F131" t="s">
        <v>680</v>
      </c>
      <c r="G131">
        <v>25704758</v>
      </c>
      <c r="J131">
        <v>71.53</v>
      </c>
      <c r="L131">
        <v>43180673</v>
      </c>
      <c r="M131" s="1">
        <v>43857</v>
      </c>
      <c r="N131" t="str">
        <f>"O200127AH1"</f>
        <v>O200127AH1</v>
      </c>
      <c r="O131" t="s">
        <v>28</v>
      </c>
      <c r="Q131" t="s">
        <v>29</v>
      </c>
      <c r="R131" t="s">
        <v>28</v>
      </c>
      <c r="S131" t="s">
        <v>681</v>
      </c>
      <c r="T131" t="s">
        <v>682</v>
      </c>
      <c r="W131" t="s">
        <v>112</v>
      </c>
      <c r="X131" t="s">
        <v>34</v>
      </c>
      <c r="Y131" t="str">
        <f>"774989541"</f>
        <v>774989541</v>
      </c>
    </row>
    <row r="132" spans="1:25" x14ac:dyDescent="0.25">
      <c r="A132" t="s">
        <v>683</v>
      </c>
      <c r="B132" t="s">
        <v>684</v>
      </c>
      <c r="C132">
        <v>2020</v>
      </c>
      <c r="D132">
        <v>8001</v>
      </c>
      <c r="E132">
        <v>1</v>
      </c>
      <c r="F132" t="s">
        <v>685</v>
      </c>
      <c r="G132">
        <v>25015143</v>
      </c>
      <c r="J132">
        <v>60.06</v>
      </c>
      <c r="L132">
        <v>46790186</v>
      </c>
      <c r="M132" s="1">
        <v>44231</v>
      </c>
      <c r="N132" t="str">
        <f>"RC210301"</f>
        <v>RC210301</v>
      </c>
      <c r="O132" t="s">
        <v>28</v>
      </c>
      <c r="Q132" t="s">
        <v>29</v>
      </c>
      <c r="R132" t="s">
        <v>28</v>
      </c>
      <c r="S132" t="s">
        <v>686</v>
      </c>
      <c r="T132" t="s">
        <v>203</v>
      </c>
      <c r="U132" t="s">
        <v>687</v>
      </c>
      <c r="W132" t="s">
        <v>688</v>
      </c>
      <c r="X132" t="s">
        <v>34</v>
      </c>
      <c r="Y132" t="str">
        <f>"77505"</f>
        <v>77505</v>
      </c>
    </row>
    <row r="133" spans="1:25" x14ac:dyDescent="0.25">
      <c r="A133" t="s">
        <v>689</v>
      </c>
      <c r="B133" t="s">
        <v>690</v>
      </c>
      <c r="C133">
        <v>2020</v>
      </c>
      <c r="D133">
        <v>8001</v>
      </c>
      <c r="E133">
        <v>1</v>
      </c>
      <c r="F133" t="s">
        <v>691</v>
      </c>
      <c r="G133">
        <v>25850500</v>
      </c>
      <c r="J133" s="2">
        <v>1306.92</v>
      </c>
      <c r="L133">
        <v>45608868</v>
      </c>
      <c r="M133" s="1">
        <v>44196</v>
      </c>
      <c r="N133" t="str">
        <f>"RC210114"</f>
        <v>RC210114</v>
      </c>
      <c r="O133" t="s">
        <v>28</v>
      </c>
      <c r="Q133" t="s">
        <v>29</v>
      </c>
      <c r="R133" t="s">
        <v>28</v>
      </c>
      <c r="S133" t="s">
        <v>692</v>
      </c>
      <c r="T133" t="s">
        <v>693</v>
      </c>
      <c r="W133" t="s">
        <v>107</v>
      </c>
      <c r="X133" t="s">
        <v>34</v>
      </c>
      <c r="Y133" t="str">
        <f>"77494"</f>
        <v>77494</v>
      </c>
    </row>
    <row r="134" spans="1:25" x14ac:dyDescent="0.25">
      <c r="A134" t="s">
        <v>694</v>
      </c>
      <c r="B134" t="s">
        <v>695</v>
      </c>
      <c r="C134">
        <v>2021</v>
      </c>
      <c r="D134">
        <v>8001</v>
      </c>
      <c r="E134">
        <v>3</v>
      </c>
      <c r="F134" t="s">
        <v>696</v>
      </c>
      <c r="G134">
        <v>30118850</v>
      </c>
      <c r="J134">
        <v>72.459999999999994</v>
      </c>
      <c r="L134">
        <v>48044497</v>
      </c>
      <c r="M134" s="1">
        <v>44516</v>
      </c>
      <c r="N134" t="str">
        <f>"TE211116"</f>
        <v>TE211116</v>
      </c>
      <c r="O134" t="s">
        <v>28</v>
      </c>
      <c r="Q134" t="s">
        <v>29</v>
      </c>
      <c r="R134" t="s">
        <v>28</v>
      </c>
      <c r="S134" t="s">
        <v>697</v>
      </c>
      <c r="T134" t="s">
        <v>698</v>
      </c>
      <c r="W134" t="s">
        <v>107</v>
      </c>
      <c r="X134" t="s">
        <v>34</v>
      </c>
      <c r="Y134" t="str">
        <f>"774507587"</f>
        <v>774507587</v>
      </c>
    </row>
    <row r="135" spans="1:25" x14ac:dyDescent="0.25">
      <c r="A135" t="s">
        <v>699</v>
      </c>
      <c r="B135" t="s">
        <v>700</v>
      </c>
      <c r="C135">
        <v>2020</v>
      </c>
      <c r="D135">
        <v>8001</v>
      </c>
      <c r="E135">
        <v>10</v>
      </c>
      <c r="F135" t="s">
        <v>701</v>
      </c>
      <c r="G135">
        <v>27236513</v>
      </c>
      <c r="J135">
        <v>8.74</v>
      </c>
      <c r="L135">
        <v>47354768</v>
      </c>
      <c r="M135" s="1">
        <v>44316</v>
      </c>
      <c r="N135" t="str">
        <f>"O210430AC6"</f>
        <v>O210430AC6</v>
      </c>
      <c r="O135" t="s">
        <v>28</v>
      </c>
      <c r="Q135" t="s">
        <v>29</v>
      </c>
      <c r="R135" t="s">
        <v>28</v>
      </c>
      <c r="S135" t="s">
        <v>702</v>
      </c>
      <c r="T135" t="s">
        <v>703</v>
      </c>
      <c r="W135" t="s">
        <v>40</v>
      </c>
      <c r="X135" t="s">
        <v>34</v>
      </c>
      <c r="Y135" t="str">
        <f>"774989841"</f>
        <v>774989841</v>
      </c>
    </row>
    <row r="136" spans="1:25" x14ac:dyDescent="0.25">
      <c r="A136" t="s">
        <v>704</v>
      </c>
      <c r="B136" t="s">
        <v>705</v>
      </c>
      <c r="C136">
        <v>2021</v>
      </c>
      <c r="D136">
        <v>8001</v>
      </c>
      <c r="E136">
        <v>2</v>
      </c>
      <c r="F136" t="s">
        <v>706</v>
      </c>
      <c r="G136">
        <v>30576366</v>
      </c>
      <c r="J136">
        <v>100</v>
      </c>
      <c r="L136">
        <v>48764329</v>
      </c>
      <c r="M136" s="1">
        <v>44559</v>
      </c>
      <c r="N136" t="str">
        <f>"RC220125"</f>
        <v>RC220125</v>
      </c>
      <c r="O136" t="s">
        <v>28</v>
      </c>
      <c r="Q136" t="s">
        <v>29</v>
      </c>
      <c r="R136" t="s">
        <v>28</v>
      </c>
      <c r="S136" t="s">
        <v>707</v>
      </c>
      <c r="T136" t="s">
        <v>708</v>
      </c>
      <c r="U136" t="s">
        <v>709</v>
      </c>
      <c r="V136" t="s">
        <v>710</v>
      </c>
      <c r="W136" t="s">
        <v>711</v>
      </c>
      <c r="X136" t="s">
        <v>34</v>
      </c>
      <c r="Y136" t="str">
        <f>"774449705"</f>
        <v>774449705</v>
      </c>
    </row>
    <row r="137" spans="1:25" x14ac:dyDescent="0.25">
      <c r="A137" t="s">
        <v>712</v>
      </c>
      <c r="B137" t="s">
        <v>713</v>
      </c>
      <c r="C137">
        <v>2019</v>
      </c>
      <c r="D137">
        <v>8001</v>
      </c>
      <c r="E137">
        <v>1</v>
      </c>
      <c r="F137" t="s">
        <v>714</v>
      </c>
      <c r="G137">
        <v>27715891</v>
      </c>
      <c r="J137">
        <v>172.64</v>
      </c>
      <c r="L137">
        <v>42150290</v>
      </c>
      <c r="M137" s="1">
        <v>43808</v>
      </c>
      <c r="N137" t="str">
        <f>"O191209AG8"</f>
        <v>O191209AG8</v>
      </c>
      <c r="O137" t="s">
        <v>28</v>
      </c>
      <c r="Q137" t="s">
        <v>29</v>
      </c>
      <c r="R137" t="s">
        <v>28</v>
      </c>
      <c r="S137" t="s">
        <v>715</v>
      </c>
      <c r="T137" t="s">
        <v>716</v>
      </c>
      <c r="W137" t="s">
        <v>618</v>
      </c>
      <c r="X137" t="s">
        <v>34</v>
      </c>
      <c r="Y137" t="str">
        <f>"774618969"</f>
        <v>774618969</v>
      </c>
    </row>
    <row r="138" spans="1:25" x14ac:dyDescent="0.25">
      <c r="A138" t="s">
        <v>717</v>
      </c>
      <c r="B138" t="s">
        <v>718</v>
      </c>
      <c r="C138">
        <v>2018</v>
      </c>
      <c r="D138">
        <v>8001</v>
      </c>
      <c r="E138">
        <v>2</v>
      </c>
      <c r="F138" t="s">
        <v>719</v>
      </c>
      <c r="G138">
        <v>0</v>
      </c>
      <c r="J138">
        <v>31.43</v>
      </c>
      <c r="L138">
        <v>41243749</v>
      </c>
      <c r="M138" s="1">
        <v>43614</v>
      </c>
      <c r="N138" t="str">
        <f>"O190529BE5"</f>
        <v>O190529BE5</v>
      </c>
      <c r="O138" t="s">
        <v>28</v>
      </c>
      <c r="Q138" t="s">
        <v>29</v>
      </c>
      <c r="R138" t="s">
        <v>28</v>
      </c>
      <c r="S138" t="s">
        <v>719</v>
      </c>
      <c r="T138" t="s">
        <v>720</v>
      </c>
      <c r="U138" t="s">
        <v>60</v>
      </c>
      <c r="V138" t="s">
        <v>60</v>
      </c>
      <c r="W138" t="s">
        <v>721</v>
      </c>
      <c r="X138" t="s">
        <v>34</v>
      </c>
      <c r="Y138" t="str">
        <f>"775832136   "</f>
        <v xml:space="preserve">775832136   </v>
      </c>
    </row>
    <row r="139" spans="1:25" x14ac:dyDescent="0.25">
      <c r="A139" t="s">
        <v>722</v>
      </c>
      <c r="B139" t="s">
        <v>723</v>
      </c>
      <c r="C139">
        <v>2021</v>
      </c>
      <c r="D139">
        <v>8001</v>
      </c>
      <c r="E139">
        <v>1</v>
      </c>
      <c r="F139" t="s">
        <v>724</v>
      </c>
      <c r="G139">
        <v>29550975</v>
      </c>
      <c r="J139">
        <v>5.7</v>
      </c>
      <c r="L139">
        <v>46934717</v>
      </c>
      <c r="M139" s="1">
        <v>44516</v>
      </c>
      <c r="N139" t="str">
        <f>"TE211116"</f>
        <v>TE211116</v>
      </c>
      <c r="O139" t="s">
        <v>28</v>
      </c>
      <c r="Q139" t="s">
        <v>29</v>
      </c>
      <c r="R139" t="s">
        <v>28</v>
      </c>
      <c r="S139" t="s">
        <v>725</v>
      </c>
      <c r="T139" t="s">
        <v>726</v>
      </c>
      <c r="W139" t="s">
        <v>727</v>
      </c>
      <c r="X139" t="s">
        <v>34</v>
      </c>
      <c r="Y139" t="str">
        <f>"775832115"</f>
        <v>775832115</v>
      </c>
    </row>
    <row r="140" spans="1:25" x14ac:dyDescent="0.25">
      <c r="A140" t="s">
        <v>728</v>
      </c>
      <c r="B140" t="s">
        <v>729</v>
      </c>
      <c r="C140">
        <v>2021</v>
      </c>
      <c r="D140">
        <v>8001</v>
      </c>
      <c r="E140">
        <v>2</v>
      </c>
      <c r="F140" t="s">
        <v>730</v>
      </c>
      <c r="G140">
        <v>26397143</v>
      </c>
      <c r="J140">
        <v>96.11</v>
      </c>
      <c r="L140">
        <v>50066097</v>
      </c>
      <c r="M140" s="1">
        <v>44599</v>
      </c>
      <c r="N140" t="str">
        <f>"RC220310"</f>
        <v>RC220310</v>
      </c>
      <c r="O140" t="s">
        <v>28</v>
      </c>
      <c r="Q140" t="s">
        <v>29</v>
      </c>
      <c r="R140" t="s">
        <v>28</v>
      </c>
      <c r="S140" t="s">
        <v>731</v>
      </c>
      <c r="T140" t="s">
        <v>732</v>
      </c>
      <c r="W140" t="s">
        <v>75</v>
      </c>
      <c r="X140" t="s">
        <v>34</v>
      </c>
      <c r="Y140" t="str">
        <f>"770912352"</f>
        <v>770912352</v>
      </c>
    </row>
    <row r="141" spans="1:25" x14ac:dyDescent="0.25">
      <c r="A141" t="s">
        <v>733</v>
      </c>
      <c r="B141" t="s">
        <v>734</v>
      </c>
      <c r="C141">
        <v>2019</v>
      </c>
      <c r="D141">
        <v>8001</v>
      </c>
      <c r="E141">
        <v>2</v>
      </c>
      <c r="F141" t="s">
        <v>735</v>
      </c>
      <c r="G141">
        <v>0</v>
      </c>
      <c r="J141">
        <v>52.45</v>
      </c>
      <c r="L141">
        <v>43765170</v>
      </c>
      <c r="M141" s="1">
        <v>43881</v>
      </c>
      <c r="N141" t="str">
        <f>"L200220"</f>
        <v>L200220</v>
      </c>
      <c r="O141" t="s">
        <v>28</v>
      </c>
      <c r="Q141" t="s">
        <v>29</v>
      </c>
      <c r="R141" t="s">
        <v>28</v>
      </c>
      <c r="S141" t="s">
        <v>735</v>
      </c>
      <c r="T141" t="s">
        <v>736</v>
      </c>
      <c r="U141" t="s">
        <v>737</v>
      </c>
      <c r="V141" t="s">
        <v>738</v>
      </c>
      <c r="W141" t="s">
        <v>135</v>
      </c>
      <c r="X141" t="s">
        <v>34</v>
      </c>
      <c r="Y141" t="str">
        <f>"77046       "</f>
        <v xml:space="preserve">77046       </v>
      </c>
    </row>
    <row r="142" spans="1:25" x14ac:dyDescent="0.25">
      <c r="A142" t="s">
        <v>739</v>
      </c>
      <c r="B142" t="s">
        <v>740</v>
      </c>
      <c r="C142">
        <v>2019</v>
      </c>
      <c r="D142">
        <v>8001</v>
      </c>
      <c r="E142">
        <v>1</v>
      </c>
      <c r="F142" t="s">
        <v>741</v>
      </c>
      <c r="G142">
        <v>27703227</v>
      </c>
      <c r="J142">
        <v>12.43</v>
      </c>
      <c r="L142">
        <v>42099291</v>
      </c>
      <c r="M142" s="1">
        <v>43803</v>
      </c>
      <c r="N142" t="str">
        <f>"O191204BL1"</f>
        <v>O191204BL1</v>
      </c>
      <c r="O142" t="s">
        <v>28</v>
      </c>
      <c r="Q142" t="s">
        <v>29</v>
      </c>
      <c r="R142" t="s">
        <v>28</v>
      </c>
      <c r="S142" t="s">
        <v>742</v>
      </c>
      <c r="T142" t="s">
        <v>743</v>
      </c>
      <c r="W142" t="s">
        <v>40</v>
      </c>
      <c r="X142" t="s">
        <v>34</v>
      </c>
      <c r="Y142" t="str">
        <f>"774981212"</f>
        <v>774981212</v>
      </c>
    </row>
    <row r="143" spans="1:25" x14ac:dyDescent="0.25">
      <c r="A143" t="s">
        <v>744</v>
      </c>
      <c r="B143" t="s">
        <v>745</v>
      </c>
      <c r="C143">
        <v>2019</v>
      </c>
      <c r="D143">
        <v>8001</v>
      </c>
      <c r="E143">
        <v>1</v>
      </c>
      <c r="F143" t="s">
        <v>746</v>
      </c>
      <c r="G143">
        <v>0</v>
      </c>
      <c r="J143">
        <v>5.87</v>
      </c>
      <c r="L143">
        <v>43606686</v>
      </c>
      <c r="M143" s="1">
        <v>43866</v>
      </c>
      <c r="N143" t="str">
        <f>"L200205"</f>
        <v>L200205</v>
      </c>
      <c r="O143" t="s">
        <v>28</v>
      </c>
      <c r="Q143" t="s">
        <v>29</v>
      </c>
      <c r="R143" t="s">
        <v>28</v>
      </c>
      <c r="S143" t="s">
        <v>746</v>
      </c>
      <c r="T143" t="s">
        <v>747</v>
      </c>
      <c r="U143" t="s">
        <v>60</v>
      </c>
      <c r="V143" t="s">
        <v>60</v>
      </c>
      <c r="W143" t="s">
        <v>219</v>
      </c>
      <c r="X143" t="s">
        <v>34</v>
      </c>
      <c r="Y143" t="str">
        <f>"774981366   "</f>
        <v xml:space="preserve">774981366   </v>
      </c>
    </row>
    <row r="144" spans="1:25" x14ac:dyDescent="0.25">
      <c r="A144" t="s">
        <v>748</v>
      </c>
      <c r="B144" t="s">
        <v>749</v>
      </c>
      <c r="C144">
        <v>2019</v>
      </c>
      <c r="D144">
        <v>8001</v>
      </c>
      <c r="E144">
        <v>1</v>
      </c>
      <c r="F144" t="s">
        <v>750</v>
      </c>
      <c r="G144">
        <v>27294460</v>
      </c>
      <c r="J144">
        <v>55.32</v>
      </c>
      <c r="L144">
        <v>40982079</v>
      </c>
      <c r="M144" s="1">
        <v>43766</v>
      </c>
      <c r="N144" t="str">
        <f>"TE191028"</f>
        <v>TE191028</v>
      </c>
      <c r="O144" t="s">
        <v>28</v>
      </c>
      <c r="Q144" t="s">
        <v>29</v>
      </c>
      <c r="R144" t="s">
        <v>28</v>
      </c>
      <c r="S144" t="s">
        <v>751</v>
      </c>
      <c r="T144" t="s">
        <v>752</v>
      </c>
      <c r="W144" t="s">
        <v>40</v>
      </c>
      <c r="X144" t="s">
        <v>34</v>
      </c>
      <c r="Y144" t="str">
        <f>"774981395"</f>
        <v>774981395</v>
      </c>
    </row>
    <row r="145" spans="1:25" x14ac:dyDescent="0.25">
      <c r="A145" t="s">
        <v>753</v>
      </c>
      <c r="B145" t="s">
        <v>754</v>
      </c>
      <c r="C145">
        <v>2019</v>
      </c>
      <c r="D145">
        <v>8001</v>
      </c>
      <c r="E145">
        <v>2</v>
      </c>
      <c r="F145" t="s">
        <v>755</v>
      </c>
      <c r="G145">
        <v>22145549</v>
      </c>
      <c r="J145">
        <v>312.62</v>
      </c>
      <c r="L145">
        <v>44327689</v>
      </c>
      <c r="M145" s="1">
        <v>44005</v>
      </c>
      <c r="N145" t="str">
        <f>"J200623K4"</f>
        <v>J200623K4</v>
      </c>
      <c r="O145" t="s">
        <v>28</v>
      </c>
      <c r="Q145" t="s">
        <v>29</v>
      </c>
      <c r="R145" t="s">
        <v>28</v>
      </c>
      <c r="S145" t="s">
        <v>756</v>
      </c>
      <c r="T145" t="s">
        <v>757</v>
      </c>
      <c r="W145" t="s">
        <v>40</v>
      </c>
      <c r="X145" t="s">
        <v>34</v>
      </c>
      <c r="Y145" t="str">
        <f>"77498"</f>
        <v>77498</v>
      </c>
    </row>
    <row r="146" spans="1:25" x14ac:dyDescent="0.25">
      <c r="A146" t="s">
        <v>758</v>
      </c>
      <c r="B146" t="s">
        <v>759</v>
      </c>
      <c r="C146">
        <v>2020</v>
      </c>
      <c r="D146">
        <v>8001</v>
      </c>
      <c r="E146">
        <v>4</v>
      </c>
      <c r="F146" t="s">
        <v>760</v>
      </c>
      <c r="G146">
        <v>29955099</v>
      </c>
      <c r="J146">
        <v>9.7200000000000006</v>
      </c>
      <c r="L146">
        <v>47678392</v>
      </c>
      <c r="M146" s="1">
        <v>44412</v>
      </c>
      <c r="N146" t="str">
        <f>"CC410804"</f>
        <v>CC410804</v>
      </c>
      <c r="O146" t="s">
        <v>28</v>
      </c>
      <c r="Q146" t="s">
        <v>29</v>
      </c>
      <c r="R146" t="s">
        <v>28</v>
      </c>
      <c r="S146" t="s">
        <v>761</v>
      </c>
      <c r="T146" t="s">
        <v>762</v>
      </c>
      <c r="W146" t="s">
        <v>75</v>
      </c>
      <c r="X146" t="s">
        <v>34</v>
      </c>
      <c r="Y146" t="str">
        <f>"77084"</f>
        <v>77084</v>
      </c>
    </row>
    <row r="147" spans="1:25" x14ac:dyDescent="0.25">
      <c r="A147" t="s">
        <v>763</v>
      </c>
      <c r="B147" t="s">
        <v>764</v>
      </c>
      <c r="C147">
        <v>2021</v>
      </c>
      <c r="D147">
        <v>8001</v>
      </c>
      <c r="E147">
        <v>1</v>
      </c>
      <c r="F147" t="s">
        <v>765</v>
      </c>
      <c r="G147">
        <v>0</v>
      </c>
      <c r="J147">
        <v>155.31</v>
      </c>
      <c r="L147">
        <v>49444885</v>
      </c>
      <c r="M147" s="1">
        <v>44585</v>
      </c>
      <c r="N147" t="str">
        <f>"O220124BO1"</f>
        <v>O220124BO1</v>
      </c>
      <c r="O147" t="s">
        <v>28</v>
      </c>
      <c r="Q147" t="s">
        <v>29</v>
      </c>
      <c r="R147" t="s">
        <v>28</v>
      </c>
      <c r="S147" t="s">
        <v>765</v>
      </c>
      <c r="T147" t="s">
        <v>766</v>
      </c>
      <c r="U147" t="s">
        <v>60</v>
      </c>
      <c r="V147" t="s">
        <v>60</v>
      </c>
      <c r="W147" t="s">
        <v>219</v>
      </c>
      <c r="X147" t="s">
        <v>34</v>
      </c>
      <c r="Y147" t="str">
        <f>"774981377   "</f>
        <v xml:space="preserve">774981377   </v>
      </c>
    </row>
    <row r="148" spans="1:25" x14ac:dyDescent="0.25">
      <c r="A148" t="s">
        <v>767</v>
      </c>
      <c r="B148" t="s">
        <v>768</v>
      </c>
      <c r="C148">
        <v>2020</v>
      </c>
      <c r="D148">
        <v>8001</v>
      </c>
      <c r="E148">
        <v>1</v>
      </c>
      <c r="F148" t="s">
        <v>769</v>
      </c>
      <c r="G148">
        <v>24402622</v>
      </c>
      <c r="J148">
        <v>206.78</v>
      </c>
      <c r="L148">
        <v>46797045</v>
      </c>
      <c r="M148" s="1">
        <v>44232</v>
      </c>
      <c r="N148" t="str">
        <f>"O210205W1"</f>
        <v>O210205W1</v>
      </c>
      <c r="O148" t="s">
        <v>28</v>
      </c>
      <c r="Q148" t="s">
        <v>29</v>
      </c>
      <c r="R148" t="s">
        <v>28</v>
      </c>
      <c r="S148" t="s">
        <v>770</v>
      </c>
      <c r="T148" t="s">
        <v>771</v>
      </c>
      <c r="W148" t="s">
        <v>81</v>
      </c>
      <c r="X148" t="s">
        <v>34</v>
      </c>
      <c r="Y148" t="str">
        <f>"774069204"</f>
        <v>774069204</v>
      </c>
    </row>
    <row r="149" spans="1:25" x14ac:dyDescent="0.25">
      <c r="A149" t="s">
        <v>772</v>
      </c>
      <c r="B149" t="s">
        <v>773</v>
      </c>
      <c r="C149">
        <v>2019</v>
      </c>
      <c r="D149">
        <v>8001</v>
      </c>
      <c r="E149">
        <v>1</v>
      </c>
      <c r="F149" t="s">
        <v>774</v>
      </c>
      <c r="G149">
        <v>27660911</v>
      </c>
      <c r="J149">
        <v>351.28</v>
      </c>
      <c r="L149">
        <v>43717410</v>
      </c>
      <c r="M149" s="1">
        <v>43873</v>
      </c>
      <c r="N149" t="str">
        <f>"J200212AW5"</f>
        <v>J200212AW5</v>
      </c>
      <c r="O149" t="s">
        <v>28</v>
      </c>
      <c r="Q149" t="s">
        <v>29</v>
      </c>
      <c r="R149" t="s">
        <v>28</v>
      </c>
      <c r="S149" t="s">
        <v>775</v>
      </c>
      <c r="T149" t="s">
        <v>776</v>
      </c>
      <c r="W149" t="s">
        <v>40</v>
      </c>
      <c r="X149" t="s">
        <v>34</v>
      </c>
      <c r="Y149" t="str">
        <f>"77478"</f>
        <v>77478</v>
      </c>
    </row>
    <row r="150" spans="1:25" x14ac:dyDescent="0.25">
      <c r="A150" t="s">
        <v>781</v>
      </c>
      <c r="B150" t="s">
        <v>782</v>
      </c>
      <c r="C150">
        <v>2020</v>
      </c>
      <c r="D150">
        <v>8001</v>
      </c>
      <c r="E150">
        <v>2</v>
      </c>
      <c r="F150" t="s">
        <v>783</v>
      </c>
      <c r="G150">
        <v>0</v>
      </c>
      <c r="J150">
        <v>74.02</v>
      </c>
      <c r="L150">
        <v>47811751</v>
      </c>
      <c r="M150" s="1">
        <v>44487</v>
      </c>
      <c r="N150" t="str">
        <f>"J211018K1"</f>
        <v>J211018K1</v>
      </c>
      <c r="O150" t="s">
        <v>28</v>
      </c>
      <c r="Q150" t="s">
        <v>29</v>
      </c>
      <c r="R150" t="s">
        <v>28</v>
      </c>
      <c r="S150" t="s">
        <v>783</v>
      </c>
      <c r="T150" t="s">
        <v>784</v>
      </c>
      <c r="U150" t="s">
        <v>60</v>
      </c>
      <c r="V150" t="s">
        <v>60</v>
      </c>
      <c r="W150" t="s">
        <v>785</v>
      </c>
      <c r="X150" t="s">
        <v>34</v>
      </c>
      <c r="Y150" t="str">
        <f>"783774410   "</f>
        <v xml:space="preserve">783774410   </v>
      </c>
    </row>
    <row r="151" spans="1:25" x14ac:dyDescent="0.25">
      <c r="A151" t="s">
        <v>786</v>
      </c>
      <c r="B151" t="s">
        <v>787</v>
      </c>
      <c r="C151">
        <v>2020</v>
      </c>
      <c r="D151">
        <v>8001</v>
      </c>
      <c r="E151">
        <v>1</v>
      </c>
      <c r="F151" t="s">
        <v>788</v>
      </c>
      <c r="G151">
        <v>26700162</v>
      </c>
      <c r="J151">
        <v>185.78</v>
      </c>
      <c r="L151">
        <v>45153230</v>
      </c>
      <c r="M151" s="1">
        <v>44173</v>
      </c>
      <c r="N151" t="str">
        <f>"RC201217"</f>
        <v>RC201217</v>
      </c>
      <c r="O151" t="s">
        <v>28</v>
      </c>
      <c r="Q151" t="s">
        <v>29</v>
      </c>
      <c r="R151" t="s">
        <v>28</v>
      </c>
      <c r="S151" t="s">
        <v>789</v>
      </c>
      <c r="T151" t="s">
        <v>790</v>
      </c>
      <c r="W151" t="s">
        <v>75</v>
      </c>
      <c r="X151" t="s">
        <v>34</v>
      </c>
      <c r="Y151" t="str">
        <f>"770844935"</f>
        <v>770844935</v>
      </c>
    </row>
    <row r="152" spans="1:25" x14ac:dyDescent="0.25">
      <c r="A152" t="s">
        <v>791</v>
      </c>
      <c r="B152" t="s">
        <v>792</v>
      </c>
      <c r="C152">
        <v>2019</v>
      </c>
      <c r="D152">
        <v>8001</v>
      </c>
      <c r="E152">
        <v>1</v>
      </c>
      <c r="F152" t="s">
        <v>788</v>
      </c>
      <c r="G152">
        <v>26700162</v>
      </c>
      <c r="J152">
        <v>109.65</v>
      </c>
      <c r="L152">
        <v>43720437</v>
      </c>
      <c r="M152" s="1">
        <v>43873</v>
      </c>
      <c r="N152" t="str">
        <f>"J200212AW12"</f>
        <v>J200212AW12</v>
      </c>
      <c r="O152" t="s">
        <v>28</v>
      </c>
      <c r="Q152" t="s">
        <v>29</v>
      </c>
      <c r="R152" t="s">
        <v>28</v>
      </c>
      <c r="S152" t="s">
        <v>789</v>
      </c>
      <c r="T152" t="s">
        <v>790</v>
      </c>
      <c r="W152" t="s">
        <v>75</v>
      </c>
      <c r="X152" t="s">
        <v>34</v>
      </c>
      <c r="Y152" t="str">
        <f>"770844935"</f>
        <v>770844935</v>
      </c>
    </row>
    <row r="153" spans="1:25" x14ac:dyDescent="0.25">
      <c r="A153" t="s">
        <v>793</v>
      </c>
      <c r="B153" t="s">
        <v>794</v>
      </c>
      <c r="C153">
        <v>2020</v>
      </c>
      <c r="D153">
        <v>8001</v>
      </c>
      <c r="E153">
        <v>1</v>
      </c>
      <c r="F153" t="s">
        <v>795</v>
      </c>
      <c r="G153">
        <v>27400178</v>
      </c>
      <c r="J153">
        <v>5.33</v>
      </c>
      <c r="L153">
        <v>41220557</v>
      </c>
      <c r="M153" s="1">
        <v>44148</v>
      </c>
      <c r="N153" t="str">
        <f>"T201113F1"</f>
        <v>T201113F1</v>
      </c>
      <c r="O153" t="s">
        <v>28</v>
      </c>
      <c r="Q153" t="s">
        <v>29</v>
      </c>
      <c r="R153" t="s">
        <v>28</v>
      </c>
      <c r="S153" t="s">
        <v>796</v>
      </c>
      <c r="T153" t="s">
        <v>797</v>
      </c>
      <c r="U153" t="s">
        <v>798</v>
      </c>
      <c r="W153" t="s">
        <v>799</v>
      </c>
      <c r="X153" t="s">
        <v>34</v>
      </c>
      <c r="Y153" t="str">
        <f>"775463294"</f>
        <v>775463294</v>
      </c>
    </row>
    <row r="154" spans="1:25" x14ac:dyDescent="0.25">
      <c r="A154" t="s">
        <v>800</v>
      </c>
      <c r="B154" t="s">
        <v>801</v>
      </c>
      <c r="C154">
        <v>2020</v>
      </c>
      <c r="D154">
        <v>8001</v>
      </c>
      <c r="E154">
        <v>1</v>
      </c>
      <c r="F154" t="s">
        <v>802</v>
      </c>
      <c r="G154">
        <v>0</v>
      </c>
      <c r="J154">
        <v>206</v>
      </c>
      <c r="L154">
        <v>45828878</v>
      </c>
      <c r="M154" s="1">
        <v>44204</v>
      </c>
      <c r="N154" t="str">
        <f>"L210108"</f>
        <v>L210108</v>
      </c>
      <c r="O154" t="s">
        <v>28</v>
      </c>
      <c r="Q154" t="s">
        <v>29</v>
      </c>
      <c r="R154" t="s">
        <v>28</v>
      </c>
      <c r="S154" t="s">
        <v>802</v>
      </c>
      <c r="T154" t="s">
        <v>803</v>
      </c>
      <c r="U154" t="s">
        <v>60</v>
      </c>
      <c r="V154" t="s">
        <v>60</v>
      </c>
      <c r="W154" t="s">
        <v>98</v>
      </c>
      <c r="X154" t="s">
        <v>34</v>
      </c>
      <c r="Y154" t="str">
        <f>"774619297   "</f>
        <v xml:space="preserve">774619297   </v>
      </c>
    </row>
    <row r="155" spans="1:25" x14ac:dyDescent="0.25">
      <c r="A155" t="s">
        <v>804</v>
      </c>
      <c r="B155" t="s">
        <v>805</v>
      </c>
      <c r="C155">
        <v>2020</v>
      </c>
      <c r="D155">
        <v>8001</v>
      </c>
      <c r="E155">
        <v>1</v>
      </c>
      <c r="F155" t="s">
        <v>806</v>
      </c>
      <c r="G155">
        <v>30087219</v>
      </c>
      <c r="J155">
        <v>6.26</v>
      </c>
      <c r="L155">
        <v>47955635</v>
      </c>
      <c r="M155" s="1">
        <v>44503</v>
      </c>
      <c r="N155" t="str">
        <f>"EK211103"</f>
        <v>EK211103</v>
      </c>
      <c r="O155" t="s">
        <v>28</v>
      </c>
      <c r="Q155" t="s">
        <v>29</v>
      </c>
      <c r="R155" t="s">
        <v>28</v>
      </c>
      <c r="S155" t="s">
        <v>807</v>
      </c>
      <c r="T155" t="s">
        <v>808</v>
      </c>
      <c r="W155" t="s">
        <v>618</v>
      </c>
      <c r="X155" t="s">
        <v>34</v>
      </c>
      <c r="Y155" t="str">
        <f>"77461"</f>
        <v>77461</v>
      </c>
    </row>
    <row r="156" spans="1:25" x14ac:dyDescent="0.25">
      <c r="A156" t="s">
        <v>809</v>
      </c>
      <c r="B156" t="s">
        <v>810</v>
      </c>
      <c r="C156">
        <v>2020</v>
      </c>
      <c r="D156">
        <v>8001</v>
      </c>
      <c r="E156">
        <v>1</v>
      </c>
      <c r="F156" t="s">
        <v>811</v>
      </c>
      <c r="G156">
        <v>30087220</v>
      </c>
      <c r="J156">
        <v>29.83</v>
      </c>
      <c r="L156">
        <v>47955636</v>
      </c>
      <c r="M156" s="1">
        <v>44503</v>
      </c>
      <c r="N156" t="str">
        <f>"EK211103"</f>
        <v>EK211103</v>
      </c>
      <c r="O156" t="s">
        <v>28</v>
      </c>
      <c r="Q156" t="s">
        <v>29</v>
      </c>
      <c r="R156" t="s">
        <v>28</v>
      </c>
      <c r="S156" t="s">
        <v>807</v>
      </c>
      <c r="T156" t="s">
        <v>808</v>
      </c>
      <c r="W156" t="s">
        <v>618</v>
      </c>
      <c r="X156" t="s">
        <v>34</v>
      </c>
      <c r="Y156" t="str">
        <f>"77461"</f>
        <v>77461</v>
      </c>
    </row>
    <row r="157" spans="1:25" x14ac:dyDescent="0.25">
      <c r="A157" t="s">
        <v>812</v>
      </c>
      <c r="B157" t="s">
        <v>813</v>
      </c>
      <c r="C157">
        <v>2020</v>
      </c>
      <c r="D157">
        <v>8001</v>
      </c>
      <c r="E157">
        <v>1</v>
      </c>
      <c r="F157" t="s">
        <v>814</v>
      </c>
      <c r="G157">
        <v>30087222</v>
      </c>
      <c r="J157">
        <v>19.899999999999999</v>
      </c>
      <c r="L157">
        <v>47955639</v>
      </c>
      <c r="M157" s="1">
        <v>44503</v>
      </c>
      <c r="N157" t="str">
        <f>"EK211103"</f>
        <v>EK211103</v>
      </c>
      <c r="O157" t="s">
        <v>28</v>
      </c>
      <c r="Q157" t="s">
        <v>29</v>
      </c>
      <c r="R157" t="s">
        <v>28</v>
      </c>
      <c r="S157" t="s">
        <v>807</v>
      </c>
      <c r="T157" t="s">
        <v>808</v>
      </c>
      <c r="W157" t="s">
        <v>618</v>
      </c>
      <c r="X157" t="s">
        <v>34</v>
      </c>
      <c r="Y157" t="str">
        <f>"77461"</f>
        <v>77461</v>
      </c>
    </row>
    <row r="158" spans="1:25" x14ac:dyDescent="0.25">
      <c r="A158" t="s">
        <v>815</v>
      </c>
      <c r="B158" t="s">
        <v>816</v>
      </c>
      <c r="C158">
        <v>2020</v>
      </c>
      <c r="D158">
        <v>8001</v>
      </c>
      <c r="E158">
        <v>1</v>
      </c>
      <c r="F158" t="s">
        <v>817</v>
      </c>
      <c r="G158">
        <v>30087218</v>
      </c>
      <c r="J158">
        <v>35.22</v>
      </c>
      <c r="L158">
        <v>47955634</v>
      </c>
      <c r="M158" s="1">
        <v>44503</v>
      </c>
      <c r="N158" t="str">
        <f>"EK211103"</f>
        <v>EK211103</v>
      </c>
      <c r="O158" t="s">
        <v>28</v>
      </c>
      <c r="Q158" t="s">
        <v>29</v>
      </c>
      <c r="R158" t="s">
        <v>28</v>
      </c>
      <c r="S158" t="s">
        <v>807</v>
      </c>
      <c r="T158" t="s">
        <v>808</v>
      </c>
      <c r="W158" t="s">
        <v>618</v>
      </c>
      <c r="X158" t="s">
        <v>34</v>
      </c>
      <c r="Y158" t="str">
        <f>"77461"</f>
        <v>77461</v>
      </c>
    </row>
    <row r="159" spans="1:25" x14ac:dyDescent="0.25">
      <c r="A159" t="s">
        <v>818</v>
      </c>
      <c r="B159" t="s">
        <v>819</v>
      </c>
      <c r="C159">
        <v>2020</v>
      </c>
      <c r="D159">
        <v>8001</v>
      </c>
      <c r="E159">
        <v>1</v>
      </c>
      <c r="F159" t="s">
        <v>820</v>
      </c>
      <c r="G159">
        <v>28469887</v>
      </c>
      <c r="J159">
        <v>9.2799999999999994</v>
      </c>
      <c r="L159">
        <v>44193432</v>
      </c>
      <c r="M159" s="1">
        <v>44147</v>
      </c>
      <c r="N159" t="str">
        <f>"TE201112"</f>
        <v>TE201112</v>
      </c>
      <c r="O159" t="s">
        <v>28</v>
      </c>
      <c r="Q159" t="s">
        <v>29</v>
      </c>
      <c r="R159" t="s">
        <v>28</v>
      </c>
      <c r="S159" t="s">
        <v>821</v>
      </c>
      <c r="T159" t="s">
        <v>822</v>
      </c>
      <c r="U159" t="s">
        <v>823</v>
      </c>
      <c r="W159" t="s">
        <v>40</v>
      </c>
      <c r="X159" t="s">
        <v>34</v>
      </c>
      <c r="Y159" t="str">
        <f>"774981104"</f>
        <v>774981104</v>
      </c>
    </row>
    <row r="160" spans="1:25" x14ac:dyDescent="0.25">
      <c r="A160" t="s">
        <v>824</v>
      </c>
      <c r="B160" t="s">
        <v>825</v>
      </c>
      <c r="C160">
        <v>2020</v>
      </c>
      <c r="D160">
        <v>8001</v>
      </c>
      <c r="E160">
        <v>1</v>
      </c>
      <c r="F160" t="s">
        <v>826</v>
      </c>
      <c r="G160">
        <v>28458177</v>
      </c>
      <c r="J160">
        <v>5.47</v>
      </c>
      <c r="L160">
        <v>44170124</v>
      </c>
      <c r="M160" s="1">
        <v>44147</v>
      </c>
      <c r="N160" t="str">
        <f>"TE201112"</f>
        <v>TE201112</v>
      </c>
      <c r="O160" t="s">
        <v>28</v>
      </c>
      <c r="Q160" t="s">
        <v>29</v>
      </c>
      <c r="R160" t="s">
        <v>28</v>
      </c>
      <c r="S160" t="s">
        <v>827</v>
      </c>
      <c r="T160" t="s">
        <v>828</v>
      </c>
      <c r="W160" t="s">
        <v>81</v>
      </c>
      <c r="X160" t="s">
        <v>34</v>
      </c>
      <c r="Y160" t="str">
        <f>"774691878"</f>
        <v>774691878</v>
      </c>
    </row>
    <row r="161" spans="1:25" x14ac:dyDescent="0.25">
      <c r="A161" t="s">
        <v>829</v>
      </c>
      <c r="B161" t="s">
        <v>830</v>
      </c>
      <c r="C161">
        <v>2020</v>
      </c>
      <c r="D161">
        <v>8001</v>
      </c>
      <c r="E161">
        <v>1</v>
      </c>
      <c r="F161" t="s">
        <v>831</v>
      </c>
      <c r="G161">
        <v>0</v>
      </c>
      <c r="J161">
        <v>47.61</v>
      </c>
      <c r="L161">
        <v>47519616</v>
      </c>
      <c r="M161" s="1">
        <v>44357</v>
      </c>
      <c r="N161" t="str">
        <f>"J210610BW1"</f>
        <v>J210610BW1</v>
      </c>
      <c r="O161" t="s">
        <v>28</v>
      </c>
      <c r="Q161" t="s">
        <v>29</v>
      </c>
      <c r="R161" t="s">
        <v>28</v>
      </c>
      <c r="S161" t="s">
        <v>831</v>
      </c>
      <c r="T161" t="s">
        <v>832</v>
      </c>
      <c r="U161" t="s">
        <v>833</v>
      </c>
      <c r="V161" t="s">
        <v>60</v>
      </c>
      <c r="W161" t="s">
        <v>98</v>
      </c>
      <c r="X161" t="s">
        <v>34</v>
      </c>
      <c r="Y161" t="str">
        <f>"774619717   "</f>
        <v xml:space="preserve">774619717   </v>
      </c>
    </row>
    <row r="162" spans="1:25" x14ac:dyDescent="0.25">
      <c r="A162" t="s">
        <v>834</v>
      </c>
      <c r="B162" t="s">
        <v>835</v>
      </c>
      <c r="C162">
        <v>2021</v>
      </c>
      <c r="D162">
        <v>8001</v>
      </c>
      <c r="E162">
        <v>1</v>
      </c>
      <c r="F162" t="s">
        <v>836</v>
      </c>
      <c r="G162">
        <v>31092808</v>
      </c>
      <c r="J162">
        <v>9.7799999999999994</v>
      </c>
      <c r="L162">
        <v>49742396</v>
      </c>
      <c r="M162" s="1">
        <v>44592</v>
      </c>
      <c r="N162" t="str">
        <f>"RC220303"</f>
        <v>RC220303</v>
      </c>
      <c r="O162" t="s">
        <v>28</v>
      </c>
      <c r="Q162" t="s">
        <v>29</v>
      </c>
      <c r="R162" t="s">
        <v>28</v>
      </c>
      <c r="S162" t="s">
        <v>837</v>
      </c>
      <c r="T162" t="s">
        <v>838</v>
      </c>
      <c r="W162" t="s">
        <v>40</v>
      </c>
      <c r="X162" t="s">
        <v>34</v>
      </c>
      <c r="Y162" t="str">
        <f>"774792159"</f>
        <v>774792159</v>
      </c>
    </row>
    <row r="163" spans="1:25" x14ac:dyDescent="0.25">
      <c r="A163" t="s">
        <v>839</v>
      </c>
      <c r="B163" t="s">
        <v>840</v>
      </c>
      <c r="C163">
        <v>2021</v>
      </c>
      <c r="D163">
        <v>8001</v>
      </c>
      <c r="E163">
        <v>2</v>
      </c>
      <c r="F163" t="s">
        <v>841</v>
      </c>
      <c r="G163">
        <v>30948644</v>
      </c>
      <c r="J163">
        <v>52.71</v>
      </c>
      <c r="L163">
        <v>50008411</v>
      </c>
      <c r="M163" s="1">
        <v>44596</v>
      </c>
      <c r="N163" t="str">
        <f>"EK220204"</f>
        <v>EK220204</v>
      </c>
      <c r="O163" t="s">
        <v>28</v>
      </c>
      <c r="Q163" t="s">
        <v>29</v>
      </c>
      <c r="R163" t="s">
        <v>28</v>
      </c>
      <c r="S163" t="s">
        <v>842</v>
      </c>
      <c r="T163" t="s">
        <v>843</v>
      </c>
      <c r="W163" t="s">
        <v>711</v>
      </c>
      <c r="X163" t="s">
        <v>34</v>
      </c>
      <c r="Y163" t="str">
        <f>"77444"</f>
        <v>77444</v>
      </c>
    </row>
    <row r="164" spans="1:25" x14ac:dyDescent="0.25">
      <c r="A164" t="s">
        <v>844</v>
      </c>
      <c r="B164" t="s">
        <v>845</v>
      </c>
      <c r="C164">
        <v>2020</v>
      </c>
      <c r="D164">
        <v>8001</v>
      </c>
      <c r="E164">
        <v>1</v>
      </c>
      <c r="F164" t="s">
        <v>846</v>
      </c>
      <c r="G164">
        <v>29489508</v>
      </c>
      <c r="J164" s="2">
        <v>2324.29</v>
      </c>
      <c r="L164">
        <v>46782207</v>
      </c>
      <c r="M164" s="1">
        <v>44231</v>
      </c>
      <c r="N164" t="str">
        <f>"CC210204"</f>
        <v>CC210204</v>
      </c>
      <c r="O164" t="s">
        <v>28</v>
      </c>
      <c r="Q164" t="s">
        <v>29</v>
      </c>
      <c r="R164" t="s">
        <v>28</v>
      </c>
      <c r="S164" t="s">
        <v>847</v>
      </c>
      <c r="T164" t="s">
        <v>848</v>
      </c>
      <c r="W164" t="s">
        <v>75</v>
      </c>
      <c r="X164" t="s">
        <v>34</v>
      </c>
      <c r="Y164" t="str">
        <f>"77036"</f>
        <v>77036</v>
      </c>
    </row>
    <row r="165" spans="1:25" x14ac:dyDescent="0.25">
      <c r="A165" t="s">
        <v>849</v>
      </c>
      <c r="B165" t="s">
        <v>850</v>
      </c>
      <c r="C165">
        <v>2021</v>
      </c>
      <c r="D165">
        <v>8001</v>
      </c>
      <c r="E165">
        <v>1</v>
      </c>
      <c r="F165" t="s">
        <v>851</v>
      </c>
      <c r="G165">
        <v>25827148</v>
      </c>
      <c r="J165">
        <v>73.12</v>
      </c>
      <c r="L165">
        <v>49347579</v>
      </c>
      <c r="M165" s="1">
        <v>44581</v>
      </c>
      <c r="N165" t="str">
        <f>"RC220221"</f>
        <v>RC220221</v>
      </c>
      <c r="O165" t="s">
        <v>28</v>
      </c>
      <c r="Q165" t="s">
        <v>29</v>
      </c>
      <c r="R165" t="s">
        <v>28</v>
      </c>
      <c r="S165" t="s">
        <v>852</v>
      </c>
      <c r="T165" t="s">
        <v>853</v>
      </c>
      <c r="U165" t="s">
        <v>854</v>
      </c>
      <c r="W165" t="s">
        <v>154</v>
      </c>
      <c r="X165" t="s">
        <v>34</v>
      </c>
      <c r="Y165" t="str">
        <f>"774718933"</f>
        <v>774718933</v>
      </c>
    </row>
    <row r="166" spans="1:25" x14ac:dyDescent="0.25">
      <c r="A166" t="s">
        <v>855</v>
      </c>
      <c r="B166" t="s">
        <v>856</v>
      </c>
      <c r="C166">
        <v>2021</v>
      </c>
      <c r="D166">
        <v>8001</v>
      </c>
      <c r="E166">
        <v>1</v>
      </c>
      <c r="F166" t="s">
        <v>857</v>
      </c>
      <c r="G166">
        <v>31007931</v>
      </c>
      <c r="J166">
        <v>626.52</v>
      </c>
      <c r="L166">
        <v>49130251</v>
      </c>
      <c r="M166" s="1">
        <v>44573</v>
      </c>
      <c r="N166" t="str">
        <f>"RC220221"</f>
        <v>RC220221</v>
      </c>
      <c r="O166" t="s">
        <v>28</v>
      </c>
      <c r="Q166" t="s">
        <v>29</v>
      </c>
      <c r="R166" t="s">
        <v>28</v>
      </c>
      <c r="S166" t="s">
        <v>105</v>
      </c>
      <c r="T166" t="s">
        <v>106</v>
      </c>
      <c r="W166" t="s">
        <v>107</v>
      </c>
      <c r="X166" t="s">
        <v>34</v>
      </c>
      <c r="Y166" t="str">
        <f>"77449-0000"</f>
        <v>77449-0000</v>
      </c>
    </row>
    <row r="167" spans="1:25" x14ac:dyDescent="0.25">
      <c r="A167" t="s">
        <v>858</v>
      </c>
      <c r="B167" t="s">
        <v>859</v>
      </c>
      <c r="C167">
        <v>2021</v>
      </c>
      <c r="D167">
        <v>8001</v>
      </c>
      <c r="E167">
        <v>1</v>
      </c>
      <c r="F167" t="s">
        <v>860</v>
      </c>
      <c r="G167">
        <v>0</v>
      </c>
      <c r="J167">
        <v>82.51</v>
      </c>
      <c r="L167">
        <v>49108521</v>
      </c>
      <c r="M167" s="1">
        <v>44572</v>
      </c>
      <c r="N167" t="str">
        <f>"O220111N1"</f>
        <v>O220111N1</v>
      </c>
      <c r="O167" t="s">
        <v>28</v>
      </c>
      <c r="Q167" t="s">
        <v>29</v>
      </c>
      <c r="R167" t="s">
        <v>28</v>
      </c>
      <c r="S167" t="s">
        <v>860</v>
      </c>
      <c r="T167" t="s">
        <v>861</v>
      </c>
      <c r="U167" t="s">
        <v>60</v>
      </c>
      <c r="V167" t="s">
        <v>60</v>
      </c>
      <c r="W167" t="s">
        <v>649</v>
      </c>
      <c r="X167" t="s">
        <v>34</v>
      </c>
      <c r="Y167" t="str">
        <f>"774719881   "</f>
        <v xml:space="preserve">774719881   </v>
      </c>
    </row>
    <row r="168" spans="1:25" x14ac:dyDescent="0.25">
      <c r="A168" t="s">
        <v>862</v>
      </c>
      <c r="B168" t="s">
        <v>863</v>
      </c>
      <c r="C168">
        <v>2021</v>
      </c>
      <c r="D168">
        <v>8001</v>
      </c>
      <c r="E168">
        <v>1</v>
      </c>
      <c r="F168" t="s">
        <v>851</v>
      </c>
      <c r="G168">
        <v>25827148</v>
      </c>
      <c r="J168">
        <v>79.33</v>
      </c>
      <c r="L168">
        <v>49347578</v>
      </c>
      <c r="M168" s="1">
        <v>44581</v>
      </c>
      <c r="N168" t="str">
        <f>"RC220221"</f>
        <v>RC220221</v>
      </c>
      <c r="O168" t="s">
        <v>28</v>
      </c>
      <c r="Q168" t="s">
        <v>29</v>
      </c>
      <c r="R168" t="s">
        <v>28</v>
      </c>
      <c r="S168" t="s">
        <v>852</v>
      </c>
      <c r="T168" t="s">
        <v>853</v>
      </c>
      <c r="U168" t="s">
        <v>854</v>
      </c>
      <c r="W168" t="s">
        <v>154</v>
      </c>
      <c r="X168" t="s">
        <v>34</v>
      </c>
      <c r="Y168" t="str">
        <f>"774718933"</f>
        <v>774718933</v>
      </c>
    </row>
    <row r="169" spans="1:25" x14ac:dyDescent="0.25">
      <c r="A169" t="s">
        <v>864</v>
      </c>
      <c r="B169" t="s">
        <v>865</v>
      </c>
      <c r="C169">
        <v>2020</v>
      </c>
      <c r="D169">
        <v>8001</v>
      </c>
      <c r="E169">
        <v>13</v>
      </c>
      <c r="F169" t="s">
        <v>866</v>
      </c>
      <c r="G169">
        <v>28566860</v>
      </c>
      <c r="J169">
        <v>132.81</v>
      </c>
      <c r="L169">
        <v>44550672</v>
      </c>
      <c r="M169" s="1">
        <v>44147</v>
      </c>
      <c r="N169" t="str">
        <f>"TE201112"</f>
        <v>TE201112</v>
      </c>
      <c r="O169" t="s">
        <v>28</v>
      </c>
      <c r="Q169" t="s">
        <v>29</v>
      </c>
      <c r="R169" t="s">
        <v>28</v>
      </c>
      <c r="S169" t="s">
        <v>867</v>
      </c>
      <c r="T169" t="s">
        <v>868</v>
      </c>
      <c r="W169" t="s">
        <v>869</v>
      </c>
      <c r="X169" t="s">
        <v>34</v>
      </c>
      <c r="Y169" t="str">
        <f>"774170116"</f>
        <v>774170116</v>
      </c>
    </row>
    <row r="170" spans="1:25" x14ac:dyDescent="0.25">
      <c r="A170" t="s">
        <v>870</v>
      </c>
      <c r="B170" t="s">
        <v>871</v>
      </c>
      <c r="C170">
        <v>2021</v>
      </c>
      <c r="D170">
        <v>8001</v>
      </c>
      <c r="E170">
        <v>1</v>
      </c>
      <c r="F170" t="s">
        <v>872</v>
      </c>
      <c r="G170">
        <v>0</v>
      </c>
      <c r="J170">
        <v>22.77</v>
      </c>
      <c r="L170">
        <v>49935078</v>
      </c>
      <c r="M170" s="1">
        <v>44594</v>
      </c>
      <c r="N170" t="str">
        <f>"J220202BW8"</f>
        <v>J220202BW8</v>
      </c>
      <c r="O170" t="s">
        <v>28</v>
      </c>
      <c r="Q170" t="s">
        <v>29</v>
      </c>
      <c r="R170" t="s">
        <v>28</v>
      </c>
      <c r="S170" t="s">
        <v>872</v>
      </c>
      <c r="T170" t="s">
        <v>873</v>
      </c>
      <c r="U170" t="s">
        <v>874</v>
      </c>
      <c r="V170" t="s">
        <v>60</v>
      </c>
      <c r="W170" t="s">
        <v>135</v>
      </c>
      <c r="X170" t="s">
        <v>34</v>
      </c>
      <c r="Y170" t="str">
        <f>"770025049   "</f>
        <v xml:space="preserve">770025049   </v>
      </c>
    </row>
    <row r="171" spans="1:25" x14ac:dyDescent="0.25">
      <c r="A171" t="s">
        <v>875</v>
      </c>
      <c r="B171" t="s">
        <v>876</v>
      </c>
      <c r="C171">
        <v>2021</v>
      </c>
      <c r="D171">
        <v>8001</v>
      </c>
      <c r="E171">
        <v>1</v>
      </c>
      <c r="F171" t="s">
        <v>877</v>
      </c>
      <c r="G171">
        <v>0</v>
      </c>
      <c r="J171">
        <v>20</v>
      </c>
      <c r="L171">
        <v>50091928</v>
      </c>
      <c r="M171" s="1">
        <v>44600</v>
      </c>
      <c r="N171" t="str">
        <f>"L220208"</f>
        <v>L220208</v>
      </c>
      <c r="O171" t="s">
        <v>28</v>
      </c>
      <c r="Q171" t="s">
        <v>29</v>
      </c>
      <c r="R171" t="s">
        <v>28</v>
      </c>
      <c r="S171" t="s">
        <v>877</v>
      </c>
      <c r="T171" t="s">
        <v>878</v>
      </c>
      <c r="U171" t="s">
        <v>60</v>
      </c>
      <c r="V171" t="s">
        <v>60</v>
      </c>
      <c r="W171" t="s">
        <v>219</v>
      </c>
      <c r="X171" t="s">
        <v>34</v>
      </c>
      <c r="Y171" t="str">
        <f>"774982137   "</f>
        <v xml:space="preserve">774982137   </v>
      </c>
    </row>
    <row r="172" spans="1:25" x14ac:dyDescent="0.25">
      <c r="A172" t="s">
        <v>879</v>
      </c>
      <c r="B172" t="s">
        <v>880</v>
      </c>
      <c r="C172">
        <v>2021</v>
      </c>
      <c r="D172">
        <v>8001</v>
      </c>
      <c r="E172">
        <v>5</v>
      </c>
      <c r="F172" t="s">
        <v>881</v>
      </c>
      <c r="G172">
        <v>23007462</v>
      </c>
      <c r="J172">
        <v>98.55</v>
      </c>
      <c r="L172">
        <v>49959920</v>
      </c>
      <c r="M172" s="1">
        <v>44595</v>
      </c>
      <c r="N172" t="str">
        <f>"RC220303"</f>
        <v>RC220303</v>
      </c>
      <c r="O172" t="s">
        <v>28</v>
      </c>
      <c r="Q172" t="s">
        <v>29</v>
      </c>
      <c r="R172" t="s">
        <v>28</v>
      </c>
      <c r="S172" t="s">
        <v>882</v>
      </c>
      <c r="T172" t="s">
        <v>883</v>
      </c>
      <c r="W172" t="s">
        <v>75</v>
      </c>
      <c r="X172" t="s">
        <v>34</v>
      </c>
      <c r="Y172" t="str">
        <f>"770403253"</f>
        <v>770403253</v>
      </c>
    </row>
    <row r="173" spans="1:25" x14ac:dyDescent="0.25">
      <c r="A173" t="s">
        <v>884</v>
      </c>
      <c r="B173" t="s">
        <v>885</v>
      </c>
      <c r="C173">
        <v>2019</v>
      </c>
      <c r="D173">
        <v>8001</v>
      </c>
      <c r="E173">
        <v>1</v>
      </c>
      <c r="F173" t="s">
        <v>886</v>
      </c>
      <c r="G173">
        <v>28305488</v>
      </c>
      <c r="J173">
        <v>19.739999999999998</v>
      </c>
      <c r="L173">
        <v>43875240</v>
      </c>
      <c r="M173" s="1">
        <v>43894</v>
      </c>
      <c r="N173" t="str">
        <f>"CC400304"</f>
        <v>CC400304</v>
      </c>
      <c r="O173" t="s">
        <v>28</v>
      </c>
      <c r="Q173" t="s">
        <v>29</v>
      </c>
      <c r="R173" t="s">
        <v>28</v>
      </c>
      <c r="S173" t="s">
        <v>887</v>
      </c>
      <c r="T173" t="s">
        <v>888</v>
      </c>
      <c r="W173" t="s">
        <v>618</v>
      </c>
      <c r="X173" t="s">
        <v>34</v>
      </c>
      <c r="Y173" t="str">
        <f>"77461"</f>
        <v>77461</v>
      </c>
    </row>
    <row r="174" spans="1:25" x14ac:dyDescent="0.25">
      <c r="A174" t="s">
        <v>889</v>
      </c>
      <c r="B174" t="s">
        <v>890</v>
      </c>
      <c r="C174">
        <v>2020</v>
      </c>
      <c r="D174">
        <v>8001</v>
      </c>
      <c r="E174">
        <v>1</v>
      </c>
      <c r="F174" t="s">
        <v>891</v>
      </c>
      <c r="G174">
        <v>29461759</v>
      </c>
      <c r="J174">
        <v>307.56</v>
      </c>
      <c r="L174">
        <v>46728759</v>
      </c>
      <c r="M174" s="1">
        <v>44230</v>
      </c>
      <c r="N174" t="str">
        <f>"EK210203"</f>
        <v>EK210203</v>
      </c>
      <c r="O174" t="s">
        <v>28</v>
      </c>
      <c r="Q174" t="s">
        <v>29</v>
      </c>
      <c r="R174" t="s">
        <v>28</v>
      </c>
      <c r="S174" t="s">
        <v>892</v>
      </c>
      <c r="T174" t="s">
        <v>893</v>
      </c>
      <c r="W174" t="s">
        <v>75</v>
      </c>
      <c r="X174" t="s">
        <v>34</v>
      </c>
      <c r="Y174" t="str">
        <f>"77047"</f>
        <v>77047</v>
      </c>
    </row>
    <row r="175" spans="1:25" x14ac:dyDescent="0.25">
      <c r="A175" t="s">
        <v>894</v>
      </c>
      <c r="B175" t="s">
        <v>895</v>
      </c>
      <c r="C175">
        <v>2019</v>
      </c>
      <c r="D175">
        <v>8001</v>
      </c>
      <c r="E175">
        <v>1</v>
      </c>
      <c r="F175" t="s">
        <v>896</v>
      </c>
      <c r="G175">
        <v>28640633</v>
      </c>
      <c r="J175">
        <v>40.81</v>
      </c>
      <c r="L175">
        <v>44564288</v>
      </c>
      <c r="M175" s="1">
        <v>44103</v>
      </c>
      <c r="N175" t="str">
        <f>"J200929AE2"</f>
        <v>J200929AE2</v>
      </c>
      <c r="O175" t="s">
        <v>28</v>
      </c>
      <c r="Q175" t="s">
        <v>29</v>
      </c>
      <c r="R175" t="s">
        <v>28</v>
      </c>
      <c r="S175" t="s">
        <v>897</v>
      </c>
      <c r="T175" t="s">
        <v>898</v>
      </c>
      <c r="W175" t="s">
        <v>899</v>
      </c>
      <c r="X175" t="s">
        <v>900</v>
      </c>
      <c r="Y175" t="str">
        <f>"60632"</f>
        <v>60632</v>
      </c>
    </row>
    <row r="176" spans="1:25" x14ac:dyDescent="0.25">
      <c r="A176" t="s">
        <v>901</v>
      </c>
      <c r="B176" t="s">
        <v>902</v>
      </c>
      <c r="C176">
        <v>2019</v>
      </c>
      <c r="D176">
        <v>8001</v>
      </c>
      <c r="E176">
        <v>2</v>
      </c>
      <c r="F176" t="s">
        <v>903</v>
      </c>
      <c r="G176">
        <v>21532327</v>
      </c>
      <c r="J176">
        <v>20.98</v>
      </c>
      <c r="L176">
        <v>44469104</v>
      </c>
      <c r="M176" s="1">
        <v>44048</v>
      </c>
      <c r="N176" t="str">
        <f>"J200805K6"</f>
        <v>J200805K6</v>
      </c>
      <c r="O176" t="s">
        <v>28</v>
      </c>
      <c r="Q176" t="s">
        <v>29</v>
      </c>
      <c r="R176" t="s">
        <v>28</v>
      </c>
      <c r="S176" t="s">
        <v>904</v>
      </c>
      <c r="T176" t="s">
        <v>243</v>
      </c>
      <c r="W176" t="s">
        <v>244</v>
      </c>
      <c r="X176" t="s">
        <v>245</v>
      </c>
      <c r="Y176" t="str">
        <f>"48226"</f>
        <v>48226</v>
      </c>
    </row>
    <row r="177" spans="1:25" x14ac:dyDescent="0.25">
      <c r="A177" t="s">
        <v>905</v>
      </c>
      <c r="B177" t="s">
        <v>906</v>
      </c>
      <c r="C177">
        <v>2019</v>
      </c>
      <c r="D177">
        <v>8001</v>
      </c>
      <c r="E177">
        <v>1</v>
      </c>
      <c r="F177" t="s">
        <v>907</v>
      </c>
      <c r="G177">
        <v>28311314</v>
      </c>
      <c r="J177">
        <v>157.22999999999999</v>
      </c>
      <c r="L177">
        <v>43888884</v>
      </c>
      <c r="M177" s="1">
        <v>43895</v>
      </c>
      <c r="N177" t="str">
        <f>"O200305AB1"</f>
        <v>O200305AB1</v>
      </c>
      <c r="O177" t="s">
        <v>28</v>
      </c>
      <c r="Q177" t="s">
        <v>29</v>
      </c>
      <c r="R177" t="s">
        <v>28</v>
      </c>
      <c r="S177" t="s">
        <v>907</v>
      </c>
      <c r="T177" t="s">
        <v>908</v>
      </c>
      <c r="U177" t="s">
        <v>909</v>
      </c>
      <c r="W177" t="s">
        <v>910</v>
      </c>
      <c r="X177" t="s">
        <v>34</v>
      </c>
      <c r="Y177" t="str">
        <f>"782092811"</f>
        <v>782092811</v>
      </c>
    </row>
    <row r="178" spans="1:25" x14ac:dyDescent="0.25">
      <c r="A178" t="s">
        <v>911</v>
      </c>
      <c r="B178" t="s">
        <v>912</v>
      </c>
      <c r="C178">
        <v>2020</v>
      </c>
      <c r="D178">
        <v>8001</v>
      </c>
      <c r="E178">
        <v>3</v>
      </c>
      <c r="F178" t="s">
        <v>913</v>
      </c>
      <c r="G178">
        <v>23775253</v>
      </c>
      <c r="J178">
        <v>54.44</v>
      </c>
      <c r="L178">
        <v>45187670</v>
      </c>
      <c r="M178" s="1">
        <v>44174</v>
      </c>
      <c r="N178" t="str">
        <f>"O201209BL1"</f>
        <v>O201209BL1</v>
      </c>
      <c r="O178" t="s">
        <v>28</v>
      </c>
      <c r="Q178" t="s">
        <v>29</v>
      </c>
      <c r="R178" t="s">
        <v>28</v>
      </c>
      <c r="S178" t="s">
        <v>914</v>
      </c>
      <c r="T178" t="s">
        <v>915</v>
      </c>
      <c r="W178" t="s">
        <v>618</v>
      </c>
      <c r="X178" t="s">
        <v>34</v>
      </c>
      <c r="Y178" t="str">
        <f>"774619434"</f>
        <v>774619434</v>
      </c>
    </row>
    <row r="179" spans="1:25" x14ac:dyDescent="0.25">
      <c r="A179" t="s">
        <v>916</v>
      </c>
      <c r="B179" t="s">
        <v>917</v>
      </c>
      <c r="C179">
        <v>2020</v>
      </c>
      <c r="D179">
        <v>8001</v>
      </c>
      <c r="E179">
        <v>1</v>
      </c>
      <c r="F179" t="s">
        <v>918</v>
      </c>
      <c r="G179">
        <v>30087227</v>
      </c>
      <c r="J179">
        <v>14.81</v>
      </c>
      <c r="L179">
        <v>47955644</v>
      </c>
      <c r="M179" s="1">
        <v>44503</v>
      </c>
      <c r="N179" t="str">
        <f>"EK211103"</f>
        <v>EK211103</v>
      </c>
      <c r="O179" t="s">
        <v>28</v>
      </c>
      <c r="Q179" t="s">
        <v>29</v>
      </c>
      <c r="R179" t="s">
        <v>28</v>
      </c>
      <c r="S179" t="s">
        <v>919</v>
      </c>
      <c r="T179" t="s">
        <v>920</v>
      </c>
      <c r="W179" t="s">
        <v>75</v>
      </c>
      <c r="X179" t="s">
        <v>34</v>
      </c>
      <c r="Y179" t="str">
        <f>"77022"</f>
        <v>77022</v>
      </c>
    </row>
    <row r="180" spans="1:25" x14ac:dyDescent="0.25">
      <c r="A180" t="s">
        <v>921</v>
      </c>
      <c r="B180" t="s">
        <v>922</v>
      </c>
      <c r="C180">
        <v>2019</v>
      </c>
      <c r="D180">
        <v>8001</v>
      </c>
      <c r="E180">
        <v>3</v>
      </c>
      <c r="F180" t="s">
        <v>923</v>
      </c>
      <c r="G180">
        <v>21891552</v>
      </c>
      <c r="J180">
        <v>43.79</v>
      </c>
      <c r="L180">
        <v>44253624</v>
      </c>
      <c r="M180" s="1">
        <v>43984</v>
      </c>
      <c r="N180" t="str">
        <f>"O200602BK7"</f>
        <v>O200602BK7</v>
      </c>
      <c r="O180" t="s">
        <v>28</v>
      </c>
      <c r="Q180" t="s">
        <v>29</v>
      </c>
      <c r="R180" t="s">
        <v>28</v>
      </c>
      <c r="S180" t="s">
        <v>924</v>
      </c>
      <c r="T180" t="s">
        <v>925</v>
      </c>
      <c r="W180" t="s">
        <v>75</v>
      </c>
      <c r="X180" t="s">
        <v>34</v>
      </c>
      <c r="Y180" t="str">
        <f>"77053"</f>
        <v>77053</v>
      </c>
    </row>
    <row r="181" spans="1:25" x14ac:dyDescent="0.25">
      <c r="A181" t="s">
        <v>926</v>
      </c>
      <c r="B181" t="s">
        <v>927</v>
      </c>
      <c r="C181">
        <v>2021</v>
      </c>
      <c r="D181">
        <v>8001</v>
      </c>
      <c r="E181">
        <v>1</v>
      </c>
      <c r="F181" t="s">
        <v>928</v>
      </c>
      <c r="G181">
        <v>28041249</v>
      </c>
      <c r="J181" s="2">
        <v>50411.92</v>
      </c>
      <c r="L181">
        <v>49327450</v>
      </c>
      <c r="M181" s="1">
        <v>44580</v>
      </c>
      <c r="N181" t="str">
        <f>"RC220221"</f>
        <v>RC220221</v>
      </c>
      <c r="O181" t="s">
        <v>28</v>
      </c>
      <c r="Q181" t="s">
        <v>29</v>
      </c>
      <c r="R181" t="s">
        <v>28</v>
      </c>
      <c r="S181" t="s">
        <v>929</v>
      </c>
      <c r="T181" t="s">
        <v>930</v>
      </c>
      <c r="W181" t="s">
        <v>75</v>
      </c>
      <c r="X181" t="s">
        <v>34</v>
      </c>
      <c r="Y181" t="str">
        <f>"770277198"</f>
        <v>770277198</v>
      </c>
    </row>
    <row r="182" spans="1:25" x14ac:dyDescent="0.25">
      <c r="A182" t="s">
        <v>931</v>
      </c>
      <c r="B182" t="s">
        <v>932</v>
      </c>
      <c r="C182">
        <v>2021</v>
      </c>
      <c r="D182">
        <v>8001</v>
      </c>
      <c r="E182">
        <v>2</v>
      </c>
      <c r="F182" t="s">
        <v>933</v>
      </c>
      <c r="G182">
        <v>31008560</v>
      </c>
      <c r="J182" s="2">
        <v>2404.19</v>
      </c>
      <c r="L182">
        <v>49219467</v>
      </c>
      <c r="M182" s="1">
        <v>44575</v>
      </c>
      <c r="N182" t="str">
        <f>"RC220221"</f>
        <v>RC220221</v>
      </c>
      <c r="O182" t="s">
        <v>28</v>
      </c>
      <c r="Q182" t="s">
        <v>29</v>
      </c>
      <c r="R182" t="s">
        <v>28</v>
      </c>
      <c r="S182" t="s">
        <v>934</v>
      </c>
      <c r="T182" t="s">
        <v>935</v>
      </c>
      <c r="W182" t="s">
        <v>936</v>
      </c>
      <c r="X182" t="s">
        <v>34</v>
      </c>
      <c r="Y182" t="str">
        <f>"77386-4308"</f>
        <v>77386-4308</v>
      </c>
    </row>
    <row r="183" spans="1:25" x14ac:dyDescent="0.25">
      <c r="A183" t="s">
        <v>937</v>
      </c>
      <c r="B183" t="s">
        <v>938</v>
      </c>
      <c r="C183">
        <v>2018</v>
      </c>
      <c r="D183">
        <v>8001</v>
      </c>
      <c r="E183">
        <v>1</v>
      </c>
      <c r="F183" t="s">
        <v>795</v>
      </c>
      <c r="G183">
        <v>1602381</v>
      </c>
      <c r="J183">
        <v>5.28</v>
      </c>
      <c r="L183">
        <v>41262336</v>
      </c>
      <c r="M183" s="1">
        <v>43616</v>
      </c>
      <c r="N183" t="str">
        <f>"J190531K2"</f>
        <v>J190531K2</v>
      </c>
      <c r="O183" t="s">
        <v>28</v>
      </c>
      <c r="Q183" t="s">
        <v>29</v>
      </c>
      <c r="R183" t="s">
        <v>28</v>
      </c>
      <c r="S183" t="s">
        <v>939</v>
      </c>
      <c r="T183" t="s">
        <v>940</v>
      </c>
      <c r="W183" t="s">
        <v>81</v>
      </c>
      <c r="X183" t="s">
        <v>34</v>
      </c>
      <c r="Y183" t="str">
        <f>"77469-8440"</f>
        <v>77469-8440</v>
      </c>
    </row>
    <row r="184" spans="1:25" x14ac:dyDescent="0.25">
      <c r="A184" t="s">
        <v>941</v>
      </c>
      <c r="B184" t="s">
        <v>942</v>
      </c>
      <c r="C184">
        <v>2021</v>
      </c>
      <c r="D184">
        <v>8001</v>
      </c>
      <c r="E184">
        <v>3</v>
      </c>
      <c r="F184" t="s">
        <v>943</v>
      </c>
      <c r="G184">
        <v>0</v>
      </c>
      <c r="J184">
        <v>9</v>
      </c>
      <c r="L184">
        <v>48750072</v>
      </c>
      <c r="M184" s="1">
        <v>44559</v>
      </c>
      <c r="N184" t="str">
        <f>"O211229AB1"</f>
        <v>O211229AB1</v>
      </c>
      <c r="O184" t="s">
        <v>28</v>
      </c>
      <c r="Q184" t="s">
        <v>29</v>
      </c>
      <c r="R184" t="s">
        <v>28</v>
      </c>
      <c r="S184" t="s">
        <v>943</v>
      </c>
      <c r="T184" t="s">
        <v>944</v>
      </c>
      <c r="U184" t="s">
        <v>60</v>
      </c>
      <c r="V184" t="s">
        <v>60</v>
      </c>
      <c r="W184" t="s">
        <v>945</v>
      </c>
      <c r="X184" t="s">
        <v>34</v>
      </c>
      <c r="Y184" t="str">
        <f>"774227403   "</f>
        <v xml:space="preserve">774227403   </v>
      </c>
    </row>
    <row r="185" spans="1:25" x14ac:dyDescent="0.25">
      <c r="A185" t="s">
        <v>946</v>
      </c>
      <c r="B185" t="s">
        <v>947</v>
      </c>
      <c r="C185">
        <v>2021</v>
      </c>
      <c r="D185">
        <v>8001</v>
      </c>
      <c r="E185">
        <v>1</v>
      </c>
      <c r="F185" t="s">
        <v>948</v>
      </c>
      <c r="G185">
        <v>0</v>
      </c>
      <c r="J185">
        <v>20.46</v>
      </c>
      <c r="L185">
        <v>49350697</v>
      </c>
      <c r="M185" s="1">
        <v>44581</v>
      </c>
      <c r="N185" t="str">
        <f>"L220120"</f>
        <v>L220120</v>
      </c>
      <c r="O185" t="s">
        <v>28</v>
      </c>
      <c r="Q185" t="s">
        <v>29</v>
      </c>
      <c r="R185" t="s">
        <v>28</v>
      </c>
      <c r="S185" t="s">
        <v>948</v>
      </c>
      <c r="T185" t="s">
        <v>949</v>
      </c>
      <c r="U185" t="s">
        <v>60</v>
      </c>
      <c r="V185" t="s">
        <v>60</v>
      </c>
      <c r="W185" t="s">
        <v>98</v>
      </c>
      <c r="X185" t="s">
        <v>34</v>
      </c>
      <c r="Y185" t="str">
        <f>"774617845   "</f>
        <v xml:space="preserve">774617845   </v>
      </c>
    </row>
    <row r="186" spans="1:25" x14ac:dyDescent="0.25">
      <c r="A186" t="s">
        <v>950</v>
      </c>
      <c r="B186" t="s">
        <v>951</v>
      </c>
      <c r="C186">
        <v>2020</v>
      </c>
      <c r="D186">
        <v>8001</v>
      </c>
      <c r="E186">
        <v>1</v>
      </c>
      <c r="F186" t="s">
        <v>952</v>
      </c>
      <c r="G186">
        <v>29872619</v>
      </c>
      <c r="J186">
        <v>45.47</v>
      </c>
      <c r="L186">
        <v>47519888</v>
      </c>
      <c r="M186" s="1">
        <v>44357</v>
      </c>
      <c r="N186" t="str">
        <f>"RC210616"</f>
        <v>RC210616</v>
      </c>
      <c r="O186" t="s">
        <v>28</v>
      </c>
      <c r="Q186" t="s">
        <v>29</v>
      </c>
      <c r="R186" t="s">
        <v>28</v>
      </c>
      <c r="S186" t="s">
        <v>953</v>
      </c>
      <c r="T186" t="s">
        <v>954</v>
      </c>
      <c r="W186" t="s">
        <v>955</v>
      </c>
      <c r="X186" t="s">
        <v>956</v>
      </c>
      <c r="Y186" t="str">
        <f>"98367"</f>
        <v>98367</v>
      </c>
    </row>
    <row r="187" spans="1:25" x14ac:dyDescent="0.25">
      <c r="A187" t="s">
        <v>957</v>
      </c>
      <c r="B187" t="s">
        <v>958</v>
      </c>
      <c r="C187">
        <v>2018</v>
      </c>
      <c r="D187">
        <v>8001</v>
      </c>
      <c r="E187">
        <v>1</v>
      </c>
      <c r="F187" t="s">
        <v>959</v>
      </c>
      <c r="G187">
        <v>27425556</v>
      </c>
      <c r="J187">
        <v>56.92</v>
      </c>
      <c r="L187">
        <v>41281366</v>
      </c>
      <c r="M187" s="1">
        <v>43619</v>
      </c>
      <c r="N187" t="str">
        <f>"CC390603"</f>
        <v>CC390603</v>
      </c>
      <c r="O187" t="s">
        <v>28</v>
      </c>
      <c r="Q187" t="s">
        <v>29</v>
      </c>
      <c r="R187" t="s">
        <v>28</v>
      </c>
      <c r="S187" t="s">
        <v>960</v>
      </c>
      <c r="T187" t="s">
        <v>961</v>
      </c>
      <c r="W187" t="s">
        <v>962</v>
      </c>
      <c r="X187" t="s">
        <v>34</v>
      </c>
      <c r="Y187" t="str">
        <f>"75559"</f>
        <v>75559</v>
      </c>
    </row>
    <row r="188" spans="1:25" x14ac:dyDescent="0.25">
      <c r="A188" t="s">
        <v>963</v>
      </c>
      <c r="B188" t="s">
        <v>964</v>
      </c>
      <c r="C188">
        <v>2021</v>
      </c>
      <c r="D188">
        <v>8001</v>
      </c>
      <c r="E188">
        <v>1</v>
      </c>
      <c r="F188" t="s">
        <v>965</v>
      </c>
      <c r="G188">
        <v>30832928</v>
      </c>
      <c r="J188">
        <v>54.58</v>
      </c>
      <c r="L188">
        <v>49817989</v>
      </c>
      <c r="M188" s="1">
        <v>44593</v>
      </c>
      <c r="N188" t="str">
        <f>"O220201AB1"</f>
        <v>O220201AB1</v>
      </c>
      <c r="O188" t="s">
        <v>28</v>
      </c>
      <c r="Q188" t="s">
        <v>29</v>
      </c>
      <c r="R188" t="s">
        <v>28</v>
      </c>
      <c r="S188" t="s">
        <v>966</v>
      </c>
      <c r="T188" t="s">
        <v>967</v>
      </c>
      <c r="W188" t="s">
        <v>968</v>
      </c>
      <c r="X188" t="s">
        <v>34</v>
      </c>
      <c r="Y188" t="str">
        <f>"77539"</f>
        <v>77539</v>
      </c>
    </row>
    <row r="189" spans="1:25" x14ac:dyDescent="0.25">
      <c r="A189" t="s">
        <v>969</v>
      </c>
      <c r="B189" t="s">
        <v>970</v>
      </c>
      <c r="C189">
        <v>2020</v>
      </c>
      <c r="D189">
        <v>8001</v>
      </c>
      <c r="E189">
        <v>1</v>
      </c>
      <c r="F189" t="s">
        <v>971</v>
      </c>
      <c r="G189">
        <v>21575295</v>
      </c>
      <c r="J189">
        <v>955.99</v>
      </c>
      <c r="L189">
        <v>46183338</v>
      </c>
      <c r="M189" s="1">
        <v>44217</v>
      </c>
      <c r="N189" t="str">
        <f>"O210121AN8"</f>
        <v>O210121AN8</v>
      </c>
      <c r="O189" t="s">
        <v>28</v>
      </c>
      <c r="Q189" t="s">
        <v>29</v>
      </c>
      <c r="R189" t="s">
        <v>28</v>
      </c>
      <c r="S189" t="s">
        <v>972</v>
      </c>
      <c r="T189" t="s">
        <v>973</v>
      </c>
      <c r="W189" t="s">
        <v>618</v>
      </c>
      <c r="X189" t="s">
        <v>34</v>
      </c>
      <c r="Y189" t="str">
        <f>"774611127"</f>
        <v>774611127</v>
      </c>
    </row>
    <row r="190" spans="1:25" x14ac:dyDescent="0.25">
      <c r="A190" t="s">
        <v>974</v>
      </c>
      <c r="B190" t="s">
        <v>975</v>
      </c>
      <c r="C190">
        <v>2021</v>
      </c>
      <c r="D190">
        <v>8001</v>
      </c>
      <c r="E190">
        <v>2</v>
      </c>
      <c r="F190" t="s">
        <v>976</v>
      </c>
      <c r="G190">
        <v>30032805</v>
      </c>
      <c r="J190" s="2">
        <v>1446.53</v>
      </c>
      <c r="L190">
        <v>47893061</v>
      </c>
      <c r="M190" s="1">
        <v>44516</v>
      </c>
      <c r="N190" t="str">
        <f>"T211116BO1"</f>
        <v>T211116BO1</v>
      </c>
      <c r="O190" t="s">
        <v>260</v>
      </c>
      <c r="Q190" t="s">
        <v>29</v>
      </c>
      <c r="R190" t="s">
        <v>260</v>
      </c>
      <c r="S190" t="s">
        <v>380</v>
      </c>
      <c r="T190" t="s">
        <v>977</v>
      </c>
      <c r="U190" t="s">
        <v>978</v>
      </c>
      <c r="W190" t="s">
        <v>40</v>
      </c>
      <c r="X190" t="s">
        <v>34</v>
      </c>
      <c r="Y190" t="str">
        <f>"77478"</f>
        <v>77478</v>
      </c>
    </row>
    <row r="191" spans="1:25" x14ac:dyDescent="0.25">
      <c r="A191" t="s">
        <v>979</v>
      </c>
      <c r="B191" t="s">
        <v>980</v>
      </c>
      <c r="C191">
        <v>2019</v>
      </c>
      <c r="D191">
        <v>8001</v>
      </c>
      <c r="E191">
        <v>2</v>
      </c>
      <c r="F191" t="s">
        <v>981</v>
      </c>
      <c r="G191">
        <v>28512019</v>
      </c>
      <c r="J191">
        <v>14.22</v>
      </c>
      <c r="L191">
        <v>44277843</v>
      </c>
      <c r="M191" s="1">
        <v>43986</v>
      </c>
      <c r="N191" t="str">
        <f>"CC300604"</f>
        <v>CC300604</v>
      </c>
      <c r="O191" t="s">
        <v>28</v>
      </c>
      <c r="Q191" t="s">
        <v>29</v>
      </c>
      <c r="R191" t="s">
        <v>28</v>
      </c>
      <c r="S191" t="s">
        <v>982</v>
      </c>
      <c r="T191" t="s">
        <v>983</v>
      </c>
      <c r="W191" t="s">
        <v>75</v>
      </c>
      <c r="X191" t="s">
        <v>34</v>
      </c>
      <c r="Y191" t="str">
        <f>"77098"</f>
        <v>77098</v>
      </c>
    </row>
    <row r="192" spans="1:25" x14ac:dyDescent="0.25">
      <c r="A192" t="s">
        <v>984</v>
      </c>
      <c r="B192" t="s">
        <v>985</v>
      </c>
      <c r="C192">
        <v>2020</v>
      </c>
      <c r="D192">
        <v>8001</v>
      </c>
      <c r="E192">
        <v>1</v>
      </c>
      <c r="F192" t="s">
        <v>986</v>
      </c>
      <c r="G192">
        <v>29489572</v>
      </c>
      <c r="J192">
        <v>5.8</v>
      </c>
      <c r="L192">
        <v>46782272</v>
      </c>
      <c r="M192" s="1">
        <v>44231</v>
      </c>
      <c r="N192" t="str">
        <f>"CC210204"</f>
        <v>CC210204</v>
      </c>
      <c r="O192" t="s">
        <v>28</v>
      </c>
      <c r="Q192" t="s">
        <v>29</v>
      </c>
      <c r="R192" t="s">
        <v>28</v>
      </c>
      <c r="S192" t="s">
        <v>987</v>
      </c>
      <c r="T192" t="s">
        <v>988</v>
      </c>
      <c r="W192" t="s">
        <v>618</v>
      </c>
      <c r="X192" t="s">
        <v>34</v>
      </c>
      <c r="Y192" t="str">
        <f>"77461"</f>
        <v>77461</v>
      </c>
    </row>
    <row r="193" spans="1:25" x14ac:dyDescent="0.25">
      <c r="A193" t="s">
        <v>989</v>
      </c>
      <c r="B193" t="s">
        <v>990</v>
      </c>
      <c r="C193">
        <v>2020</v>
      </c>
      <c r="D193">
        <v>8001</v>
      </c>
      <c r="E193">
        <v>1</v>
      </c>
      <c r="F193" t="s">
        <v>991</v>
      </c>
      <c r="G193">
        <v>29489570</v>
      </c>
      <c r="J193">
        <v>41.56</v>
      </c>
      <c r="L193">
        <v>46782270</v>
      </c>
      <c r="M193" s="1">
        <v>44231</v>
      </c>
      <c r="N193" t="str">
        <f>"CC210204"</f>
        <v>CC210204</v>
      </c>
      <c r="O193" t="s">
        <v>28</v>
      </c>
      <c r="Q193" t="s">
        <v>29</v>
      </c>
      <c r="R193" t="s">
        <v>28</v>
      </c>
      <c r="S193" t="s">
        <v>987</v>
      </c>
      <c r="T193" t="s">
        <v>988</v>
      </c>
      <c r="W193" t="s">
        <v>618</v>
      </c>
      <c r="X193" t="s">
        <v>34</v>
      </c>
      <c r="Y193" t="str">
        <f>"77461"</f>
        <v>77461</v>
      </c>
    </row>
    <row r="194" spans="1:25" x14ac:dyDescent="0.25">
      <c r="A194" t="s">
        <v>992</v>
      </c>
      <c r="B194" t="s">
        <v>993</v>
      </c>
      <c r="C194">
        <v>2020</v>
      </c>
      <c r="D194">
        <v>8001</v>
      </c>
      <c r="E194">
        <v>1</v>
      </c>
      <c r="F194" t="s">
        <v>994</v>
      </c>
      <c r="G194">
        <v>22791635</v>
      </c>
      <c r="J194">
        <v>27.55</v>
      </c>
      <c r="L194">
        <v>47429393</v>
      </c>
      <c r="M194" s="1">
        <v>44340</v>
      </c>
      <c r="N194" t="str">
        <f>"RC210607"</f>
        <v>RC210607</v>
      </c>
      <c r="O194" t="s">
        <v>28</v>
      </c>
      <c r="Q194" t="s">
        <v>29</v>
      </c>
      <c r="R194" t="s">
        <v>28</v>
      </c>
      <c r="S194" t="s">
        <v>995</v>
      </c>
      <c r="T194" t="s">
        <v>996</v>
      </c>
      <c r="W194" t="s">
        <v>75</v>
      </c>
      <c r="X194" t="s">
        <v>34</v>
      </c>
      <c r="Y194" t="str">
        <f>"77036"</f>
        <v>77036</v>
      </c>
    </row>
    <row r="195" spans="1:25" x14ac:dyDescent="0.25">
      <c r="A195" t="s">
        <v>997</v>
      </c>
      <c r="B195" t="s">
        <v>998</v>
      </c>
      <c r="C195">
        <v>2020</v>
      </c>
      <c r="D195">
        <v>8001</v>
      </c>
      <c r="E195">
        <v>1</v>
      </c>
      <c r="F195" t="s">
        <v>999</v>
      </c>
      <c r="G195">
        <v>0</v>
      </c>
      <c r="J195">
        <v>7.53</v>
      </c>
      <c r="L195">
        <v>47315887</v>
      </c>
      <c r="M195" s="1">
        <v>44306</v>
      </c>
      <c r="N195" t="str">
        <f>"L210420"</f>
        <v>L210420</v>
      </c>
      <c r="O195" t="s">
        <v>28</v>
      </c>
      <c r="Q195" t="s">
        <v>29</v>
      </c>
      <c r="R195" t="s">
        <v>28</v>
      </c>
      <c r="S195" t="s">
        <v>999</v>
      </c>
      <c r="T195" t="s">
        <v>1000</v>
      </c>
      <c r="U195" t="s">
        <v>60</v>
      </c>
      <c r="V195" t="s">
        <v>60</v>
      </c>
      <c r="W195" t="s">
        <v>135</v>
      </c>
      <c r="X195" t="s">
        <v>34</v>
      </c>
      <c r="Y195" t="str">
        <f>"772741445   "</f>
        <v xml:space="preserve">772741445   </v>
      </c>
    </row>
    <row r="196" spans="1:25" x14ac:dyDescent="0.25">
      <c r="A196" t="s">
        <v>1001</v>
      </c>
      <c r="B196" t="s">
        <v>1002</v>
      </c>
      <c r="C196">
        <v>2021</v>
      </c>
      <c r="D196">
        <v>8001</v>
      </c>
      <c r="E196">
        <v>1</v>
      </c>
      <c r="F196" t="s">
        <v>1003</v>
      </c>
      <c r="G196">
        <v>22563782</v>
      </c>
      <c r="J196">
        <v>7.03</v>
      </c>
      <c r="L196">
        <v>49857956</v>
      </c>
      <c r="M196" s="1">
        <v>44593</v>
      </c>
      <c r="N196" t="str">
        <f>"RC220303"</f>
        <v>RC220303</v>
      </c>
      <c r="O196" t="s">
        <v>28</v>
      </c>
      <c r="Q196" t="s">
        <v>29</v>
      </c>
      <c r="R196" t="s">
        <v>28</v>
      </c>
      <c r="S196" t="s">
        <v>1004</v>
      </c>
      <c r="T196" t="s">
        <v>1005</v>
      </c>
      <c r="U196" t="s">
        <v>1006</v>
      </c>
      <c r="V196" t="s">
        <v>1007</v>
      </c>
      <c r="W196" t="s">
        <v>618</v>
      </c>
      <c r="X196" t="s">
        <v>34</v>
      </c>
      <c r="Y196" t="str">
        <f>"774619377"</f>
        <v>774619377</v>
      </c>
    </row>
    <row r="197" spans="1:25" x14ac:dyDescent="0.25">
      <c r="A197" t="s">
        <v>1008</v>
      </c>
      <c r="B197" t="s">
        <v>1009</v>
      </c>
      <c r="C197">
        <v>2021</v>
      </c>
      <c r="D197">
        <v>8001</v>
      </c>
      <c r="E197">
        <v>1</v>
      </c>
      <c r="F197" t="s">
        <v>851</v>
      </c>
      <c r="G197">
        <v>25827148</v>
      </c>
      <c r="J197">
        <v>72.349999999999994</v>
      </c>
      <c r="L197">
        <v>49347580</v>
      </c>
      <c r="M197" s="1">
        <v>44581</v>
      </c>
      <c r="N197" t="str">
        <f>"RC220221"</f>
        <v>RC220221</v>
      </c>
      <c r="O197" t="s">
        <v>28</v>
      </c>
      <c r="Q197" t="s">
        <v>29</v>
      </c>
      <c r="R197" t="s">
        <v>28</v>
      </c>
      <c r="S197" t="s">
        <v>852</v>
      </c>
      <c r="T197" t="s">
        <v>853</v>
      </c>
      <c r="U197" t="s">
        <v>854</v>
      </c>
      <c r="W197" t="s">
        <v>154</v>
      </c>
      <c r="X197" t="s">
        <v>34</v>
      </c>
      <c r="Y197" t="str">
        <f>"774718933"</f>
        <v>774718933</v>
      </c>
    </row>
    <row r="198" spans="1:25" x14ac:dyDescent="0.25">
      <c r="A198" t="s">
        <v>1010</v>
      </c>
      <c r="B198" t="s">
        <v>1011</v>
      </c>
      <c r="C198">
        <v>2021</v>
      </c>
      <c r="D198">
        <v>8001</v>
      </c>
      <c r="E198">
        <v>1</v>
      </c>
      <c r="F198" t="s">
        <v>851</v>
      </c>
      <c r="G198">
        <v>25827148</v>
      </c>
      <c r="J198">
        <v>19.190000000000001</v>
      </c>
      <c r="L198">
        <v>49347582</v>
      </c>
      <c r="M198" s="1">
        <v>44581</v>
      </c>
      <c r="N198" t="str">
        <f>"RC220221"</f>
        <v>RC220221</v>
      </c>
      <c r="O198" t="s">
        <v>28</v>
      </c>
      <c r="Q198" t="s">
        <v>29</v>
      </c>
      <c r="R198" t="s">
        <v>28</v>
      </c>
      <c r="S198" t="s">
        <v>852</v>
      </c>
      <c r="T198" t="s">
        <v>853</v>
      </c>
      <c r="U198" t="s">
        <v>854</v>
      </c>
      <c r="W198" t="s">
        <v>154</v>
      </c>
      <c r="X198" t="s">
        <v>34</v>
      </c>
      <c r="Y198" t="str">
        <f>"774718933"</f>
        <v>774718933</v>
      </c>
    </row>
    <row r="199" spans="1:25" x14ac:dyDescent="0.25">
      <c r="A199" t="s">
        <v>1012</v>
      </c>
      <c r="B199" t="s">
        <v>1013</v>
      </c>
      <c r="C199">
        <v>2019</v>
      </c>
      <c r="D199">
        <v>8001</v>
      </c>
      <c r="E199">
        <v>1</v>
      </c>
      <c r="F199" t="s">
        <v>1014</v>
      </c>
      <c r="G199">
        <v>26962220</v>
      </c>
      <c r="J199">
        <v>40.799999999999997</v>
      </c>
      <c r="L199">
        <v>44469097</v>
      </c>
      <c r="M199" s="1">
        <v>44048</v>
      </c>
      <c r="N199" t="str">
        <f>"J200805K6"</f>
        <v>J200805K6</v>
      </c>
      <c r="O199" t="s">
        <v>28</v>
      </c>
      <c r="Q199" t="s">
        <v>29</v>
      </c>
      <c r="R199" t="s">
        <v>28</v>
      </c>
      <c r="S199" t="s">
        <v>561</v>
      </c>
      <c r="T199" t="s">
        <v>1015</v>
      </c>
      <c r="W199" t="s">
        <v>563</v>
      </c>
      <c r="X199" t="s">
        <v>34</v>
      </c>
      <c r="Y199" t="str">
        <f>"750630156"</f>
        <v>750630156</v>
      </c>
    </row>
    <row r="200" spans="1:25" x14ac:dyDescent="0.25">
      <c r="A200" t="s">
        <v>1016</v>
      </c>
      <c r="B200" t="s">
        <v>1017</v>
      </c>
      <c r="C200">
        <v>2020</v>
      </c>
      <c r="D200">
        <v>8001</v>
      </c>
      <c r="E200">
        <v>3</v>
      </c>
      <c r="F200" t="s">
        <v>1018</v>
      </c>
      <c r="G200">
        <v>28692840</v>
      </c>
      <c r="J200">
        <v>15.29</v>
      </c>
      <c r="L200">
        <v>45485787</v>
      </c>
      <c r="M200" s="1">
        <v>44193</v>
      </c>
      <c r="N200" t="str">
        <f>"CL200001"</f>
        <v>CL200001</v>
      </c>
      <c r="O200" t="s">
        <v>28</v>
      </c>
      <c r="Q200" t="s">
        <v>29</v>
      </c>
      <c r="R200" t="s">
        <v>28</v>
      </c>
      <c r="S200" t="s">
        <v>1019</v>
      </c>
      <c r="T200" t="s">
        <v>562</v>
      </c>
      <c r="W200" t="s">
        <v>563</v>
      </c>
      <c r="X200" t="s">
        <v>34</v>
      </c>
      <c r="Y200" t="str">
        <f>"750630156"</f>
        <v>750630156</v>
      </c>
    </row>
    <row r="201" spans="1:25" x14ac:dyDescent="0.25">
      <c r="A201" t="s">
        <v>1020</v>
      </c>
      <c r="B201" t="s">
        <v>1021</v>
      </c>
      <c r="C201">
        <v>2021</v>
      </c>
      <c r="D201">
        <v>8001</v>
      </c>
      <c r="E201">
        <v>1</v>
      </c>
      <c r="F201" t="s">
        <v>1022</v>
      </c>
      <c r="G201">
        <v>30916894</v>
      </c>
      <c r="J201">
        <v>34.5</v>
      </c>
      <c r="L201">
        <v>48850174</v>
      </c>
      <c r="M201" s="1">
        <v>44564</v>
      </c>
      <c r="N201" t="str">
        <f>"RC220202"</f>
        <v>RC220202</v>
      </c>
      <c r="O201" t="s">
        <v>28</v>
      </c>
      <c r="Q201" t="s">
        <v>29</v>
      </c>
      <c r="R201" t="s">
        <v>28</v>
      </c>
      <c r="S201" t="s">
        <v>1023</v>
      </c>
      <c r="T201" t="s">
        <v>1024</v>
      </c>
      <c r="W201" t="s">
        <v>1025</v>
      </c>
      <c r="X201" t="s">
        <v>317</v>
      </c>
      <c r="Y201" t="str">
        <f>"954048875"</f>
        <v>954048875</v>
      </c>
    </row>
    <row r="202" spans="1:25" x14ac:dyDescent="0.25">
      <c r="A202" t="s">
        <v>1026</v>
      </c>
      <c r="B202" t="s">
        <v>1027</v>
      </c>
      <c r="C202">
        <v>2021</v>
      </c>
      <c r="D202">
        <v>8001</v>
      </c>
      <c r="E202">
        <v>1</v>
      </c>
      <c r="F202" t="s">
        <v>1028</v>
      </c>
      <c r="G202">
        <v>0</v>
      </c>
      <c r="J202">
        <v>116.52</v>
      </c>
      <c r="L202">
        <v>49119997</v>
      </c>
      <c r="M202" s="1">
        <v>44572</v>
      </c>
      <c r="N202" t="str">
        <f>"L220111"</f>
        <v>L220111</v>
      </c>
      <c r="O202" t="s">
        <v>28</v>
      </c>
      <c r="Q202" t="s">
        <v>29</v>
      </c>
      <c r="R202" t="s">
        <v>28</v>
      </c>
      <c r="S202" t="s">
        <v>1028</v>
      </c>
      <c r="T202" t="s">
        <v>1029</v>
      </c>
      <c r="U202" t="s">
        <v>60</v>
      </c>
      <c r="V202" t="s">
        <v>60</v>
      </c>
      <c r="W202" t="s">
        <v>98</v>
      </c>
      <c r="X202" t="s">
        <v>34</v>
      </c>
      <c r="Y202" t="str">
        <f>"774618681   "</f>
        <v xml:space="preserve">774618681   </v>
      </c>
    </row>
    <row r="203" spans="1:25" x14ac:dyDescent="0.25">
      <c r="A203" t="s">
        <v>1030</v>
      </c>
      <c r="B203" t="s">
        <v>1031</v>
      </c>
      <c r="C203">
        <v>2020</v>
      </c>
      <c r="D203">
        <v>8001</v>
      </c>
      <c r="E203">
        <v>2</v>
      </c>
      <c r="F203" t="s">
        <v>1032</v>
      </c>
      <c r="G203">
        <v>29448469</v>
      </c>
      <c r="J203">
        <v>9.64</v>
      </c>
      <c r="L203">
        <v>47654839</v>
      </c>
      <c r="M203" s="1">
        <v>44406</v>
      </c>
      <c r="N203" t="str">
        <f>"RC210809"</f>
        <v>RC210809</v>
      </c>
      <c r="O203" t="s">
        <v>28</v>
      </c>
      <c r="Q203" t="s">
        <v>29</v>
      </c>
      <c r="R203" t="s">
        <v>28</v>
      </c>
      <c r="S203" t="s">
        <v>1033</v>
      </c>
      <c r="T203" t="s">
        <v>1034</v>
      </c>
      <c r="W203" t="s">
        <v>168</v>
      </c>
      <c r="X203" t="s">
        <v>169</v>
      </c>
      <c r="Y203" t="str">
        <f>"801114720"</f>
        <v>801114720</v>
      </c>
    </row>
    <row r="204" spans="1:25" x14ac:dyDescent="0.25">
      <c r="A204" t="s">
        <v>1035</v>
      </c>
      <c r="B204" t="s">
        <v>1036</v>
      </c>
      <c r="C204">
        <v>2021</v>
      </c>
      <c r="D204">
        <v>8001</v>
      </c>
      <c r="E204">
        <v>1</v>
      </c>
      <c r="F204" t="s">
        <v>1037</v>
      </c>
      <c r="G204">
        <v>30916916</v>
      </c>
      <c r="J204">
        <v>9</v>
      </c>
      <c r="L204">
        <v>48845468</v>
      </c>
      <c r="M204" s="1">
        <v>44564</v>
      </c>
      <c r="N204" t="str">
        <f>"RC220202"</f>
        <v>RC220202</v>
      </c>
      <c r="O204" t="s">
        <v>28</v>
      </c>
      <c r="Q204" t="s">
        <v>29</v>
      </c>
      <c r="R204" t="s">
        <v>28</v>
      </c>
      <c r="S204" t="s">
        <v>1038</v>
      </c>
      <c r="T204" t="s">
        <v>1039</v>
      </c>
      <c r="U204" t="s">
        <v>1040</v>
      </c>
      <c r="W204" t="s">
        <v>75</v>
      </c>
      <c r="X204" t="s">
        <v>34</v>
      </c>
      <c r="Y204" t="str">
        <f>"770843997"</f>
        <v>770843997</v>
      </c>
    </row>
    <row r="205" spans="1:25" x14ac:dyDescent="0.25">
      <c r="A205" t="s">
        <v>1041</v>
      </c>
      <c r="B205" t="s">
        <v>1042</v>
      </c>
      <c r="C205">
        <v>2019</v>
      </c>
      <c r="D205">
        <v>8001</v>
      </c>
      <c r="E205">
        <v>2</v>
      </c>
      <c r="F205" t="s">
        <v>1043</v>
      </c>
      <c r="G205">
        <v>26723243</v>
      </c>
      <c r="J205">
        <v>268.45999999999998</v>
      </c>
      <c r="L205">
        <v>43917404</v>
      </c>
      <c r="M205" s="1">
        <v>43900</v>
      </c>
      <c r="N205" t="str">
        <f>"J200310AW11"</f>
        <v>J200310AW11</v>
      </c>
      <c r="O205" t="s">
        <v>28</v>
      </c>
      <c r="Q205" t="s">
        <v>29</v>
      </c>
      <c r="R205" t="s">
        <v>28</v>
      </c>
      <c r="S205" t="s">
        <v>1044</v>
      </c>
      <c r="T205" t="s">
        <v>203</v>
      </c>
      <c r="U205" t="s">
        <v>1045</v>
      </c>
      <c r="W205" t="s">
        <v>75</v>
      </c>
      <c r="X205" t="s">
        <v>34</v>
      </c>
      <c r="Y205" t="str">
        <f>"770273545"</f>
        <v>770273545</v>
      </c>
    </row>
    <row r="206" spans="1:25" x14ac:dyDescent="0.25">
      <c r="A206" t="s">
        <v>1046</v>
      </c>
      <c r="B206" t="s">
        <v>1047</v>
      </c>
      <c r="C206">
        <v>2020</v>
      </c>
      <c r="D206">
        <v>8001</v>
      </c>
      <c r="E206">
        <v>10</v>
      </c>
      <c r="F206" t="s">
        <v>1048</v>
      </c>
      <c r="G206">
        <v>0</v>
      </c>
      <c r="J206">
        <v>552.42999999999995</v>
      </c>
      <c r="L206">
        <v>44534880</v>
      </c>
      <c r="M206" s="1">
        <v>44147</v>
      </c>
      <c r="N206" t="str">
        <f>"TE201112"</f>
        <v>TE201112</v>
      </c>
      <c r="O206" t="s">
        <v>28</v>
      </c>
      <c r="Q206" t="s">
        <v>29</v>
      </c>
      <c r="R206" t="s">
        <v>28</v>
      </c>
      <c r="S206" t="s">
        <v>1048</v>
      </c>
      <c r="T206" t="s">
        <v>1049</v>
      </c>
      <c r="U206" t="s">
        <v>60</v>
      </c>
      <c r="V206" t="s">
        <v>60</v>
      </c>
      <c r="W206" t="s">
        <v>214</v>
      </c>
      <c r="X206" t="s">
        <v>34</v>
      </c>
      <c r="Y206" t="str">
        <f>"774072659   "</f>
        <v xml:space="preserve">774072659   </v>
      </c>
    </row>
    <row r="207" spans="1:25" x14ac:dyDescent="0.25">
      <c r="A207" t="s">
        <v>1050</v>
      </c>
      <c r="B207" t="s">
        <v>1051</v>
      </c>
      <c r="C207">
        <v>2020</v>
      </c>
      <c r="D207">
        <v>8001</v>
      </c>
      <c r="E207">
        <v>2</v>
      </c>
      <c r="F207" t="s">
        <v>1052</v>
      </c>
      <c r="G207">
        <v>26962220</v>
      </c>
      <c r="J207">
        <v>228.78</v>
      </c>
      <c r="L207">
        <v>47164569</v>
      </c>
      <c r="M207" s="1">
        <v>44279</v>
      </c>
      <c r="N207" t="str">
        <f>"RC210401"</f>
        <v>RC210401</v>
      </c>
      <c r="O207" t="s">
        <v>28</v>
      </c>
      <c r="Q207" t="s">
        <v>29</v>
      </c>
      <c r="R207" t="s">
        <v>28</v>
      </c>
      <c r="S207" t="s">
        <v>561</v>
      </c>
      <c r="T207" t="s">
        <v>1015</v>
      </c>
      <c r="W207" t="s">
        <v>563</v>
      </c>
      <c r="X207" t="s">
        <v>34</v>
      </c>
      <c r="Y207" t="str">
        <f>"750630156"</f>
        <v>750630156</v>
      </c>
    </row>
    <row r="208" spans="1:25" x14ac:dyDescent="0.25">
      <c r="A208" t="s">
        <v>1053</v>
      </c>
      <c r="B208" t="s">
        <v>1054</v>
      </c>
      <c r="C208">
        <v>2021</v>
      </c>
      <c r="D208">
        <v>8001</v>
      </c>
      <c r="E208">
        <v>1</v>
      </c>
      <c r="F208" t="s">
        <v>1055</v>
      </c>
      <c r="G208">
        <v>25672031</v>
      </c>
      <c r="J208" s="2">
        <v>4031.77</v>
      </c>
      <c r="L208">
        <v>49113813</v>
      </c>
      <c r="M208" s="1">
        <v>44572</v>
      </c>
      <c r="N208" t="str">
        <f>"O220111I1"</f>
        <v>O220111I1</v>
      </c>
      <c r="O208" t="s">
        <v>28</v>
      </c>
      <c r="Q208" t="s">
        <v>29</v>
      </c>
      <c r="R208" t="s">
        <v>28</v>
      </c>
      <c r="S208" t="s">
        <v>380</v>
      </c>
      <c r="T208" t="s">
        <v>978</v>
      </c>
      <c r="W208" t="s">
        <v>40</v>
      </c>
      <c r="X208" t="s">
        <v>34</v>
      </c>
      <c r="Y208" t="str">
        <f>"774784384"</f>
        <v>774784384</v>
      </c>
    </row>
    <row r="209" spans="1:25" x14ac:dyDescent="0.25">
      <c r="A209" t="s">
        <v>1056</v>
      </c>
      <c r="B209" t="s">
        <v>1057</v>
      </c>
      <c r="C209">
        <v>2020</v>
      </c>
      <c r="D209">
        <v>8001</v>
      </c>
      <c r="E209">
        <v>4</v>
      </c>
      <c r="F209" t="s">
        <v>1058</v>
      </c>
      <c r="G209">
        <v>28636699</v>
      </c>
      <c r="J209">
        <v>648.99</v>
      </c>
      <c r="L209">
        <v>44507438</v>
      </c>
      <c r="M209" s="1">
        <v>44147</v>
      </c>
      <c r="N209" t="str">
        <f>"TE201112"</f>
        <v>TE201112</v>
      </c>
      <c r="O209" t="s">
        <v>28</v>
      </c>
      <c r="Q209" t="s">
        <v>29</v>
      </c>
      <c r="R209" t="s">
        <v>28</v>
      </c>
      <c r="S209" t="s">
        <v>1059</v>
      </c>
      <c r="T209" t="s">
        <v>1060</v>
      </c>
      <c r="W209" t="s">
        <v>81</v>
      </c>
      <c r="X209" t="s">
        <v>34</v>
      </c>
      <c r="Y209" t="str">
        <f>"774072811"</f>
        <v>774072811</v>
      </c>
    </row>
    <row r="210" spans="1:25" x14ac:dyDescent="0.25">
      <c r="A210" t="s">
        <v>1061</v>
      </c>
      <c r="B210" t="s">
        <v>1062</v>
      </c>
      <c r="C210">
        <v>2021</v>
      </c>
      <c r="D210">
        <v>8001</v>
      </c>
      <c r="E210">
        <v>1</v>
      </c>
      <c r="F210" t="s">
        <v>1063</v>
      </c>
      <c r="G210">
        <v>0</v>
      </c>
      <c r="J210">
        <v>260.85000000000002</v>
      </c>
      <c r="L210">
        <v>49865043</v>
      </c>
      <c r="M210" s="1">
        <v>44593</v>
      </c>
      <c r="N210" t="str">
        <f>"J220201K5"</f>
        <v>J220201K5</v>
      </c>
      <c r="O210" t="s">
        <v>28</v>
      </c>
      <c r="Q210" t="s">
        <v>29</v>
      </c>
      <c r="R210" t="s">
        <v>28</v>
      </c>
      <c r="S210" t="s">
        <v>1063</v>
      </c>
      <c r="T210" t="s">
        <v>1064</v>
      </c>
      <c r="U210" t="s">
        <v>60</v>
      </c>
      <c r="V210" t="s">
        <v>60</v>
      </c>
      <c r="W210" t="s">
        <v>214</v>
      </c>
      <c r="X210" t="s">
        <v>34</v>
      </c>
      <c r="Y210" t="str">
        <f>"774071948   "</f>
        <v xml:space="preserve">774071948   </v>
      </c>
    </row>
    <row r="211" spans="1:25" x14ac:dyDescent="0.25">
      <c r="A211" t="s">
        <v>1065</v>
      </c>
      <c r="B211" t="s">
        <v>1066</v>
      </c>
      <c r="C211">
        <v>2019</v>
      </c>
      <c r="D211">
        <v>8001</v>
      </c>
      <c r="E211">
        <v>3</v>
      </c>
      <c r="F211" t="s">
        <v>1067</v>
      </c>
      <c r="G211">
        <v>26397235</v>
      </c>
      <c r="J211" s="2">
        <v>3173.65</v>
      </c>
      <c r="L211">
        <v>44231774</v>
      </c>
      <c r="M211" s="1">
        <v>43980</v>
      </c>
      <c r="N211" t="str">
        <f>"J200529AW3"</f>
        <v>J200529AW3</v>
      </c>
      <c r="O211" t="s">
        <v>28</v>
      </c>
      <c r="Q211" t="s">
        <v>29</v>
      </c>
      <c r="R211" t="s">
        <v>28</v>
      </c>
      <c r="S211" t="s">
        <v>1068</v>
      </c>
      <c r="T211" t="s">
        <v>1069</v>
      </c>
      <c r="U211" t="s">
        <v>562</v>
      </c>
      <c r="W211" t="s">
        <v>563</v>
      </c>
      <c r="X211" t="s">
        <v>34</v>
      </c>
      <c r="Y211" t="str">
        <f>"750630156"</f>
        <v>750630156</v>
      </c>
    </row>
    <row r="212" spans="1:25" x14ac:dyDescent="0.25">
      <c r="A212" t="s">
        <v>1070</v>
      </c>
      <c r="B212" t="s">
        <v>1071</v>
      </c>
      <c r="C212">
        <v>2020</v>
      </c>
      <c r="D212">
        <v>8001</v>
      </c>
      <c r="E212">
        <v>1</v>
      </c>
      <c r="F212" t="s">
        <v>1072</v>
      </c>
      <c r="G212">
        <v>26419208</v>
      </c>
      <c r="J212" s="2">
        <v>1242.6300000000001</v>
      </c>
      <c r="L212">
        <v>44951065</v>
      </c>
      <c r="M212" s="1">
        <v>44155</v>
      </c>
      <c r="N212" t="str">
        <f>"J201120AE1"</f>
        <v>J201120AE1</v>
      </c>
      <c r="O212" t="s">
        <v>28</v>
      </c>
      <c r="Q212" t="s">
        <v>29</v>
      </c>
      <c r="R212" t="s">
        <v>28</v>
      </c>
      <c r="S212" t="s">
        <v>1073</v>
      </c>
      <c r="T212" t="s">
        <v>1074</v>
      </c>
      <c r="W212" t="s">
        <v>1075</v>
      </c>
      <c r="X212" t="s">
        <v>34</v>
      </c>
      <c r="Y212" t="str">
        <f>"76177"</f>
        <v>76177</v>
      </c>
    </row>
    <row r="213" spans="1:25" x14ac:dyDescent="0.25">
      <c r="A213" t="s">
        <v>1076</v>
      </c>
      <c r="B213" t="s">
        <v>1077</v>
      </c>
      <c r="C213">
        <v>2021</v>
      </c>
      <c r="D213">
        <v>8001</v>
      </c>
      <c r="E213">
        <v>1</v>
      </c>
      <c r="F213" t="s">
        <v>1078</v>
      </c>
      <c r="G213">
        <v>203289</v>
      </c>
      <c r="J213" s="2">
        <v>4605.74</v>
      </c>
      <c r="L213">
        <v>49222753</v>
      </c>
      <c r="M213" s="1">
        <v>44575</v>
      </c>
      <c r="N213" t="str">
        <f>"O220114F1"</f>
        <v>O220114F1</v>
      </c>
      <c r="O213" t="s">
        <v>28</v>
      </c>
      <c r="Q213" t="s">
        <v>29</v>
      </c>
      <c r="R213" t="s">
        <v>28</v>
      </c>
      <c r="S213" t="s">
        <v>561</v>
      </c>
      <c r="T213" t="s">
        <v>562</v>
      </c>
      <c r="W213" t="s">
        <v>563</v>
      </c>
      <c r="X213" t="s">
        <v>34</v>
      </c>
      <c r="Y213" t="str">
        <f>"750630156"</f>
        <v>750630156</v>
      </c>
    </row>
    <row r="214" spans="1:25" x14ac:dyDescent="0.25">
      <c r="A214" t="s">
        <v>1079</v>
      </c>
      <c r="B214" t="s">
        <v>1080</v>
      </c>
      <c r="C214">
        <v>2020</v>
      </c>
      <c r="D214">
        <v>8001</v>
      </c>
      <c r="E214">
        <v>2</v>
      </c>
      <c r="F214" t="s">
        <v>1081</v>
      </c>
      <c r="G214">
        <v>28692840</v>
      </c>
      <c r="J214">
        <v>60</v>
      </c>
      <c r="L214">
        <v>45485787</v>
      </c>
      <c r="M214" s="1">
        <v>44193</v>
      </c>
      <c r="N214" t="str">
        <f>"CL200001"</f>
        <v>CL200001</v>
      </c>
      <c r="O214" t="s">
        <v>28</v>
      </c>
      <c r="Q214" t="s">
        <v>29</v>
      </c>
      <c r="R214" t="s">
        <v>28</v>
      </c>
      <c r="S214" t="s">
        <v>1019</v>
      </c>
      <c r="T214" t="s">
        <v>562</v>
      </c>
      <c r="W214" t="s">
        <v>563</v>
      </c>
      <c r="X214" t="s">
        <v>34</v>
      </c>
      <c r="Y214" t="str">
        <f>"750630156"</f>
        <v>750630156</v>
      </c>
    </row>
    <row r="215" spans="1:25" x14ac:dyDescent="0.25">
      <c r="A215" t="s">
        <v>1082</v>
      </c>
      <c r="B215" t="s">
        <v>1083</v>
      </c>
      <c r="C215">
        <v>2020</v>
      </c>
      <c r="D215">
        <v>8001</v>
      </c>
      <c r="E215">
        <v>1</v>
      </c>
      <c r="F215" t="s">
        <v>1084</v>
      </c>
      <c r="G215">
        <v>29461845</v>
      </c>
      <c r="J215">
        <v>83.88</v>
      </c>
      <c r="L215">
        <v>46728845</v>
      </c>
      <c r="M215" s="1">
        <v>44230</v>
      </c>
      <c r="N215" t="str">
        <f>"EK210203"</f>
        <v>EK210203</v>
      </c>
      <c r="O215" t="s">
        <v>28</v>
      </c>
      <c r="Q215" t="s">
        <v>29</v>
      </c>
      <c r="R215" t="s">
        <v>28</v>
      </c>
      <c r="S215" t="s">
        <v>1085</v>
      </c>
      <c r="T215" t="s">
        <v>1086</v>
      </c>
      <c r="W215" t="s">
        <v>81</v>
      </c>
      <c r="X215" t="s">
        <v>34</v>
      </c>
      <c r="Y215" t="str">
        <f>"77407"</f>
        <v>77407</v>
      </c>
    </row>
    <row r="216" spans="1:25" x14ac:dyDescent="0.25">
      <c r="A216" t="s">
        <v>1087</v>
      </c>
      <c r="B216" t="s">
        <v>1088</v>
      </c>
      <c r="C216">
        <v>2021</v>
      </c>
      <c r="D216">
        <v>8001</v>
      </c>
      <c r="E216">
        <v>1</v>
      </c>
      <c r="F216" t="s">
        <v>1089</v>
      </c>
      <c r="G216">
        <v>30572902</v>
      </c>
      <c r="J216">
        <v>785.78</v>
      </c>
      <c r="L216">
        <v>48566343</v>
      </c>
      <c r="M216" s="1">
        <v>44550</v>
      </c>
      <c r="N216" t="str">
        <f>"RC220116"</f>
        <v>RC220116</v>
      </c>
      <c r="O216" t="s">
        <v>28</v>
      </c>
      <c r="Q216" t="s">
        <v>29</v>
      </c>
      <c r="R216" t="s">
        <v>28</v>
      </c>
      <c r="S216" t="s">
        <v>1090</v>
      </c>
      <c r="T216" t="s">
        <v>1091</v>
      </c>
      <c r="U216" t="s">
        <v>1092</v>
      </c>
      <c r="W216" t="s">
        <v>40</v>
      </c>
      <c r="X216" t="s">
        <v>34</v>
      </c>
      <c r="Y216" t="str">
        <f>"774793869"</f>
        <v>774793869</v>
      </c>
    </row>
    <row r="217" spans="1:25" x14ac:dyDescent="0.25">
      <c r="A217" t="s">
        <v>1093</v>
      </c>
      <c r="B217" t="s">
        <v>1094</v>
      </c>
      <c r="C217">
        <v>2020</v>
      </c>
      <c r="D217">
        <v>8001</v>
      </c>
      <c r="E217">
        <v>2</v>
      </c>
      <c r="F217" t="s">
        <v>1095</v>
      </c>
      <c r="G217">
        <v>203289</v>
      </c>
      <c r="J217">
        <v>107.22</v>
      </c>
      <c r="L217">
        <v>47041887</v>
      </c>
      <c r="M217" s="1">
        <v>44260</v>
      </c>
      <c r="N217" t="str">
        <f>"O210305BD1"</f>
        <v>O210305BD1</v>
      </c>
      <c r="O217" t="s">
        <v>28</v>
      </c>
      <c r="Q217" t="s">
        <v>29</v>
      </c>
      <c r="R217" t="s">
        <v>28</v>
      </c>
      <c r="S217" t="s">
        <v>561</v>
      </c>
      <c r="T217" t="s">
        <v>562</v>
      </c>
      <c r="W217" t="s">
        <v>563</v>
      </c>
      <c r="X217" t="s">
        <v>34</v>
      </c>
      <c r="Y217" t="str">
        <f>"750630156"</f>
        <v>750630156</v>
      </c>
    </row>
    <row r="218" spans="1:25" x14ac:dyDescent="0.25">
      <c r="A218" t="s">
        <v>1096</v>
      </c>
      <c r="B218" t="s">
        <v>1097</v>
      </c>
      <c r="C218">
        <v>2020</v>
      </c>
      <c r="D218">
        <v>8001</v>
      </c>
      <c r="E218">
        <v>4</v>
      </c>
      <c r="F218" t="s">
        <v>1098</v>
      </c>
      <c r="G218">
        <v>28228414</v>
      </c>
      <c r="J218">
        <v>275.51</v>
      </c>
      <c r="L218">
        <v>47801635</v>
      </c>
      <c r="M218" s="1">
        <v>44482</v>
      </c>
      <c r="N218" t="str">
        <f>"RC211105"</f>
        <v>RC211105</v>
      </c>
      <c r="O218" t="s">
        <v>28</v>
      </c>
      <c r="Q218" t="s">
        <v>29</v>
      </c>
      <c r="R218" t="s">
        <v>28</v>
      </c>
      <c r="S218" t="s">
        <v>79</v>
      </c>
      <c r="T218" t="s">
        <v>1099</v>
      </c>
      <c r="W218" t="s">
        <v>81</v>
      </c>
      <c r="X218" t="s">
        <v>34</v>
      </c>
      <c r="Y218" t="str">
        <f>"77406"</f>
        <v>77406</v>
      </c>
    </row>
    <row r="219" spans="1:25" x14ac:dyDescent="0.25">
      <c r="A219" t="s">
        <v>1100</v>
      </c>
      <c r="B219" t="s">
        <v>1101</v>
      </c>
      <c r="C219">
        <v>2021</v>
      </c>
      <c r="D219">
        <v>8001</v>
      </c>
      <c r="E219">
        <v>1</v>
      </c>
      <c r="F219" t="s">
        <v>1102</v>
      </c>
      <c r="G219">
        <v>29993814</v>
      </c>
      <c r="J219">
        <v>16</v>
      </c>
      <c r="L219">
        <v>49817894</v>
      </c>
      <c r="M219" s="1">
        <v>44593</v>
      </c>
      <c r="N219" t="str">
        <f>"P220201I1"</f>
        <v>P220201I1</v>
      </c>
      <c r="O219" t="s">
        <v>28</v>
      </c>
      <c r="Q219" t="s">
        <v>29</v>
      </c>
      <c r="R219" t="s">
        <v>28</v>
      </c>
      <c r="S219" t="s">
        <v>1103</v>
      </c>
      <c r="T219" t="s">
        <v>1104</v>
      </c>
      <c r="U219" t="s">
        <v>1105</v>
      </c>
      <c r="W219" t="s">
        <v>1106</v>
      </c>
      <c r="X219" t="s">
        <v>1107</v>
      </c>
      <c r="Y219" t="str">
        <f>"300282249"</f>
        <v>300282249</v>
      </c>
    </row>
    <row r="220" spans="1:25" x14ac:dyDescent="0.25">
      <c r="A220" t="s">
        <v>1108</v>
      </c>
      <c r="B220" t="s">
        <v>1109</v>
      </c>
      <c r="C220">
        <v>2020</v>
      </c>
      <c r="D220">
        <v>8001</v>
      </c>
      <c r="E220">
        <v>2</v>
      </c>
      <c r="F220" t="s">
        <v>1110</v>
      </c>
      <c r="G220">
        <v>29092772</v>
      </c>
      <c r="J220">
        <v>165</v>
      </c>
      <c r="L220">
        <v>45831959</v>
      </c>
      <c r="M220" s="1">
        <v>44204</v>
      </c>
      <c r="N220" t="str">
        <f>"CC210108"</f>
        <v>CC210108</v>
      </c>
      <c r="O220" t="s">
        <v>28</v>
      </c>
      <c r="Q220" t="s">
        <v>29</v>
      </c>
      <c r="R220" t="s">
        <v>28</v>
      </c>
      <c r="S220" t="s">
        <v>1111</v>
      </c>
      <c r="T220" t="s">
        <v>1112</v>
      </c>
      <c r="W220" t="s">
        <v>107</v>
      </c>
      <c r="X220" t="s">
        <v>34</v>
      </c>
      <c r="Y220" t="str">
        <f>"77494"</f>
        <v>77494</v>
      </c>
    </row>
    <row r="221" spans="1:25" x14ac:dyDescent="0.25">
      <c r="A221" t="s">
        <v>1113</v>
      </c>
      <c r="B221" t="s">
        <v>1114</v>
      </c>
      <c r="C221">
        <v>2018</v>
      </c>
      <c r="D221">
        <v>8001</v>
      </c>
      <c r="E221">
        <v>2</v>
      </c>
      <c r="F221" t="s">
        <v>1115</v>
      </c>
      <c r="G221">
        <v>0</v>
      </c>
      <c r="J221">
        <v>13.79</v>
      </c>
      <c r="L221">
        <v>41527762</v>
      </c>
      <c r="M221" s="1">
        <v>43711</v>
      </c>
      <c r="N221" t="str">
        <f>"O190903L5"</f>
        <v>O190903L5</v>
      </c>
      <c r="O221" t="s">
        <v>28</v>
      </c>
      <c r="Q221" t="s">
        <v>29</v>
      </c>
      <c r="R221" t="s">
        <v>28</v>
      </c>
      <c r="S221" t="s">
        <v>1115</v>
      </c>
      <c r="T221" t="s">
        <v>1116</v>
      </c>
      <c r="U221" t="s">
        <v>60</v>
      </c>
      <c r="V221" t="s">
        <v>60</v>
      </c>
      <c r="W221" t="s">
        <v>135</v>
      </c>
      <c r="X221" t="s">
        <v>34</v>
      </c>
      <c r="Y221" t="str">
        <f>"770853609   "</f>
        <v xml:space="preserve">770853609   </v>
      </c>
    </row>
    <row r="222" spans="1:25" x14ac:dyDescent="0.25">
      <c r="A222" t="s">
        <v>1117</v>
      </c>
      <c r="B222" t="s">
        <v>1118</v>
      </c>
      <c r="C222">
        <v>2020</v>
      </c>
      <c r="D222">
        <v>8001</v>
      </c>
      <c r="E222">
        <v>1</v>
      </c>
      <c r="F222" t="s">
        <v>1119</v>
      </c>
      <c r="G222">
        <v>29872918</v>
      </c>
      <c r="J222">
        <v>80.69</v>
      </c>
      <c r="L222">
        <v>47506237</v>
      </c>
      <c r="M222" s="1">
        <v>44354</v>
      </c>
      <c r="N222" t="str">
        <f>"RC210614"</f>
        <v>RC210614</v>
      </c>
      <c r="O222" t="s">
        <v>28</v>
      </c>
      <c r="Q222" t="s">
        <v>29</v>
      </c>
      <c r="R222" t="s">
        <v>28</v>
      </c>
      <c r="S222" t="s">
        <v>1120</v>
      </c>
      <c r="T222" t="s">
        <v>1121</v>
      </c>
      <c r="W222" t="s">
        <v>910</v>
      </c>
      <c r="X222" t="s">
        <v>34</v>
      </c>
      <c r="Y222" t="str">
        <f>"78229"</f>
        <v>78229</v>
      </c>
    </row>
    <row r="223" spans="1:25" x14ac:dyDescent="0.25">
      <c r="A223" t="s">
        <v>1122</v>
      </c>
      <c r="B223" t="s">
        <v>1123</v>
      </c>
      <c r="C223">
        <v>2020</v>
      </c>
      <c r="D223">
        <v>8001</v>
      </c>
      <c r="E223">
        <v>1</v>
      </c>
      <c r="F223" t="s">
        <v>1119</v>
      </c>
      <c r="G223">
        <v>29872918</v>
      </c>
      <c r="J223">
        <v>107.03</v>
      </c>
      <c r="L223">
        <v>47506236</v>
      </c>
      <c r="M223" s="1">
        <v>44354</v>
      </c>
      <c r="N223" t="str">
        <f>"RC210614"</f>
        <v>RC210614</v>
      </c>
      <c r="O223" t="s">
        <v>28</v>
      </c>
      <c r="Q223" t="s">
        <v>29</v>
      </c>
      <c r="R223" t="s">
        <v>28</v>
      </c>
      <c r="S223" t="s">
        <v>1120</v>
      </c>
      <c r="T223" t="s">
        <v>1121</v>
      </c>
      <c r="W223" t="s">
        <v>910</v>
      </c>
      <c r="X223" t="s">
        <v>34</v>
      </c>
      <c r="Y223" t="str">
        <f>"78229"</f>
        <v>78229</v>
      </c>
    </row>
    <row r="224" spans="1:25" x14ac:dyDescent="0.25">
      <c r="A224" t="s">
        <v>1124</v>
      </c>
      <c r="B224" t="s">
        <v>1125</v>
      </c>
      <c r="C224">
        <v>2021</v>
      </c>
      <c r="D224">
        <v>8001</v>
      </c>
      <c r="E224">
        <v>1</v>
      </c>
      <c r="F224" t="s">
        <v>1126</v>
      </c>
      <c r="G224">
        <v>29590054</v>
      </c>
      <c r="J224">
        <v>25.04</v>
      </c>
      <c r="L224">
        <v>47009446</v>
      </c>
      <c r="M224" s="1">
        <v>44516</v>
      </c>
      <c r="N224" t="str">
        <f>"TE211116"</f>
        <v>TE211116</v>
      </c>
      <c r="O224" t="s">
        <v>28</v>
      </c>
      <c r="Q224" t="s">
        <v>29</v>
      </c>
      <c r="R224" t="s">
        <v>28</v>
      </c>
      <c r="S224" t="s">
        <v>1127</v>
      </c>
      <c r="T224" t="s">
        <v>1128</v>
      </c>
      <c r="W224" t="s">
        <v>727</v>
      </c>
      <c r="X224" t="s">
        <v>34</v>
      </c>
      <c r="Y224" t="str">
        <f>"77583"</f>
        <v>77583</v>
      </c>
    </row>
    <row r="225" spans="1:25" x14ac:dyDescent="0.25">
      <c r="A225" t="s">
        <v>1129</v>
      </c>
      <c r="B225" t="s">
        <v>1130</v>
      </c>
      <c r="C225">
        <v>2020</v>
      </c>
      <c r="D225">
        <v>8001</v>
      </c>
      <c r="E225">
        <v>4</v>
      </c>
      <c r="F225" t="s">
        <v>1131</v>
      </c>
      <c r="G225">
        <v>0</v>
      </c>
      <c r="J225">
        <v>220.76</v>
      </c>
      <c r="L225">
        <v>47779173</v>
      </c>
      <c r="M225" s="1">
        <v>44474</v>
      </c>
      <c r="N225" t="str">
        <f>"J211005K3"</f>
        <v>J211005K3</v>
      </c>
      <c r="O225" t="s">
        <v>28</v>
      </c>
      <c r="Q225" t="s">
        <v>29</v>
      </c>
      <c r="R225" t="s">
        <v>28</v>
      </c>
      <c r="S225" t="s">
        <v>1131</v>
      </c>
      <c r="T225" t="s">
        <v>1132</v>
      </c>
      <c r="U225" t="s">
        <v>60</v>
      </c>
      <c r="V225" t="s">
        <v>60</v>
      </c>
      <c r="W225" t="s">
        <v>721</v>
      </c>
      <c r="X225" t="s">
        <v>34</v>
      </c>
      <c r="Y225" t="str">
        <f>"775833358   "</f>
        <v xml:space="preserve">775833358   </v>
      </c>
    </row>
    <row r="226" spans="1:25" x14ac:dyDescent="0.25">
      <c r="A226" t="s">
        <v>1133</v>
      </c>
      <c r="B226" t="s">
        <v>1134</v>
      </c>
      <c r="C226">
        <v>2020</v>
      </c>
      <c r="D226">
        <v>8001</v>
      </c>
      <c r="E226">
        <v>1</v>
      </c>
      <c r="F226" t="s">
        <v>1135</v>
      </c>
      <c r="G226">
        <v>0</v>
      </c>
      <c r="J226">
        <v>53.3</v>
      </c>
      <c r="L226">
        <v>45481214</v>
      </c>
      <c r="M226" s="1">
        <v>44277</v>
      </c>
      <c r="N226" t="str">
        <f>"T210322U1"</f>
        <v>T210322U1</v>
      </c>
      <c r="O226" t="s">
        <v>28</v>
      </c>
      <c r="Q226" t="s">
        <v>29</v>
      </c>
      <c r="R226" t="s">
        <v>28</v>
      </c>
      <c r="S226" t="s">
        <v>1135</v>
      </c>
      <c r="T226" t="s">
        <v>1136</v>
      </c>
      <c r="U226" t="s">
        <v>60</v>
      </c>
      <c r="V226" t="s">
        <v>60</v>
      </c>
      <c r="W226" t="s">
        <v>1137</v>
      </c>
      <c r="X226" t="s">
        <v>34</v>
      </c>
      <c r="Y226" t="str">
        <f>"774503693   "</f>
        <v xml:space="preserve">774503693   </v>
      </c>
    </row>
    <row r="227" spans="1:25" x14ac:dyDescent="0.25">
      <c r="A227" t="s">
        <v>1138</v>
      </c>
      <c r="B227" t="s">
        <v>1139</v>
      </c>
      <c r="C227">
        <v>2021</v>
      </c>
      <c r="D227">
        <v>8001</v>
      </c>
      <c r="E227">
        <v>1</v>
      </c>
      <c r="F227" t="s">
        <v>1140</v>
      </c>
      <c r="G227">
        <v>30508754</v>
      </c>
      <c r="J227">
        <v>153.91</v>
      </c>
      <c r="L227">
        <v>48495339</v>
      </c>
      <c r="M227" s="1">
        <v>44545</v>
      </c>
      <c r="N227" t="str">
        <f>"RC220114"</f>
        <v>RC220114</v>
      </c>
      <c r="O227" t="s">
        <v>28</v>
      </c>
      <c r="Q227" t="s">
        <v>29</v>
      </c>
      <c r="R227" t="s">
        <v>28</v>
      </c>
      <c r="S227" t="s">
        <v>1141</v>
      </c>
      <c r="T227" t="s">
        <v>1142</v>
      </c>
      <c r="U227" t="s">
        <v>1143</v>
      </c>
      <c r="W227" t="s">
        <v>586</v>
      </c>
      <c r="X227" t="s">
        <v>34</v>
      </c>
      <c r="Y227" t="str">
        <f>"77584"</f>
        <v>77584</v>
      </c>
    </row>
    <row r="228" spans="1:25" x14ac:dyDescent="0.25">
      <c r="A228" t="s">
        <v>1144</v>
      </c>
      <c r="B228" t="s">
        <v>1145</v>
      </c>
      <c r="C228">
        <v>2020</v>
      </c>
      <c r="D228">
        <v>8001</v>
      </c>
      <c r="E228">
        <v>4</v>
      </c>
      <c r="F228" t="s">
        <v>1146</v>
      </c>
      <c r="G228">
        <v>29812414</v>
      </c>
      <c r="J228">
        <v>237.43</v>
      </c>
      <c r="L228">
        <v>47395307</v>
      </c>
      <c r="M228" s="1">
        <v>44328</v>
      </c>
      <c r="N228" t="str">
        <f>"RC210518"</f>
        <v>RC210518</v>
      </c>
      <c r="O228" t="s">
        <v>28</v>
      </c>
      <c r="Q228" t="s">
        <v>29</v>
      </c>
      <c r="R228" t="s">
        <v>28</v>
      </c>
      <c r="S228" t="s">
        <v>1147</v>
      </c>
      <c r="T228" t="s">
        <v>1148</v>
      </c>
      <c r="U228" t="s">
        <v>1149</v>
      </c>
      <c r="W228" t="s">
        <v>1150</v>
      </c>
      <c r="X228" t="s">
        <v>34</v>
      </c>
      <c r="Y228" t="str">
        <f>"775830662"</f>
        <v>775830662</v>
      </c>
    </row>
    <row r="229" spans="1:25" x14ac:dyDescent="0.25">
      <c r="A229" t="s">
        <v>1144</v>
      </c>
      <c r="B229" t="s">
        <v>1145</v>
      </c>
      <c r="C229">
        <v>2021</v>
      </c>
      <c r="D229">
        <v>8001</v>
      </c>
      <c r="E229">
        <v>1</v>
      </c>
      <c r="F229" t="s">
        <v>1146</v>
      </c>
      <c r="G229">
        <v>29812414</v>
      </c>
      <c r="J229">
        <v>32.78</v>
      </c>
      <c r="L229">
        <v>50199358</v>
      </c>
      <c r="M229" s="1">
        <v>44613</v>
      </c>
      <c r="N229" t="str">
        <f>"RC220317"</f>
        <v>RC220317</v>
      </c>
      <c r="O229" t="s">
        <v>28</v>
      </c>
      <c r="Q229" t="s">
        <v>29</v>
      </c>
      <c r="R229" t="s">
        <v>28</v>
      </c>
      <c r="S229" t="s">
        <v>1147</v>
      </c>
      <c r="T229" t="s">
        <v>1148</v>
      </c>
      <c r="U229" t="s">
        <v>1149</v>
      </c>
      <c r="W229" t="s">
        <v>1150</v>
      </c>
      <c r="X229" t="s">
        <v>34</v>
      </c>
      <c r="Y229" t="str">
        <f>"775830662"</f>
        <v>775830662</v>
      </c>
    </row>
    <row r="230" spans="1:25" x14ac:dyDescent="0.25">
      <c r="A230" t="s">
        <v>1151</v>
      </c>
      <c r="B230" t="s">
        <v>1152</v>
      </c>
      <c r="C230">
        <v>2019</v>
      </c>
      <c r="D230">
        <v>8001</v>
      </c>
      <c r="E230">
        <v>1</v>
      </c>
      <c r="F230" t="s">
        <v>1146</v>
      </c>
      <c r="G230">
        <v>0</v>
      </c>
      <c r="J230">
        <v>5.46</v>
      </c>
      <c r="L230">
        <v>42803299</v>
      </c>
      <c r="M230" s="1">
        <v>43840</v>
      </c>
      <c r="N230" t="str">
        <f>"L200110"</f>
        <v>L200110</v>
      </c>
      <c r="O230" t="s">
        <v>28</v>
      </c>
      <c r="Q230" t="s">
        <v>29</v>
      </c>
      <c r="R230" t="s">
        <v>28</v>
      </c>
      <c r="S230" t="s">
        <v>1146</v>
      </c>
      <c r="T230" t="s">
        <v>1153</v>
      </c>
      <c r="U230" t="s">
        <v>60</v>
      </c>
      <c r="V230" t="s">
        <v>60</v>
      </c>
      <c r="W230" t="s">
        <v>721</v>
      </c>
      <c r="X230" t="s">
        <v>34</v>
      </c>
      <c r="Y230" t="str">
        <f>"775832232   "</f>
        <v xml:space="preserve">775832232   </v>
      </c>
    </row>
    <row r="231" spans="1:25" x14ac:dyDescent="0.25">
      <c r="A231" t="s">
        <v>1151</v>
      </c>
      <c r="B231" t="s">
        <v>1152</v>
      </c>
      <c r="C231">
        <v>2020</v>
      </c>
      <c r="D231">
        <v>8001</v>
      </c>
      <c r="E231">
        <v>1</v>
      </c>
      <c r="F231" t="s">
        <v>1146</v>
      </c>
      <c r="G231">
        <v>0</v>
      </c>
      <c r="J231">
        <v>5.23</v>
      </c>
      <c r="L231">
        <v>45975237</v>
      </c>
      <c r="M231" s="1">
        <v>44210</v>
      </c>
      <c r="N231" t="str">
        <f>"L210114"</f>
        <v>L210114</v>
      </c>
      <c r="O231" t="s">
        <v>28</v>
      </c>
      <c r="Q231" t="s">
        <v>29</v>
      </c>
      <c r="R231" t="s">
        <v>28</v>
      </c>
      <c r="S231" t="s">
        <v>1146</v>
      </c>
      <c r="T231" t="s">
        <v>1153</v>
      </c>
      <c r="U231" t="s">
        <v>60</v>
      </c>
      <c r="V231" t="s">
        <v>60</v>
      </c>
      <c r="W231" t="s">
        <v>721</v>
      </c>
      <c r="X231" t="s">
        <v>34</v>
      </c>
      <c r="Y231" t="str">
        <f>"775832232   "</f>
        <v xml:space="preserve">775832232   </v>
      </c>
    </row>
    <row r="232" spans="1:25" x14ac:dyDescent="0.25">
      <c r="A232" t="s">
        <v>1154</v>
      </c>
      <c r="B232" t="s">
        <v>1155</v>
      </c>
      <c r="C232">
        <v>2018</v>
      </c>
      <c r="D232">
        <v>8001</v>
      </c>
      <c r="E232">
        <v>1</v>
      </c>
      <c r="F232" t="s">
        <v>1156</v>
      </c>
      <c r="G232">
        <v>26408210</v>
      </c>
      <c r="J232">
        <v>8.6300000000000008</v>
      </c>
      <c r="L232">
        <v>41082664</v>
      </c>
      <c r="M232" s="1">
        <v>43563</v>
      </c>
      <c r="N232" t="str">
        <f>"J190408AW1"</f>
        <v>J190408AW1</v>
      </c>
      <c r="O232" t="s">
        <v>28</v>
      </c>
      <c r="Q232" t="s">
        <v>29</v>
      </c>
      <c r="R232" t="s">
        <v>28</v>
      </c>
      <c r="S232" t="s">
        <v>1157</v>
      </c>
      <c r="T232" t="s">
        <v>1158</v>
      </c>
      <c r="U232" t="s">
        <v>1159</v>
      </c>
      <c r="W232" t="s">
        <v>1160</v>
      </c>
      <c r="X232" t="s">
        <v>34</v>
      </c>
      <c r="Y232" t="str">
        <f>"775459435"</f>
        <v>775459435</v>
      </c>
    </row>
    <row r="233" spans="1:25" x14ac:dyDescent="0.25">
      <c r="A233" t="s">
        <v>1161</v>
      </c>
      <c r="B233" t="s">
        <v>1162</v>
      </c>
      <c r="C233">
        <v>2020</v>
      </c>
      <c r="D233">
        <v>8001</v>
      </c>
      <c r="E233">
        <v>1</v>
      </c>
      <c r="F233" t="s">
        <v>1163</v>
      </c>
      <c r="G233">
        <v>24908930</v>
      </c>
      <c r="J233">
        <v>164.26</v>
      </c>
      <c r="L233">
        <v>45519522</v>
      </c>
      <c r="M233" s="1">
        <v>44194</v>
      </c>
      <c r="N233" t="str">
        <f>"RC210114"</f>
        <v>RC210114</v>
      </c>
      <c r="O233" t="s">
        <v>28</v>
      </c>
      <c r="Q233" t="s">
        <v>29</v>
      </c>
      <c r="R233" t="s">
        <v>28</v>
      </c>
      <c r="S233" t="s">
        <v>1164</v>
      </c>
      <c r="T233" t="s">
        <v>1165</v>
      </c>
      <c r="W233" t="s">
        <v>40</v>
      </c>
      <c r="X233" t="s">
        <v>34</v>
      </c>
      <c r="Y233" t="str">
        <f>"774786135"</f>
        <v>774786135</v>
      </c>
    </row>
    <row r="234" spans="1:25" x14ac:dyDescent="0.25">
      <c r="A234" t="s">
        <v>1166</v>
      </c>
      <c r="B234" t="s">
        <v>1167</v>
      </c>
      <c r="C234">
        <v>2021</v>
      </c>
      <c r="D234">
        <v>8001</v>
      </c>
      <c r="E234">
        <v>2</v>
      </c>
      <c r="F234" t="s">
        <v>1168</v>
      </c>
      <c r="G234">
        <v>0</v>
      </c>
      <c r="J234">
        <v>30</v>
      </c>
      <c r="L234">
        <v>49458547</v>
      </c>
      <c r="M234" s="1">
        <v>44585</v>
      </c>
      <c r="N234" t="str">
        <f>"O220124BZ6"</f>
        <v>O220124BZ6</v>
      </c>
      <c r="O234" t="s">
        <v>28</v>
      </c>
      <c r="Q234" t="s">
        <v>29</v>
      </c>
      <c r="R234" t="s">
        <v>28</v>
      </c>
      <c r="S234" t="s">
        <v>1168</v>
      </c>
      <c r="T234" t="s">
        <v>1169</v>
      </c>
      <c r="U234" t="s">
        <v>60</v>
      </c>
      <c r="V234" t="s">
        <v>60</v>
      </c>
      <c r="W234" t="s">
        <v>219</v>
      </c>
      <c r="X234" t="s">
        <v>34</v>
      </c>
      <c r="Y234" t="str">
        <f>"774786164   "</f>
        <v xml:space="preserve">774786164   </v>
      </c>
    </row>
    <row r="235" spans="1:25" x14ac:dyDescent="0.25">
      <c r="A235" t="s">
        <v>1170</v>
      </c>
      <c r="B235" t="s">
        <v>1171</v>
      </c>
      <c r="C235">
        <v>2020</v>
      </c>
      <c r="D235">
        <v>8001</v>
      </c>
      <c r="E235">
        <v>1</v>
      </c>
      <c r="F235" t="s">
        <v>1172</v>
      </c>
      <c r="G235">
        <v>0</v>
      </c>
      <c r="J235">
        <v>9.1300000000000008</v>
      </c>
      <c r="L235">
        <v>44592591</v>
      </c>
      <c r="M235" s="1">
        <v>44147</v>
      </c>
      <c r="N235" t="str">
        <f>"TE201112"</f>
        <v>TE201112</v>
      </c>
      <c r="O235" t="s">
        <v>28</v>
      </c>
      <c r="Q235" t="s">
        <v>29</v>
      </c>
      <c r="R235" t="s">
        <v>28</v>
      </c>
      <c r="S235" t="s">
        <v>1173</v>
      </c>
      <c r="T235" t="s">
        <v>1174</v>
      </c>
      <c r="U235" t="s">
        <v>60</v>
      </c>
      <c r="V235" t="s">
        <v>60</v>
      </c>
      <c r="W235" t="s">
        <v>649</v>
      </c>
      <c r="X235" t="s">
        <v>34</v>
      </c>
      <c r="Y235" t="str">
        <f>"774714526   "</f>
        <v xml:space="preserve">774714526   </v>
      </c>
    </row>
    <row r="236" spans="1:25" x14ac:dyDescent="0.25">
      <c r="A236" t="s">
        <v>1175</v>
      </c>
      <c r="B236" t="s">
        <v>1176</v>
      </c>
      <c r="C236">
        <v>2021</v>
      </c>
      <c r="D236">
        <v>8001</v>
      </c>
      <c r="E236">
        <v>1</v>
      </c>
      <c r="F236" t="s">
        <v>1177</v>
      </c>
      <c r="G236">
        <v>29230025</v>
      </c>
      <c r="J236">
        <v>399.14</v>
      </c>
      <c r="L236">
        <v>48336760</v>
      </c>
      <c r="M236" s="1">
        <v>44537</v>
      </c>
      <c r="N236" t="str">
        <f>"RC220113"</f>
        <v>RC220113</v>
      </c>
      <c r="O236" t="s">
        <v>28</v>
      </c>
      <c r="Q236" t="s">
        <v>29</v>
      </c>
      <c r="R236" t="s">
        <v>28</v>
      </c>
      <c r="S236" t="s">
        <v>1178</v>
      </c>
      <c r="T236" t="s">
        <v>1179</v>
      </c>
      <c r="W236" t="s">
        <v>154</v>
      </c>
      <c r="X236" t="s">
        <v>34</v>
      </c>
      <c r="Y236" t="str">
        <f>"774715529"</f>
        <v>774715529</v>
      </c>
    </row>
    <row r="237" spans="1:25" x14ac:dyDescent="0.25">
      <c r="A237" t="s">
        <v>1180</v>
      </c>
      <c r="B237" t="s">
        <v>1181</v>
      </c>
      <c r="C237">
        <v>2020</v>
      </c>
      <c r="D237">
        <v>8001</v>
      </c>
      <c r="E237">
        <v>2</v>
      </c>
      <c r="F237" t="s">
        <v>1182</v>
      </c>
      <c r="G237">
        <v>27618830</v>
      </c>
      <c r="J237">
        <v>75</v>
      </c>
      <c r="L237">
        <v>47711394</v>
      </c>
      <c r="M237" s="1">
        <v>44431</v>
      </c>
      <c r="N237" t="str">
        <f>"O210823AB1"</f>
        <v>O210823AB1</v>
      </c>
      <c r="O237" t="s">
        <v>28</v>
      </c>
      <c r="Q237" t="s">
        <v>29</v>
      </c>
      <c r="R237" t="s">
        <v>28</v>
      </c>
      <c r="S237" t="s">
        <v>1183</v>
      </c>
      <c r="T237" t="s">
        <v>1184</v>
      </c>
      <c r="W237" t="s">
        <v>107</v>
      </c>
      <c r="X237" t="s">
        <v>34</v>
      </c>
      <c r="Y237" t="str">
        <f>"774942663"</f>
        <v>774942663</v>
      </c>
    </row>
    <row r="238" spans="1:25" x14ac:dyDescent="0.25">
      <c r="A238" t="s">
        <v>1185</v>
      </c>
      <c r="B238" t="s">
        <v>1186</v>
      </c>
      <c r="C238">
        <v>2020</v>
      </c>
      <c r="D238">
        <v>8001</v>
      </c>
      <c r="E238">
        <v>1</v>
      </c>
      <c r="F238" t="s">
        <v>1187</v>
      </c>
      <c r="G238">
        <v>0</v>
      </c>
      <c r="J238" s="2">
        <v>1352</v>
      </c>
      <c r="L238">
        <v>44754508</v>
      </c>
      <c r="M238" s="1">
        <v>44147</v>
      </c>
      <c r="N238" t="str">
        <f>"TE201112"</f>
        <v>TE201112</v>
      </c>
      <c r="O238" t="s">
        <v>28</v>
      </c>
      <c r="Q238" t="s">
        <v>29</v>
      </c>
      <c r="R238" t="s">
        <v>28</v>
      </c>
      <c r="S238" t="s">
        <v>1187</v>
      </c>
      <c r="T238" t="s">
        <v>1188</v>
      </c>
      <c r="U238" t="s">
        <v>60</v>
      </c>
      <c r="V238" t="s">
        <v>60</v>
      </c>
      <c r="W238" t="s">
        <v>219</v>
      </c>
      <c r="X238" t="s">
        <v>34</v>
      </c>
      <c r="Y238" t="str">
        <f>"774793027   "</f>
        <v xml:space="preserve">774793027   </v>
      </c>
    </row>
    <row r="239" spans="1:25" x14ac:dyDescent="0.25">
      <c r="A239" t="s">
        <v>1185</v>
      </c>
      <c r="B239" t="s">
        <v>1186</v>
      </c>
      <c r="C239">
        <v>2021</v>
      </c>
      <c r="D239">
        <v>8001</v>
      </c>
      <c r="E239">
        <v>1</v>
      </c>
      <c r="F239" t="s">
        <v>1187</v>
      </c>
      <c r="G239">
        <v>25900056</v>
      </c>
      <c r="J239">
        <v>108.32</v>
      </c>
      <c r="L239">
        <v>48154431</v>
      </c>
      <c r="M239" s="1">
        <v>44522</v>
      </c>
      <c r="N239" t="str">
        <f>"RC211222"</f>
        <v>RC211222</v>
      </c>
      <c r="O239" t="s">
        <v>28</v>
      </c>
      <c r="Q239" t="s">
        <v>29</v>
      </c>
      <c r="R239" t="s">
        <v>28</v>
      </c>
      <c r="S239" t="s">
        <v>1189</v>
      </c>
      <c r="T239" t="s">
        <v>1190</v>
      </c>
      <c r="U239" t="s">
        <v>1191</v>
      </c>
      <c r="W239" t="s">
        <v>75</v>
      </c>
      <c r="X239" t="s">
        <v>34</v>
      </c>
      <c r="Y239" t="str">
        <f>"770421076"</f>
        <v>770421076</v>
      </c>
    </row>
    <row r="240" spans="1:25" x14ac:dyDescent="0.25">
      <c r="A240" t="s">
        <v>1192</v>
      </c>
      <c r="B240" t="s">
        <v>1193</v>
      </c>
      <c r="C240">
        <v>2021</v>
      </c>
      <c r="D240">
        <v>8001</v>
      </c>
      <c r="E240">
        <v>1</v>
      </c>
      <c r="F240" t="s">
        <v>1194</v>
      </c>
      <c r="G240">
        <v>26033880</v>
      </c>
      <c r="J240">
        <v>476.96</v>
      </c>
      <c r="L240">
        <v>48793406</v>
      </c>
      <c r="M240" s="1">
        <v>44560</v>
      </c>
      <c r="N240" t="str">
        <f>"RC220125"</f>
        <v>RC220125</v>
      </c>
      <c r="O240" t="s">
        <v>28</v>
      </c>
      <c r="Q240" t="s">
        <v>29</v>
      </c>
      <c r="R240" t="s">
        <v>28</v>
      </c>
      <c r="S240" t="s">
        <v>1195</v>
      </c>
      <c r="T240" t="s">
        <v>1196</v>
      </c>
      <c r="W240" t="s">
        <v>1197</v>
      </c>
      <c r="X240" t="s">
        <v>34</v>
      </c>
      <c r="Y240" t="str">
        <f>"78041"</f>
        <v>78041</v>
      </c>
    </row>
    <row r="241" spans="1:25" x14ac:dyDescent="0.25">
      <c r="A241" t="s">
        <v>1198</v>
      </c>
      <c r="B241" t="s">
        <v>1199</v>
      </c>
      <c r="C241">
        <v>2020</v>
      </c>
      <c r="D241">
        <v>8001</v>
      </c>
      <c r="E241">
        <v>1</v>
      </c>
      <c r="F241" t="s">
        <v>1200</v>
      </c>
      <c r="G241">
        <v>27835504</v>
      </c>
      <c r="J241">
        <v>386.86</v>
      </c>
      <c r="L241">
        <v>46772295</v>
      </c>
      <c r="M241" s="1">
        <v>44231</v>
      </c>
      <c r="N241" t="str">
        <f>"RC210301"</f>
        <v>RC210301</v>
      </c>
      <c r="O241" t="s">
        <v>28</v>
      </c>
      <c r="Q241" t="s">
        <v>29</v>
      </c>
      <c r="R241" t="s">
        <v>28</v>
      </c>
      <c r="S241" t="s">
        <v>1201</v>
      </c>
      <c r="T241" t="s">
        <v>1202</v>
      </c>
      <c r="W241" t="s">
        <v>40</v>
      </c>
      <c r="X241" t="s">
        <v>34</v>
      </c>
      <c r="Y241" t="str">
        <f>"77479"</f>
        <v>77479</v>
      </c>
    </row>
    <row r="242" spans="1:25" x14ac:dyDescent="0.25">
      <c r="A242" t="s">
        <v>1203</v>
      </c>
      <c r="B242" t="s">
        <v>1204</v>
      </c>
      <c r="C242">
        <v>2019</v>
      </c>
      <c r="D242">
        <v>8001</v>
      </c>
      <c r="E242">
        <v>1</v>
      </c>
      <c r="F242" t="s">
        <v>1205</v>
      </c>
      <c r="G242">
        <v>0</v>
      </c>
      <c r="J242">
        <v>6.45</v>
      </c>
      <c r="L242">
        <v>44149785</v>
      </c>
      <c r="M242" s="1">
        <v>43962</v>
      </c>
      <c r="N242" t="str">
        <f>"J200511K3"</f>
        <v>J200511K3</v>
      </c>
      <c r="O242" t="s">
        <v>28</v>
      </c>
      <c r="Q242" t="s">
        <v>29</v>
      </c>
      <c r="R242" t="s">
        <v>28</v>
      </c>
      <c r="S242" t="s">
        <v>1205</v>
      </c>
      <c r="T242" t="s">
        <v>1206</v>
      </c>
      <c r="U242" t="s">
        <v>60</v>
      </c>
      <c r="V242" t="s">
        <v>60</v>
      </c>
      <c r="W242" t="s">
        <v>219</v>
      </c>
      <c r="X242" t="s">
        <v>34</v>
      </c>
      <c r="Y242" t="str">
        <f>"774795171   "</f>
        <v xml:space="preserve">774795171   </v>
      </c>
    </row>
    <row r="243" spans="1:25" x14ac:dyDescent="0.25">
      <c r="A243" t="s">
        <v>1207</v>
      </c>
      <c r="B243" t="s">
        <v>1208</v>
      </c>
      <c r="C243">
        <v>2020</v>
      </c>
      <c r="D243">
        <v>8001</v>
      </c>
      <c r="E243">
        <v>1</v>
      </c>
      <c r="F243" t="s">
        <v>1209</v>
      </c>
      <c r="G243">
        <v>29489563</v>
      </c>
      <c r="J243">
        <v>544.46</v>
      </c>
      <c r="L243">
        <v>46782262</v>
      </c>
      <c r="M243" s="1">
        <v>44231</v>
      </c>
      <c r="N243" t="str">
        <f>"CC210204"</f>
        <v>CC210204</v>
      </c>
      <c r="O243" t="s">
        <v>28</v>
      </c>
      <c r="Q243" t="s">
        <v>29</v>
      </c>
      <c r="R243" t="s">
        <v>28</v>
      </c>
      <c r="S243" t="s">
        <v>1210</v>
      </c>
      <c r="T243" t="s">
        <v>1211</v>
      </c>
      <c r="W243" t="s">
        <v>112</v>
      </c>
      <c r="X243" t="s">
        <v>34</v>
      </c>
      <c r="Y243" t="str">
        <f>"77479"</f>
        <v>77479</v>
      </c>
    </row>
    <row r="244" spans="1:25" x14ac:dyDescent="0.25">
      <c r="A244" t="s">
        <v>1212</v>
      </c>
      <c r="B244" t="s">
        <v>1213</v>
      </c>
      <c r="C244">
        <v>2020</v>
      </c>
      <c r="D244">
        <v>8001</v>
      </c>
      <c r="E244">
        <v>2</v>
      </c>
      <c r="F244" t="s">
        <v>1214</v>
      </c>
      <c r="G244">
        <v>29446947</v>
      </c>
      <c r="J244">
        <v>29.74</v>
      </c>
      <c r="L244">
        <v>46693890</v>
      </c>
      <c r="M244" s="1">
        <v>44229</v>
      </c>
      <c r="N244" t="str">
        <f>"EK510202"</f>
        <v>EK510202</v>
      </c>
      <c r="O244" t="s">
        <v>28</v>
      </c>
      <c r="Q244" t="s">
        <v>29</v>
      </c>
      <c r="R244" t="s">
        <v>28</v>
      </c>
      <c r="S244" t="s">
        <v>1215</v>
      </c>
      <c r="T244" t="s">
        <v>1216</v>
      </c>
      <c r="W244" t="s">
        <v>107</v>
      </c>
      <c r="X244" t="s">
        <v>34</v>
      </c>
      <c r="Y244" t="str">
        <f>"77494"</f>
        <v>77494</v>
      </c>
    </row>
    <row r="245" spans="1:25" x14ac:dyDescent="0.25">
      <c r="A245" t="s">
        <v>1217</v>
      </c>
      <c r="B245" t="s">
        <v>1218</v>
      </c>
      <c r="C245">
        <v>2018</v>
      </c>
      <c r="D245">
        <v>8001</v>
      </c>
      <c r="E245">
        <v>2</v>
      </c>
      <c r="F245" t="s">
        <v>1219</v>
      </c>
      <c r="G245">
        <v>0</v>
      </c>
      <c r="J245">
        <v>69.78</v>
      </c>
      <c r="L245">
        <v>41186134</v>
      </c>
      <c r="M245" s="1">
        <v>43595</v>
      </c>
      <c r="N245" t="str">
        <f>"J190510K2"</f>
        <v>J190510K2</v>
      </c>
      <c r="O245" t="s">
        <v>28</v>
      </c>
      <c r="Q245" t="s">
        <v>29</v>
      </c>
      <c r="R245" t="s">
        <v>28</v>
      </c>
      <c r="S245" t="s">
        <v>1219</v>
      </c>
      <c r="T245" t="s">
        <v>1220</v>
      </c>
      <c r="U245" t="s">
        <v>60</v>
      </c>
      <c r="V245" t="s">
        <v>60</v>
      </c>
      <c r="W245" t="s">
        <v>1137</v>
      </c>
      <c r="X245" t="s">
        <v>34</v>
      </c>
      <c r="Y245" t="str">
        <f>"774945974   "</f>
        <v xml:space="preserve">774945974   </v>
      </c>
    </row>
    <row r="246" spans="1:25" x14ac:dyDescent="0.25">
      <c r="A246" t="s">
        <v>1221</v>
      </c>
      <c r="B246" t="s">
        <v>1222</v>
      </c>
      <c r="C246">
        <v>2019</v>
      </c>
      <c r="D246">
        <v>8001</v>
      </c>
      <c r="E246">
        <v>1</v>
      </c>
      <c r="F246" t="s">
        <v>1223</v>
      </c>
      <c r="G246">
        <v>28305687</v>
      </c>
      <c r="J246">
        <v>188.79</v>
      </c>
      <c r="L246">
        <v>43875742</v>
      </c>
      <c r="M246" s="1">
        <v>43894</v>
      </c>
      <c r="N246" t="str">
        <f>"EK200304"</f>
        <v>EK200304</v>
      </c>
      <c r="O246" t="s">
        <v>28</v>
      </c>
      <c r="Q246" t="s">
        <v>29</v>
      </c>
      <c r="R246" t="s">
        <v>28</v>
      </c>
      <c r="S246" t="s">
        <v>1224</v>
      </c>
      <c r="T246" t="s">
        <v>1225</v>
      </c>
      <c r="W246" t="s">
        <v>40</v>
      </c>
      <c r="X246" t="s">
        <v>34</v>
      </c>
      <c r="Y246" t="str">
        <f>"77479"</f>
        <v>77479</v>
      </c>
    </row>
    <row r="247" spans="1:25" x14ac:dyDescent="0.25">
      <c r="A247" t="s">
        <v>1226</v>
      </c>
      <c r="B247" t="s">
        <v>1227</v>
      </c>
      <c r="C247">
        <v>2019</v>
      </c>
      <c r="D247">
        <v>8001</v>
      </c>
      <c r="E247">
        <v>3</v>
      </c>
      <c r="F247" t="s">
        <v>1228</v>
      </c>
      <c r="G247">
        <v>28578455</v>
      </c>
      <c r="J247">
        <v>177.93</v>
      </c>
      <c r="L247">
        <v>44403189</v>
      </c>
      <c r="M247" s="1">
        <v>44029</v>
      </c>
      <c r="N247" t="str">
        <f>"CC200717"</f>
        <v>CC200717</v>
      </c>
      <c r="O247" t="s">
        <v>28</v>
      </c>
      <c r="Q247" t="s">
        <v>29</v>
      </c>
      <c r="R247" t="s">
        <v>28</v>
      </c>
      <c r="S247" t="s">
        <v>1229</v>
      </c>
      <c r="T247" t="s">
        <v>1230</v>
      </c>
      <c r="W247" t="s">
        <v>40</v>
      </c>
      <c r="X247" t="s">
        <v>34</v>
      </c>
      <c r="Y247" t="str">
        <f>"77479"</f>
        <v>77479</v>
      </c>
    </row>
    <row r="248" spans="1:25" x14ac:dyDescent="0.25">
      <c r="A248" t="s">
        <v>1231</v>
      </c>
      <c r="B248" t="s">
        <v>1232</v>
      </c>
      <c r="C248">
        <v>2020</v>
      </c>
      <c r="D248">
        <v>8001</v>
      </c>
      <c r="E248">
        <v>1</v>
      </c>
      <c r="F248" t="s">
        <v>1233</v>
      </c>
      <c r="G248">
        <v>28794716</v>
      </c>
      <c r="J248" s="2">
        <v>3104.5</v>
      </c>
      <c r="L248">
        <v>44928689</v>
      </c>
      <c r="M248" s="1">
        <v>44154</v>
      </c>
      <c r="N248" t="str">
        <f>"O201119BD1"</f>
        <v>O201119BD1</v>
      </c>
      <c r="O248" t="s">
        <v>28</v>
      </c>
      <c r="Q248" t="s">
        <v>29</v>
      </c>
      <c r="R248" t="s">
        <v>28</v>
      </c>
      <c r="S248" t="s">
        <v>1234</v>
      </c>
      <c r="T248" t="s">
        <v>1235</v>
      </c>
      <c r="W248" t="s">
        <v>910</v>
      </c>
      <c r="X248" t="s">
        <v>34</v>
      </c>
      <c r="Y248" t="str">
        <f>"782052329"</f>
        <v>782052329</v>
      </c>
    </row>
    <row r="249" spans="1:25" x14ac:dyDescent="0.25">
      <c r="A249" t="s">
        <v>1236</v>
      </c>
      <c r="B249" t="s">
        <v>1237</v>
      </c>
      <c r="C249">
        <v>2020</v>
      </c>
      <c r="D249">
        <v>8001</v>
      </c>
      <c r="E249">
        <v>2</v>
      </c>
      <c r="F249" t="s">
        <v>1238</v>
      </c>
      <c r="G249">
        <v>203289</v>
      </c>
      <c r="J249">
        <v>194.41</v>
      </c>
      <c r="L249">
        <v>47049996</v>
      </c>
      <c r="M249" s="1">
        <v>44263</v>
      </c>
      <c r="N249" t="str">
        <f>"O210308BD1"</f>
        <v>O210308BD1</v>
      </c>
      <c r="O249" t="s">
        <v>28</v>
      </c>
      <c r="Q249" t="s">
        <v>29</v>
      </c>
      <c r="R249" t="s">
        <v>28</v>
      </c>
      <c r="S249" t="s">
        <v>561</v>
      </c>
      <c r="T249" t="s">
        <v>562</v>
      </c>
      <c r="W249" t="s">
        <v>563</v>
      </c>
      <c r="X249" t="s">
        <v>34</v>
      </c>
      <c r="Y249" t="str">
        <f>"750630156"</f>
        <v>750630156</v>
      </c>
    </row>
    <row r="250" spans="1:25" x14ac:dyDescent="0.25">
      <c r="A250" t="s">
        <v>1239</v>
      </c>
      <c r="B250" t="s">
        <v>1240</v>
      </c>
      <c r="C250">
        <v>2020</v>
      </c>
      <c r="D250">
        <v>8001</v>
      </c>
      <c r="E250">
        <v>2</v>
      </c>
      <c r="F250" t="s">
        <v>1241</v>
      </c>
      <c r="G250">
        <v>29448469</v>
      </c>
      <c r="J250">
        <v>334.92</v>
      </c>
      <c r="L250">
        <v>46879618</v>
      </c>
      <c r="M250" s="1">
        <v>44236</v>
      </c>
      <c r="N250" t="str">
        <f>"RC210304"</f>
        <v>RC210304</v>
      </c>
      <c r="O250" t="s">
        <v>28</v>
      </c>
      <c r="Q250" t="s">
        <v>29</v>
      </c>
      <c r="R250" t="s">
        <v>28</v>
      </c>
      <c r="S250" t="s">
        <v>1033</v>
      </c>
      <c r="T250" t="s">
        <v>1034</v>
      </c>
      <c r="W250" t="s">
        <v>168</v>
      </c>
      <c r="X250" t="s">
        <v>169</v>
      </c>
      <c r="Y250" t="str">
        <f>"801114720"</f>
        <v>801114720</v>
      </c>
    </row>
    <row r="251" spans="1:25" x14ac:dyDescent="0.25">
      <c r="A251" t="s">
        <v>1242</v>
      </c>
      <c r="B251" t="s">
        <v>1243</v>
      </c>
      <c r="C251">
        <v>2020</v>
      </c>
      <c r="D251">
        <v>8001</v>
      </c>
      <c r="E251">
        <v>1</v>
      </c>
      <c r="F251" t="s">
        <v>1244</v>
      </c>
      <c r="G251">
        <v>25497267</v>
      </c>
      <c r="J251">
        <v>62.91</v>
      </c>
      <c r="L251">
        <v>47776037</v>
      </c>
      <c r="M251" s="1">
        <v>44473</v>
      </c>
      <c r="N251" t="str">
        <f>"RC211018"</f>
        <v>RC211018</v>
      </c>
      <c r="O251" t="s">
        <v>28</v>
      </c>
      <c r="Q251" t="s">
        <v>29</v>
      </c>
      <c r="R251" t="s">
        <v>28</v>
      </c>
      <c r="S251" t="s">
        <v>1245</v>
      </c>
      <c r="T251" t="s">
        <v>1246</v>
      </c>
      <c r="W251" t="s">
        <v>1247</v>
      </c>
      <c r="X251" t="s">
        <v>1248</v>
      </c>
      <c r="Y251" t="str">
        <f>"322042945"</f>
        <v>322042945</v>
      </c>
    </row>
    <row r="252" spans="1:25" x14ac:dyDescent="0.25">
      <c r="A252" t="s">
        <v>1249</v>
      </c>
      <c r="B252" t="s">
        <v>1250</v>
      </c>
      <c r="C252">
        <v>2020</v>
      </c>
      <c r="D252">
        <v>8001</v>
      </c>
      <c r="E252">
        <v>1</v>
      </c>
      <c r="F252" t="s">
        <v>1251</v>
      </c>
      <c r="G252">
        <v>29461936</v>
      </c>
      <c r="J252">
        <v>357.69</v>
      </c>
      <c r="L252">
        <v>46728936</v>
      </c>
      <c r="M252" s="1">
        <v>44230</v>
      </c>
      <c r="N252" t="str">
        <f>"EK210203"</f>
        <v>EK210203</v>
      </c>
      <c r="O252" t="s">
        <v>28</v>
      </c>
      <c r="Q252" t="s">
        <v>29</v>
      </c>
      <c r="R252" t="s">
        <v>28</v>
      </c>
      <c r="S252" t="s">
        <v>1252</v>
      </c>
      <c r="T252" t="s">
        <v>1253</v>
      </c>
      <c r="W252" t="s">
        <v>75</v>
      </c>
      <c r="X252" t="s">
        <v>34</v>
      </c>
      <c r="Y252" t="str">
        <f>"77063"</f>
        <v>77063</v>
      </c>
    </row>
    <row r="253" spans="1:25" x14ac:dyDescent="0.25">
      <c r="A253" t="s">
        <v>1254</v>
      </c>
      <c r="B253" t="s">
        <v>1255</v>
      </c>
      <c r="C253">
        <v>2020</v>
      </c>
      <c r="D253">
        <v>8001</v>
      </c>
      <c r="E253">
        <v>1</v>
      </c>
      <c r="F253" t="s">
        <v>1251</v>
      </c>
      <c r="G253">
        <v>29461935</v>
      </c>
      <c r="J253">
        <v>369.23</v>
      </c>
      <c r="L253">
        <v>46728935</v>
      </c>
      <c r="M253" s="1">
        <v>44230</v>
      </c>
      <c r="N253" t="str">
        <f>"EK210203"</f>
        <v>EK210203</v>
      </c>
      <c r="O253" t="s">
        <v>28</v>
      </c>
      <c r="Q253" t="s">
        <v>29</v>
      </c>
      <c r="R253" t="s">
        <v>28</v>
      </c>
      <c r="S253" t="s">
        <v>1252</v>
      </c>
      <c r="T253" t="s">
        <v>1253</v>
      </c>
      <c r="W253" t="s">
        <v>75</v>
      </c>
      <c r="X253" t="s">
        <v>34</v>
      </c>
      <c r="Y253" t="str">
        <f>"77063"</f>
        <v>77063</v>
      </c>
    </row>
    <row r="254" spans="1:25" x14ac:dyDescent="0.25">
      <c r="A254" t="s">
        <v>1256</v>
      </c>
      <c r="B254" t="s">
        <v>1257</v>
      </c>
      <c r="C254">
        <v>2020</v>
      </c>
      <c r="D254">
        <v>8001</v>
      </c>
      <c r="E254">
        <v>2</v>
      </c>
      <c r="F254" t="s">
        <v>1258</v>
      </c>
      <c r="G254">
        <v>23598149</v>
      </c>
      <c r="J254">
        <v>232.15</v>
      </c>
      <c r="L254">
        <v>46301211</v>
      </c>
      <c r="M254" s="1">
        <v>44223</v>
      </c>
      <c r="N254" t="str">
        <f>"T210127F1"</f>
        <v>T210127F1</v>
      </c>
      <c r="O254" t="s">
        <v>28</v>
      </c>
      <c r="Q254" t="s">
        <v>29</v>
      </c>
      <c r="R254" t="s">
        <v>28</v>
      </c>
      <c r="S254" t="s">
        <v>1259</v>
      </c>
      <c r="T254" t="s">
        <v>1260</v>
      </c>
      <c r="W254" t="s">
        <v>40</v>
      </c>
      <c r="X254" t="s">
        <v>34</v>
      </c>
      <c r="Y254" t="str">
        <f>"774781856"</f>
        <v>774781856</v>
      </c>
    </row>
    <row r="255" spans="1:25" x14ac:dyDescent="0.25">
      <c r="A255" t="s">
        <v>1261</v>
      </c>
      <c r="B255" t="s">
        <v>1262</v>
      </c>
      <c r="C255">
        <v>2019</v>
      </c>
      <c r="D255">
        <v>8001</v>
      </c>
      <c r="E255">
        <v>2</v>
      </c>
      <c r="F255" t="s">
        <v>1263</v>
      </c>
      <c r="G255">
        <v>28198276</v>
      </c>
      <c r="J255">
        <v>280</v>
      </c>
      <c r="L255">
        <v>43704576</v>
      </c>
      <c r="M255" s="1">
        <v>43872</v>
      </c>
      <c r="N255" t="str">
        <f>"J200211AW2"</f>
        <v>J200211AW2</v>
      </c>
      <c r="O255" t="s">
        <v>28</v>
      </c>
      <c r="Q255" t="s">
        <v>29</v>
      </c>
      <c r="R255" t="s">
        <v>28</v>
      </c>
      <c r="S255" t="s">
        <v>1264</v>
      </c>
      <c r="T255" t="s">
        <v>1265</v>
      </c>
      <c r="U255" t="s">
        <v>1266</v>
      </c>
      <c r="W255" t="s">
        <v>332</v>
      </c>
      <c r="X255" t="s">
        <v>34</v>
      </c>
      <c r="Y255" t="str">
        <f>"752359788"</f>
        <v>752359788</v>
      </c>
    </row>
    <row r="256" spans="1:25" x14ac:dyDescent="0.25">
      <c r="A256" t="s">
        <v>1267</v>
      </c>
      <c r="B256" t="s">
        <v>1268</v>
      </c>
      <c r="C256">
        <v>2021</v>
      </c>
      <c r="D256">
        <v>8001</v>
      </c>
      <c r="E256">
        <v>2</v>
      </c>
      <c r="F256" t="s">
        <v>1269</v>
      </c>
      <c r="G256">
        <v>30456729</v>
      </c>
      <c r="J256">
        <v>26.04</v>
      </c>
      <c r="L256">
        <v>48937782</v>
      </c>
      <c r="M256" s="1">
        <v>44566</v>
      </c>
      <c r="N256" t="str">
        <f>"CC220102"</f>
        <v>CC220102</v>
      </c>
      <c r="O256" t="s">
        <v>28</v>
      </c>
      <c r="Q256" t="s">
        <v>29</v>
      </c>
      <c r="R256" t="s">
        <v>28</v>
      </c>
      <c r="S256" t="s">
        <v>1270</v>
      </c>
      <c r="T256" t="s">
        <v>1271</v>
      </c>
      <c r="W256" t="s">
        <v>40</v>
      </c>
      <c r="X256" t="s">
        <v>34</v>
      </c>
      <c r="Y256" t="str">
        <f>"77478"</f>
        <v>77478</v>
      </c>
    </row>
    <row r="257" spans="1:25" x14ac:dyDescent="0.25">
      <c r="A257" t="s">
        <v>1272</v>
      </c>
      <c r="B257" t="s">
        <v>1273</v>
      </c>
      <c r="C257">
        <v>2021</v>
      </c>
      <c r="D257">
        <v>8001</v>
      </c>
      <c r="E257">
        <v>1</v>
      </c>
      <c r="F257" t="s">
        <v>1274</v>
      </c>
      <c r="G257">
        <v>30236993</v>
      </c>
      <c r="J257">
        <v>37.14</v>
      </c>
      <c r="L257">
        <v>48158742</v>
      </c>
      <c r="M257" s="1">
        <v>44522</v>
      </c>
      <c r="N257" t="str">
        <f>"RC211222"</f>
        <v>RC211222</v>
      </c>
      <c r="O257" t="s">
        <v>28</v>
      </c>
      <c r="Q257" t="s">
        <v>29</v>
      </c>
      <c r="R257" t="s">
        <v>28</v>
      </c>
      <c r="S257" t="s">
        <v>1275</v>
      </c>
      <c r="T257" t="s">
        <v>1276</v>
      </c>
      <c r="W257" t="s">
        <v>33</v>
      </c>
      <c r="X257" t="s">
        <v>34</v>
      </c>
      <c r="Y257" t="str">
        <f>"75025"</f>
        <v>75025</v>
      </c>
    </row>
    <row r="258" spans="1:25" x14ac:dyDescent="0.25">
      <c r="A258" t="s">
        <v>1277</v>
      </c>
      <c r="B258" t="s">
        <v>1278</v>
      </c>
      <c r="C258">
        <v>2019</v>
      </c>
      <c r="D258">
        <v>8001</v>
      </c>
      <c r="E258">
        <v>2</v>
      </c>
      <c r="F258" t="s">
        <v>1279</v>
      </c>
      <c r="G258">
        <v>22758174</v>
      </c>
      <c r="J258">
        <v>16.18</v>
      </c>
      <c r="L258">
        <v>44285428</v>
      </c>
      <c r="M258" s="1">
        <v>43990</v>
      </c>
      <c r="N258" t="str">
        <f>"J200608K3"</f>
        <v>J200608K3</v>
      </c>
      <c r="O258" t="s">
        <v>28</v>
      </c>
      <c r="Q258" t="s">
        <v>29</v>
      </c>
      <c r="R258" t="s">
        <v>28</v>
      </c>
      <c r="S258" t="s">
        <v>1280</v>
      </c>
      <c r="T258" t="s">
        <v>1281</v>
      </c>
      <c r="U258" t="s">
        <v>203</v>
      </c>
      <c r="V258" t="s">
        <v>1282</v>
      </c>
      <c r="W258" t="s">
        <v>75</v>
      </c>
      <c r="X258" t="s">
        <v>34</v>
      </c>
      <c r="Y258" t="str">
        <f>"770631709"</f>
        <v>770631709</v>
      </c>
    </row>
    <row r="259" spans="1:25" x14ac:dyDescent="0.25">
      <c r="A259" t="s">
        <v>1283</v>
      </c>
      <c r="B259" t="s">
        <v>1284</v>
      </c>
      <c r="C259">
        <v>2018</v>
      </c>
      <c r="D259">
        <v>8001</v>
      </c>
      <c r="E259">
        <v>4</v>
      </c>
      <c r="F259" t="s">
        <v>1285</v>
      </c>
      <c r="G259">
        <v>0</v>
      </c>
      <c r="J259">
        <v>27.11</v>
      </c>
      <c r="L259">
        <v>41065457</v>
      </c>
      <c r="M259" s="1">
        <v>43558</v>
      </c>
      <c r="N259" t="str">
        <f>"J190403K8"</f>
        <v>J190403K8</v>
      </c>
      <c r="O259" t="s">
        <v>28</v>
      </c>
      <c r="Q259" t="s">
        <v>29</v>
      </c>
      <c r="R259" t="s">
        <v>28</v>
      </c>
      <c r="S259" t="s">
        <v>1285</v>
      </c>
      <c r="T259" t="s">
        <v>1286</v>
      </c>
      <c r="U259" t="s">
        <v>60</v>
      </c>
      <c r="V259" t="s">
        <v>60</v>
      </c>
      <c r="W259" t="s">
        <v>649</v>
      </c>
      <c r="X259" t="s">
        <v>34</v>
      </c>
      <c r="Y259" t="str">
        <f>"774716015   "</f>
        <v xml:space="preserve">774716015   </v>
      </c>
    </row>
    <row r="260" spans="1:25" x14ac:dyDescent="0.25">
      <c r="A260" t="s">
        <v>1283</v>
      </c>
      <c r="B260" t="s">
        <v>1284</v>
      </c>
      <c r="C260">
        <v>2019</v>
      </c>
      <c r="D260">
        <v>8001</v>
      </c>
      <c r="E260">
        <v>4</v>
      </c>
      <c r="F260" t="s">
        <v>1285</v>
      </c>
      <c r="G260">
        <v>0</v>
      </c>
      <c r="J260">
        <v>39.25</v>
      </c>
      <c r="L260">
        <v>44195068</v>
      </c>
      <c r="M260" s="1">
        <v>43972</v>
      </c>
      <c r="N260" t="str">
        <f>"J200521U2"</f>
        <v>J200521U2</v>
      </c>
      <c r="O260" t="s">
        <v>28</v>
      </c>
      <c r="Q260" t="s">
        <v>29</v>
      </c>
      <c r="R260" t="s">
        <v>28</v>
      </c>
      <c r="S260" t="s">
        <v>1285</v>
      </c>
      <c r="T260" t="s">
        <v>1286</v>
      </c>
      <c r="U260" t="s">
        <v>60</v>
      </c>
      <c r="V260" t="s">
        <v>60</v>
      </c>
      <c r="W260" t="s">
        <v>649</v>
      </c>
      <c r="X260" t="s">
        <v>34</v>
      </c>
      <c r="Y260" t="str">
        <f>"774716015   "</f>
        <v xml:space="preserve">774716015   </v>
      </c>
    </row>
    <row r="261" spans="1:25" x14ac:dyDescent="0.25">
      <c r="A261" t="s">
        <v>1287</v>
      </c>
      <c r="B261" t="s">
        <v>1288</v>
      </c>
      <c r="C261">
        <v>2021</v>
      </c>
      <c r="D261">
        <v>8001</v>
      </c>
      <c r="E261">
        <v>1</v>
      </c>
      <c r="F261" t="s">
        <v>1289</v>
      </c>
      <c r="G261">
        <v>30987649</v>
      </c>
      <c r="J261">
        <v>500</v>
      </c>
      <c r="L261">
        <v>48892406</v>
      </c>
      <c r="M261" s="1">
        <v>44565</v>
      </c>
      <c r="N261" t="str">
        <f>"RC220208"</f>
        <v>RC220208</v>
      </c>
      <c r="O261" t="s">
        <v>28</v>
      </c>
      <c r="Q261" t="s">
        <v>29</v>
      </c>
      <c r="R261" t="s">
        <v>28</v>
      </c>
      <c r="S261" t="s">
        <v>1290</v>
      </c>
      <c r="T261" t="s">
        <v>1291</v>
      </c>
      <c r="U261" t="s">
        <v>1292</v>
      </c>
      <c r="W261" t="s">
        <v>40</v>
      </c>
      <c r="X261" t="s">
        <v>34</v>
      </c>
      <c r="Y261" t="str">
        <f>"774784733"</f>
        <v>774784733</v>
      </c>
    </row>
    <row r="262" spans="1:25" x14ac:dyDescent="0.25">
      <c r="A262" t="s">
        <v>1293</v>
      </c>
      <c r="B262" t="s">
        <v>1294</v>
      </c>
      <c r="C262">
        <v>2021</v>
      </c>
      <c r="D262">
        <v>8001</v>
      </c>
      <c r="E262">
        <v>1</v>
      </c>
      <c r="F262" t="s">
        <v>1295</v>
      </c>
      <c r="G262">
        <v>30987671</v>
      </c>
      <c r="J262">
        <v>99.36</v>
      </c>
      <c r="L262">
        <v>48849794</v>
      </c>
      <c r="M262" s="1">
        <v>44564</v>
      </c>
      <c r="N262" t="str">
        <f>"RC220208"</f>
        <v>RC220208</v>
      </c>
      <c r="O262" t="s">
        <v>28</v>
      </c>
      <c r="Q262" t="s">
        <v>29</v>
      </c>
      <c r="R262" t="s">
        <v>28</v>
      </c>
      <c r="S262" t="s">
        <v>1296</v>
      </c>
      <c r="T262" t="s">
        <v>1297</v>
      </c>
      <c r="W262" t="s">
        <v>1298</v>
      </c>
      <c r="X262" t="s">
        <v>317</v>
      </c>
      <c r="Y262" t="str">
        <f>"940302102"</f>
        <v>940302102</v>
      </c>
    </row>
    <row r="263" spans="1:25" x14ac:dyDescent="0.25">
      <c r="A263" t="s">
        <v>1299</v>
      </c>
      <c r="B263" t="s">
        <v>1300</v>
      </c>
      <c r="C263">
        <v>2018</v>
      </c>
      <c r="D263">
        <v>8001</v>
      </c>
      <c r="E263">
        <v>1</v>
      </c>
      <c r="F263" t="s">
        <v>1301</v>
      </c>
      <c r="G263">
        <v>26325658</v>
      </c>
      <c r="J263">
        <v>62.39</v>
      </c>
      <c r="L263">
        <v>41540616</v>
      </c>
      <c r="M263" s="1">
        <v>43718</v>
      </c>
      <c r="N263" t="str">
        <f>"J190910AW1"</f>
        <v>J190910AW1</v>
      </c>
      <c r="O263" t="s">
        <v>28</v>
      </c>
      <c r="Q263" t="s">
        <v>29</v>
      </c>
      <c r="R263" t="s">
        <v>28</v>
      </c>
      <c r="S263" t="s">
        <v>1302</v>
      </c>
      <c r="T263" t="s">
        <v>1303</v>
      </c>
      <c r="W263" t="s">
        <v>75</v>
      </c>
      <c r="X263" t="s">
        <v>34</v>
      </c>
      <c r="Y263" t="str">
        <f>"77084"</f>
        <v>77084</v>
      </c>
    </row>
    <row r="264" spans="1:25" x14ac:dyDescent="0.25">
      <c r="A264" t="s">
        <v>1304</v>
      </c>
      <c r="B264" t="s">
        <v>1305</v>
      </c>
      <c r="C264">
        <v>2020</v>
      </c>
      <c r="D264">
        <v>8001</v>
      </c>
      <c r="E264">
        <v>1</v>
      </c>
      <c r="F264" t="s">
        <v>1306</v>
      </c>
      <c r="G264">
        <v>1559718</v>
      </c>
      <c r="J264" s="2">
        <v>2421.37</v>
      </c>
      <c r="L264">
        <v>47716788</v>
      </c>
      <c r="M264" s="1">
        <v>44434</v>
      </c>
      <c r="N264" t="str">
        <f>"RC210830"</f>
        <v>RC210830</v>
      </c>
      <c r="O264" t="s">
        <v>28</v>
      </c>
      <c r="Q264" t="s">
        <v>29</v>
      </c>
      <c r="R264" t="s">
        <v>28</v>
      </c>
      <c r="S264" t="s">
        <v>1307</v>
      </c>
      <c r="T264" t="s">
        <v>1308</v>
      </c>
      <c r="W264" t="s">
        <v>40</v>
      </c>
      <c r="X264" t="s">
        <v>34</v>
      </c>
      <c r="Y264" t="str">
        <f>"77479"</f>
        <v>77479</v>
      </c>
    </row>
    <row r="265" spans="1:25" x14ac:dyDescent="0.25">
      <c r="A265" t="s">
        <v>1309</v>
      </c>
      <c r="B265" t="s">
        <v>1310</v>
      </c>
      <c r="C265">
        <v>2019</v>
      </c>
      <c r="D265">
        <v>8001</v>
      </c>
      <c r="E265">
        <v>1</v>
      </c>
      <c r="F265" t="s">
        <v>1311</v>
      </c>
      <c r="G265">
        <v>0</v>
      </c>
      <c r="J265">
        <v>21.74</v>
      </c>
      <c r="L265">
        <v>43915123</v>
      </c>
      <c r="M265" s="1">
        <v>43900</v>
      </c>
      <c r="N265" t="str">
        <f>"J200310AW3"</f>
        <v>J200310AW3</v>
      </c>
      <c r="O265" t="s">
        <v>28</v>
      </c>
      <c r="Q265" t="s">
        <v>29</v>
      </c>
      <c r="R265" t="s">
        <v>28</v>
      </c>
      <c r="S265" t="s">
        <v>1311</v>
      </c>
      <c r="T265" t="s">
        <v>1312</v>
      </c>
      <c r="U265" t="s">
        <v>60</v>
      </c>
      <c r="V265" t="s">
        <v>60</v>
      </c>
      <c r="W265" t="s">
        <v>135</v>
      </c>
      <c r="X265" t="s">
        <v>34</v>
      </c>
      <c r="Y265" t="str">
        <f>"770635239   "</f>
        <v xml:space="preserve">770635239   </v>
      </c>
    </row>
    <row r="266" spans="1:25" x14ac:dyDescent="0.25">
      <c r="A266" t="s">
        <v>1313</v>
      </c>
      <c r="B266" t="s">
        <v>1314</v>
      </c>
      <c r="C266">
        <v>2020</v>
      </c>
      <c r="D266">
        <v>8001</v>
      </c>
      <c r="E266">
        <v>1</v>
      </c>
      <c r="F266" t="s">
        <v>1315</v>
      </c>
      <c r="G266">
        <v>24401797</v>
      </c>
      <c r="J266">
        <v>810.39</v>
      </c>
      <c r="L266">
        <v>46195077</v>
      </c>
      <c r="M266" s="1">
        <v>44218</v>
      </c>
      <c r="N266" t="str">
        <f>"RC210211"</f>
        <v>RC210211</v>
      </c>
      <c r="O266" t="s">
        <v>28</v>
      </c>
      <c r="Q266" t="s">
        <v>29</v>
      </c>
      <c r="R266" t="s">
        <v>28</v>
      </c>
      <c r="S266" t="s">
        <v>1316</v>
      </c>
      <c r="T266" t="s">
        <v>1317</v>
      </c>
      <c r="W266" t="s">
        <v>75</v>
      </c>
      <c r="X266" t="s">
        <v>34</v>
      </c>
      <c r="Y266" t="str">
        <f>"77099"</f>
        <v>77099</v>
      </c>
    </row>
    <row r="267" spans="1:25" x14ac:dyDescent="0.25">
      <c r="A267" t="s">
        <v>1318</v>
      </c>
      <c r="B267" t="s">
        <v>1319</v>
      </c>
      <c r="C267">
        <v>2020</v>
      </c>
      <c r="D267">
        <v>8001</v>
      </c>
      <c r="E267">
        <v>3</v>
      </c>
      <c r="F267" t="s">
        <v>1320</v>
      </c>
      <c r="G267">
        <v>29855876</v>
      </c>
      <c r="J267">
        <v>20.99</v>
      </c>
      <c r="L267">
        <v>47493673</v>
      </c>
      <c r="M267" s="1">
        <v>44350</v>
      </c>
      <c r="N267" t="str">
        <f>"EK210603"</f>
        <v>EK210603</v>
      </c>
      <c r="O267" t="s">
        <v>28</v>
      </c>
      <c r="Q267" t="s">
        <v>29</v>
      </c>
      <c r="R267" t="s">
        <v>28</v>
      </c>
      <c r="S267" t="s">
        <v>1321</v>
      </c>
      <c r="T267" t="s">
        <v>1322</v>
      </c>
      <c r="W267" t="s">
        <v>81</v>
      </c>
      <c r="X267" t="s">
        <v>34</v>
      </c>
      <c r="Y267" t="str">
        <f>"77406"</f>
        <v>77406</v>
      </c>
    </row>
    <row r="268" spans="1:25" x14ac:dyDescent="0.25">
      <c r="A268" t="s">
        <v>1323</v>
      </c>
      <c r="B268" t="s">
        <v>1324</v>
      </c>
      <c r="C268">
        <v>2018</v>
      </c>
      <c r="D268">
        <v>8001</v>
      </c>
      <c r="E268">
        <v>1</v>
      </c>
      <c r="F268" t="s">
        <v>1325</v>
      </c>
      <c r="G268">
        <v>26513417</v>
      </c>
      <c r="J268">
        <v>74.650000000000006</v>
      </c>
      <c r="L268">
        <v>40928491</v>
      </c>
      <c r="M268" s="1">
        <v>43535</v>
      </c>
      <c r="N268" t="str">
        <f>"J190311AW7"</f>
        <v>J190311AW7</v>
      </c>
      <c r="O268" t="s">
        <v>28</v>
      </c>
      <c r="Q268" t="s">
        <v>29</v>
      </c>
      <c r="R268" t="s">
        <v>28</v>
      </c>
      <c r="S268" t="s">
        <v>1326</v>
      </c>
      <c r="T268" t="s">
        <v>1327</v>
      </c>
      <c r="W268" t="s">
        <v>1328</v>
      </c>
      <c r="X268" t="s">
        <v>162</v>
      </c>
      <c r="Y268" t="str">
        <f>"080541210"</f>
        <v>080541210</v>
      </c>
    </row>
    <row r="269" spans="1:25" x14ac:dyDescent="0.25">
      <c r="A269" t="s">
        <v>1329</v>
      </c>
      <c r="B269" t="s">
        <v>1330</v>
      </c>
      <c r="C269">
        <v>2020</v>
      </c>
      <c r="D269">
        <v>8001</v>
      </c>
      <c r="E269">
        <v>3</v>
      </c>
      <c r="F269" t="s">
        <v>1331</v>
      </c>
      <c r="G269">
        <v>0</v>
      </c>
      <c r="J269">
        <v>146.01</v>
      </c>
      <c r="L269">
        <v>46557914</v>
      </c>
      <c r="M269" s="1">
        <v>44228</v>
      </c>
      <c r="N269" t="str">
        <f>"O210201BK7"</f>
        <v>O210201BK7</v>
      </c>
      <c r="O269" t="s">
        <v>28</v>
      </c>
      <c r="Q269" t="s">
        <v>29</v>
      </c>
      <c r="R269" t="s">
        <v>28</v>
      </c>
      <c r="S269" t="s">
        <v>1331</v>
      </c>
      <c r="T269" t="s">
        <v>1332</v>
      </c>
      <c r="U269" t="s">
        <v>60</v>
      </c>
      <c r="V269" t="s">
        <v>60</v>
      </c>
      <c r="W269" t="s">
        <v>1333</v>
      </c>
      <c r="X269" t="s">
        <v>34</v>
      </c>
      <c r="Y269" t="str">
        <f>"774593751   "</f>
        <v xml:space="preserve">774593751   </v>
      </c>
    </row>
    <row r="270" spans="1:25" x14ac:dyDescent="0.25">
      <c r="A270" t="s">
        <v>1334</v>
      </c>
      <c r="B270" t="s">
        <v>1335</v>
      </c>
      <c r="C270">
        <v>2021</v>
      </c>
      <c r="D270">
        <v>8001</v>
      </c>
      <c r="E270">
        <v>2</v>
      </c>
      <c r="F270" t="s">
        <v>1336</v>
      </c>
      <c r="G270">
        <v>0</v>
      </c>
      <c r="J270">
        <v>42.25</v>
      </c>
      <c r="L270">
        <v>50199632</v>
      </c>
      <c r="M270" s="1">
        <v>44613</v>
      </c>
      <c r="N270" t="str">
        <f>"O220221AO1"</f>
        <v>O220221AO1</v>
      </c>
      <c r="O270" t="s">
        <v>28</v>
      </c>
      <c r="Q270" t="s">
        <v>29</v>
      </c>
      <c r="R270" t="s">
        <v>28</v>
      </c>
      <c r="S270" t="s">
        <v>1336</v>
      </c>
      <c r="T270" t="s">
        <v>1337</v>
      </c>
      <c r="U270" t="s">
        <v>1338</v>
      </c>
      <c r="V270" t="s">
        <v>1339</v>
      </c>
      <c r="W270" t="s">
        <v>135</v>
      </c>
      <c r="X270" t="s">
        <v>34</v>
      </c>
      <c r="Y270" t="str">
        <f>"770772383   "</f>
        <v xml:space="preserve">770772383   </v>
      </c>
    </row>
    <row r="271" spans="1:25" x14ac:dyDescent="0.25">
      <c r="A271" t="s">
        <v>1340</v>
      </c>
      <c r="B271" t="s">
        <v>1341</v>
      </c>
      <c r="C271">
        <v>2020</v>
      </c>
      <c r="D271">
        <v>8001</v>
      </c>
      <c r="E271">
        <v>1</v>
      </c>
      <c r="F271" t="s">
        <v>1342</v>
      </c>
      <c r="G271">
        <v>0</v>
      </c>
      <c r="J271">
        <v>447.88</v>
      </c>
      <c r="L271">
        <v>44967912</v>
      </c>
      <c r="M271" s="1">
        <v>44158</v>
      </c>
      <c r="N271" t="str">
        <f>"J201123U3"</f>
        <v>J201123U3</v>
      </c>
      <c r="O271" t="s">
        <v>28</v>
      </c>
      <c r="Q271" t="s">
        <v>29</v>
      </c>
      <c r="R271" t="s">
        <v>28</v>
      </c>
      <c r="S271" t="s">
        <v>1342</v>
      </c>
      <c r="T271" t="s">
        <v>1343</v>
      </c>
      <c r="U271" t="s">
        <v>60</v>
      </c>
      <c r="V271" t="s">
        <v>60</v>
      </c>
      <c r="W271" t="s">
        <v>214</v>
      </c>
      <c r="X271" t="s">
        <v>34</v>
      </c>
      <c r="Y271" t="str">
        <f>"774692077   "</f>
        <v xml:space="preserve">774692077   </v>
      </c>
    </row>
    <row r="272" spans="1:25" x14ac:dyDescent="0.25">
      <c r="A272" t="s">
        <v>1344</v>
      </c>
      <c r="B272" t="s">
        <v>1345</v>
      </c>
      <c r="C272">
        <v>2021</v>
      </c>
      <c r="D272">
        <v>8001</v>
      </c>
      <c r="E272">
        <v>3</v>
      </c>
      <c r="F272" t="s">
        <v>1346</v>
      </c>
      <c r="G272">
        <v>30951669</v>
      </c>
      <c r="J272">
        <v>210.03</v>
      </c>
      <c r="L272">
        <v>50012406</v>
      </c>
      <c r="M272" s="1">
        <v>44596</v>
      </c>
      <c r="N272" t="str">
        <f>"CC220204"</f>
        <v>CC220204</v>
      </c>
      <c r="O272" t="s">
        <v>28</v>
      </c>
      <c r="Q272" t="s">
        <v>29</v>
      </c>
      <c r="R272" t="s">
        <v>28</v>
      </c>
      <c r="S272" t="s">
        <v>1347</v>
      </c>
      <c r="T272" t="s">
        <v>1348</v>
      </c>
      <c r="W272" t="s">
        <v>81</v>
      </c>
      <c r="X272" t="s">
        <v>34</v>
      </c>
      <c r="Y272" t="str">
        <f>"77469"</f>
        <v>77469</v>
      </c>
    </row>
    <row r="273" spans="1:25" x14ac:dyDescent="0.25">
      <c r="A273" t="s">
        <v>1349</v>
      </c>
      <c r="B273" t="s">
        <v>1350</v>
      </c>
      <c r="C273">
        <v>2020</v>
      </c>
      <c r="D273">
        <v>8001</v>
      </c>
      <c r="E273">
        <v>4</v>
      </c>
      <c r="F273" t="s">
        <v>1351</v>
      </c>
      <c r="G273">
        <v>0</v>
      </c>
      <c r="J273">
        <v>129.66</v>
      </c>
      <c r="L273">
        <v>47646660</v>
      </c>
      <c r="M273" s="1">
        <v>44405</v>
      </c>
      <c r="N273" t="str">
        <f>"J210728K1"</f>
        <v>J210728K1</v>
      </c>
      <c r="O273" t="s">
        <v>28</v>
      </c>
      <c r="Q273" t="s">
        <v>29</v>
      </c>
      <c r="R273" t="s">
        <v>28</v>
      </c>
      <c r="S273" t="s">
        <v>1351</v>
      </c>
      <c r="T273" t="s">
        <v>1352</v>
      </c>
      <c r="U273" t="s">
        <v>60</v>
      </c>
      <c r="V273" t="s">
        <v>60</v>
      </c>
      <c r="W273" t="s">
        <v>649</v>
      </c>
      <c r="X273" t="s">
        <v>34</v>
      </c>
      <c r="Y273" t="str">
        <f>"774692091   "</f>
        <v xml:space="preserve">774692091   </v>
      </c>
    </row>
    <row r="274" spans="1:25" x14ac:dyDescent="0.25">
      <c r="A274" t="s">
        <v>1353</v>
      </c>
      <c r="B274" t="s">
        <v>1354</v>
      </c>
      <c r="C274">
        <v>2019</v>
      </c>
      <c r="D274">
        <v>8001</v>
      </c>
      <c r="E274">
        <v>1</v>
      </c>
      <c r="F274" t="s">
        <v>1355</v>
      </c>
      <c r="G274">
        <v>0</v>
      </c>
      <c r="J274">
        <v>79.510000000000005</v>
      </c>
      <c r="L274">
        <v>43130771</v>
      </c>
      <c r="M274" s="1">
        <v>43854</v>
      </c>
      <c r="N274" t="str">
        <f>"J200124AW1"</f>
        <v>J200124AW1</v>
      </c>
      <c r="O274" t="s">
        <v>28</v>
      </c>
      <c r="Q274" t="s">
        <v>29</v>
      </c>
      <c r="R274" t="s">
        <v>28</v>
      </c>
      <c r="S274" t="s">
        <v>1355</v>
      </c>
      <c r="T274" t="s">
        <v>1356</v>
      </c>
      <c r="U274" t="s">
        <v>60</v>
      </c>
      <c r="V274" t="s">
        <v>60</v>
      </c>
      <c r="W274" t="s">
        <v>214</v>
      </c>
      <c r="X274" t="s">
        <v>34</v>
      </c>
      <c r="Y274" t="str">
        <f>"774692482   "</f>
        <v xml:space="preserve">774692482   </v>
      </c>
    </row>
    <row r="275" spans="1:25" x14ac:dyDescent="0.25">
      <c r="A275" t="s">
        <v>1357</v>
      </c>
      <c r="B275" t="s">
        <v>1358</v>
      </c>
      <c r="C275">
        <v>2020</v>
      </c>
      <c r="D275">
        <v>8001</v>
      </c>
      <c r="E275">
        <v>1</v>
      </c>
      <c r="F275" t="s">
        <v>1359</v>
      </c>
      <c r="G275">
        <v>0</v>
      </c>
      <c r="J275" s="2">
        <v>2780</v>
      </c>
      <c r="L275">
        <v>46887864</v>
      </c>
      <c r="M275" s="1">
        <v>44236</v>
      </c>
      <c r="N275" t="str">
        <f>"L210209"</f>
        <v>L210209</v>
      </c>
      <c r="O275" t="s">
        <v>28</v>
      </c>
      <c r="Q275" t="s">
        <v>29</v>
      </c>
      <c r="R275" t="s">
        <v>28</v>
      </c>
      <c r="S275" t="s">
        <v>1359</v>
      </c>
      <c r="T275" t="s">
        <v>1360</v>
      </c>
      <c r="U275" t="s">
        <v>1361</v>
      </c>
      <c r="V275" t="s">
        <v>60</v>
      </c>
      <c r="W275" t="s">
        <v>135</v>
      </c>
      <c r="X275" t="s">
        <v>34</v>
      </c>
      <c r="Y275" t="str">
        <f>"770403253   "</f>
        <v xml:space="preserve">770403253   </v>
      </c>
    </row>
    <row r="276" spans="1:25" x14ac:dyDescent="0.25">
      <c r="A276" t="s">
        <v>1362</v>
      </c>
      <c r="B276" t="s">
        <v>1363</v>
      </c>
      <c r="C276">
        <v>2020</v>
      </c>
      <c r="D276">
        <v>8001</v>
      </c>
      <c r="E276">
        <v>1</v>
      </c>
      <c r="F276" t="s">
        <v>1364</v>
      </c>
      <c r="G276">
        <v>0</v>
      </c>
      <c r="J276">
        <v>485.47</v>
      </c>
      <c r="L276">
        <v>46463553</v>
      </c>
      <c r="M276" s="1">
        <v>44224</v>
      </c>
      <c r="N276" t="str">
        <f>"EL210128"</f>
        <v>EL210128</v>
      </c>
      <c r="O276" t="s">
        <v>28</v>
      </c>
      <c r="Q276" t="s">
        <v>29</v>
      </c>
      <c r="R276" t="s">
        <v>28</v>
      </c>
      <c r="S276" t="s">
        <v>1364</v>
      </c>
      <c r="T276" t="s">
        <v>1365</v>
      </c>
      <c r="U276" t="s">
        <v>60</v>
      </c>
      <c r="V276" t="s">
        <v>60</v>
      </c>
      <c r="W276" t="s">
        <v>273</v>
      </c>
      <c r="X276" t="s">
        <v>34</v>
      </c>
      <c r="Y276" t="str">
        <f>"774411741   "</f>
        <v xml:space="preserve">774411741   </v>
      </c>
    </row>
    <row r="277" spans="1:25" x14ac:dyDescent="0.25">
      <c r="A277" t="s">
        <v>1366</v>
      </c>
      <c r="B277" t="s">
        <v>1367</v>
      </c>
      <c r="C277">
        <v>2020</v>
      </c>
      <c r="D277">
        <v>8001</v>
      </c>
      <c r="E277">
        <v>5</v>
      </c>
      <c r="F277" t="s">
        <v>1368</v>
      </c>
      <c r="G277">
        <v>28827094</v>
      </c>
      <c r="J277">
        <v>180.06</v>
      </c>
      <c r="L277">
        <v>47154421</v>
      </c>
      <c r="M277" s="1">
        <v>44279</v>
      </c>
      <c r="N277" t="str">
        <f>"RC210401"</f>
        <v>RC210401</v>
      </c>
      <c r="O277" t="s">
        <v>28</v>
      </c>
      <c r="Q277" t="s">
        <v>29</v>
      </c>
      <c r="R277" t="s">
        <v>28</v>
      </c>
      <c r="S277" t="s">
        <v>1369</v>
      </c>
      <c r="T277" t="s">
        <v>1370</v>
      </c>
      <c r="W277" t="s">
        <v>1371</v>
      </c>
      <c r="X277" t="s">
        <v>34</v>
      </c>
      <c r="Y277" t="str">
        <f>"75034"</f>
        <v>75034</v>
      </c>
    </row>
    <row r="278" spans="1:25" x14ac:dyDescent="0.25">
      <c r="A278" t="s">
        <v>1372</v>
      </c>
      <c r="B278" t="s">
        <v>1373</v>
      </c>
      <c r="C278">
        <v>2019</v>
      </c>
      <c r="D278">
        <v>8001</v>
      </c>
      <c r="E278">
        <v>3</v>
      </c>
      <c r="F278" t="s">
        <v>1374</v>
      </c>
      <c r="G278">
        <v>0</v>
      </c>
      <c r="J278">
        <v>10.61</v>
      </c>
      <c r="L278">
        <v>44386378</v>
      </c>
      <c r="M278" s="1">
        <v>44022</v>
      </c>
      <c r="N278" t="str">
        <f>"J200710K1"</f>
        <v>J200710K1</v>
      </c>
      <c r="O278" t="s">
        <v>28</v>
      </c>
      <c r="Q278" t="s">
        <v>29</v>
      </c>
      <c r="R278" t="s">
        <v>28</v>
      </c>
      <c r="S278" t="s">
        <v>1374</v>
      </c>
      <c r="T278" t="s">
        <v>1375</v>
      </c>
      <c r="U278" t="s">
        <v>60</v>
      </c>
      <c r="V278" t="s">
        <v>60</v>
      </c>
      <c r="W278" t="s">
        <v>214</v>
      </c>
      <c r="X278" t="s">
        <v>34</v>
      </c>
      <c r="Y278" t="str">
        <f>"774691504   "</f>
        <v xml:space="preserve">774691504   </v>
      </c>
    </row>
    <row r="279" spans="1:25" x14ac:dyDescent="0.25">
      <c r="A279" t="s">
        <v>1376</v>
      </c>
      <c r="B279" t="s">
        <v>1377</v>
      </c>
      <c r="C279">
        <v>2020</v>
      </c>
      <c r="D279">
        <v>8001</v>
      </c>
      <c r="E279">
        <v>22</v>
      </c>
      <c r="F279" t="s">
        <v>1378</v>
      </c>
      <c r="G279">
        <v>23630242</v>
      </c>
      <c r="J279">
        <v>223.06</v>
      </c>
      <c r="L279">
        <v>44503046</v>
      </c>
      <c r="M279" s="1">
        <v>44147</v>
      </c>
      <c r="N279" t="str">
        <f>"TE201112"</f>
        <v>TE201112</v>
      </c>
      <c r="O279" t="s">
        <v>28</v>
      </c>
      <c r="Q279" t="s">
        <v>29</v>
      </c>
      <c r="R279" t="s">
        <v>28</v>
      </c>
      <c r="S279" t="s">
        <v>1379</v>
      </c>
      <c r="T279" t="s">
        <v>1380</v>
      </c>
      <c r="W279" t="s">
        <v>81</v>
      </c>
      <c r="X279" t="s">
        <v>34</v>
      </c>
      <c r="Y279" t="str">
        <f>"77469"</f>
        <v>77469</v>
      </c>
    </row>
    <row r="280" spans="1:25" x14ac:dyDescent="0.25">
      <c r="A280" t="s">
        <v>1376</v>
      </c>
      <c r="B280" t="s">
        <v>1377</v>
      </c>
      <c r="C280">
        <v>2020</v>
      </c>
      <c r="D280">
        <v>8001</v>
      </c>
      <c r="E280">
        <v>22</v>
      </c>
      <c r="F280" t="s">
        <v>1378</v>
      </c>
      <c r="G280">
        <v>24148889</v>
      </c>
      <c r="J280">
        <v>229.29</v>
      </c>
      <c r="L280">
        <v>44557086</v>
      </c>
      <c r="M280" s="1">
        <v>44147</v>
      </c>
      <c r="N280" t="str">
        <f>"TE201112"</f>
        <v>TE201112</v>
      </c>
      <c r="O280" t="s">
        <v>28</v>
      </c>
      <c r="Q280" t="s">
        <v>29</v>
      </c>
      <c r="R280" t="s">
        <v>28</v>
      </c>
      <c r="S280" t="s">
        <v>1379</v>
      </c>
      <c r="T280" t="s">
        <v>1380</v>
      </c>
      <c r="W280" t="s">
        <v>81</v>
      </c>
      <c r="X280" t="s">
        <v>34</v>
      </c>
      <c r="Y280" t="str">
        <f>"774699261"</f>
        <v>774699261</v>
      </c>
    </row>
    <row r="281" spans="1:25" x14ac:dyDescent="0.25">
      <c r="A281" t="s">
        <v>1381</v>
      </c>
      <c r="B281" t="s">
        <v>1382</v>
      </c>
      <c r="C281">
        <v>2019</v>
      </c>
      <c r="D281">
        <v>8001</v>
      </c>
      <c r="E281">
        <v>1</v>
      </c>
      <c r="F281" t="s">
        <v>1383</v>
      </c>
      <c r="G281">
        <v>26677939</v>
      </c>
      <c r="J281">
        <v>161.30000000000001</v>
      </c>
      <c r="L281">
        <v>44361775</v>
      </c>
      <c r="M281" s="1">
        <v>44014</v>
      </c>
      <c r="N281" t="str">
        <f>"J200702AW1"</f>
        <v>J200702AW1</v>
      </c>
      <c r="O281" t="s">
        <v>28</v>
      </c>
      <c r="Q281" t="s">
        <v>29</v>
      </c>
      <c r="R281" t="s">
        <v>28</v>
      </c>
      <c r="S281" t="s">
        <v>1384</v>
      </c>
      <c r="T281" t="s">
        <v>180</v>
      </c>
      <c r="W281" t="s">
        <v>107</v>
      </c>
      <c r="X281" t="s">
        <v>34</v>
      </c>
      <c r="Y281" t="str">
        <f>"77494"</f>
        <v>77494</v>
      </c>
    </row>
    <row r="282" spans="1:25" x14ac:dyDescent="0.25">
      <c r="A282" t="s">
        <v>1385</v>
      </c>
      <c r="B282" t="s">
        <v>1386</v>
      </c>
      <c r="C282">
        <v>2021</v>
      </c>
      <c r="D282">
        <v>8001</v>
      </c>
      <c r="E282">
        <v>2</v>
      </c>
      <c r="F282" t="s">
        <v>1387</v>
      </c>
      <c r="G282">
        <v>0</v>
      </c>
      <c r="J282">
        <v>10.16</v>
      </c>
      <c r="L282">
        <v>48493496</v>
      </c>
      <c r="M282" s="1">
        <v>44558</v>
      </c>
      <c r="N282" t="str">
        <f>"T211228AZ2"</f>
        <v>T211228AZ2</v>
      </c>
      <c r="O282" t="s">
        <v>260</v>
      </c>
      <c r="Q282" t="s">
        <v>29</v>
      </c>
      <c r="R282" t="s">
        <v>260</v>
      </c>
      <c r="S282" t="s">
        <v>1387</v>
      </c>
      <c r="T282" t="s">
        <v>1388</v>
      </c>
      <c r="U282" t="s">
        <v>60</v>
      </c>
      <c r="V282" t="s">
        <v>60</v>
      </c>
      <c r="W282" t="s">
        <v>1389</v>
      </c>
      <c r="X282" t="s">
        <v>557</v>
      </c>
      <c r="Y282" t="str">
        <f>"068313312   "</f>
        <v xml:space="preserve">068313312   </v>
      </c>
    </row>
    <row r="283" spans="1:25" x14ac:dyDescent="0.25">
      <c r="A283" t="s">
        <v>1390</v>
      </c>
      <c r="B283" t="s">
        <v>1391</v>
      </c>
      <c r="C283">
        <v>2020</v>
      </c>
      <c r="D283">
        <v>8001</v>
      </c>
      <c r="E283">
        <v>1</v>
      </c>
      <c r="F283" t="s">
        <v>1392</v>
      </c>
      <c r="G283">
        <v>28791789</v>
      </c>
      <c r="J283" s="2">
        <v>3501.63</v>
      </c>
      <c r="L283">
        <v>44951771</v>
      </c>
      <c r="M283" s="1">
        <v>44155</v>
      </c>
      <c r="N283" t="str">
        <f>"O201120W1"</f>
        <v>O201120W1</v>
      </c>
      <c r="O283" t="s">
        <v>28</v>
      </c>
      <c r="Q283" t="s">
        <v>29</v>
      </c>
      <c r="R283" t="s">
        <v>28</v>
      </c>
      <c r="S283" t="s">
        <v>1393</v>
      </c>
      <c r="T283" t="s">
        <v>1394</v>
      </c>
      <c r="W283" t="s">
        <v>1075</v>
      </c>
      <c r="X283" t="s">
        <v>34</v>
      </c>
      <c r="Y283" t="str">
        <f>"761771529"</f>
        <v>761771529</v>
      </c>
    </row>
    <row r="284" spans="1:25" x14ac:dyDescent="0.25">
      <c r="A284" t="s">
        <v>1395</v>
      </c>
      <c r="B284" t="s">
        <v>1396</v>
      </c>
      <c r="C284">
        <v>2020</v>
      </c>
      <c r="D284">
        <v>8001</v>
      </c>
      <c r="E284">
        <v>1</v>
      </c>
      <c r="F284" t="s">
        <v>1397</v>
      </c>
      <c r="G284">
        <v>29596038</v>
      </c>
      <c r="J284">
        <v>27.03</v>
      </c>
      <c r="L284">
        <v>47018807</v>
      </c>
      <c r="M284" s="1">
        <v>44258</v>
      </c>
      <c r="N284" t="str">
        <f>"EK210303"</f>
        <v>EK210303</v>
      </c>
      <c r="O284" t="s">
        <v>28</v>
      </c>
      <c r="Q284" t="s">
        <v>29</v>
      </c>
      <c r="R284" t="s">
        <v>28</v>
      </c>
      <c r="S284" t="s">
        <v>1398</v>
      </c>
      <c r="T284" t="s">
        <v>1399</v>
      </c>
      <c r="W284" t="s">
        <v>1400</v>
      </c>
      <c r="X284" t="s">
        <v>34</v>
      </c>
      <c r="Y284" t="str">
        <f>"78520"</f>
        <v>78520</v>
      </c>
    </row>
    <row r="285" spans="1:25" x14ac:dyDescent="0.25">
      <c r="A285" t="s">
        <v>1401</v>
      </c>
      <c r="B285" t="s">
        <v>1402</v>
      </c>
      <c r="C285">
        <v>2020</v>
      </c>
      <c r="D285">
        <v>8001</v>
      </c>
      <c r="E285">
        <v>1</v>
      </c>
      <c r="F285" t="s">
        <v>1403</v>
      </c>
      <c r="G285">
        <v>29859258</v>
      </c>
      <c r="J285">
        <v>9.73</v>
      </c>
      <c r="L285">
        <v>47500757</v>
      </c>
      <c r="M285" s="1">
        <v>44351</v>
      </c>
      <c r="N285" t="str">
        <f>"CC210604"</f>
        <v>CC210604</v>
      </c>
      <c r="O285" t="s">
        <v>28</v>
      </c>
      <c r="Q285" t="s">
        <v>29</v>
      </c>
      <c r="R285" t="s">
        <v>28</v>
      </c>
      <c r="S285" t="s">
        <v>1404</v>
      </c>
      <c r="T285" t="s">
        <v>1405</v>
      </c>
      <c r="W285" t="s">
        <v>430</v>
      </c>
      <c r="X285" t="s">
        <v>34</v>
      </c>
      <c r="Y285" t="str">
        <f>"77485"</f>
        <v>77485</v>
      </c>
    </row>
    <row r="286" spans="1:25" x14ac:dyDescent="0.25">
      <c r="A286" t="s">
        <v>1406</v>
      </c>
      <c r="B286" t="s">
        <v>1407</v>
      </c>
      <c r="C286">
        <v>2020</v>
      </c>
      <c r="D286">
        <v>8001</v>
      </c>
      <c r="E286">
        <v>2</v>
      </c>
      <c r="F286" t="s">
        <v>1408</v>
      </c>
      <c r="G286">
        <v>0</v>
      </c>
      <c r="J286">
        <v>412.14</v>
      </c>
      <c r="L286">
        <v>47319197</v>
      </c>
      <c r="M286" s="1">
        <v>44307</v>
      </c>
      <c r="N286" t="str">
        <f>"J210421AE3"</f>
        <v>J210421AE3</v>
      </c>
      <c r="O286" t="s">
        <v>28</v>
      </c>
      <c r="Q286" t="s">
        <v>29</v>
      </c>
      <c r="R286" t="s">
        <v>28</v>
      </c>
      <c r="S286" t="s">
        <v>1408</v>
      </c>
      <c r="T286" t="s">
        <v>1409</v>
      </c>
      <c r="U286" t="s">
        <v>1410</v>
      </c>
      <c r="V286" t="s">
        <v>60</v>
      </c>
      <c r="W286" t="s">
        <v>1411</v>
      </c>
      <c r="X286" t="s">
        <v>317</v>
      </c>
      <c r="Y286" t="str">
        <f>"928065951   "</f>
        <v xml:space="preserve">928065951   </v>
      </c>
    </row>
    <row r="287" spans="1:25" x14ac:dyDescent="0.25">
      <c r="A287" t="s">
        <v>1412</v>
      </c>
      <c r="B287" t="s">
        <v>1413</v>
      </c>
      <c r="C287">
        <v>2020</v>
      </c>
      <c r="D287">
        <v>8001</v>
      </c>
      <c r="E287">
        <v>1</v>
      </c>
      <c r="F287" t="s">
        <v>1414</v>
      </c>
      <c r="G287">
        <v>21839506</v>
      </c>
      <c r="J287">
        <v>38.020000000000003</v>
      </c>
      <c r="L287">
        <v>46861494</v>
      </c>
      <c r="M287" s="1">
        <v>44235</v>
      </c>
      <c r="N287" t="str">
        <f>"RC210304"</f>
        <v>RC210304</v>
      </c>
      <c r="O287" t="s">
        <v>28</v>
      </c>
      <c r="Q287" t="s">
        <v>29</v>
      </c>
      <c r="R287" t="s">
        <v>28</v>
      </c>
      <c r="S287" t="s">
        <v>1415</v>
      </c>
      <c r="T287" t="s">
        <v>1416</v>
      </c>
      <c r="U287" t="s">
        <v>435</v>
      </c>
      <c r="W287" t="s">
        <v>1417</v>
      </c>
      <c r="X287" t="s">
        <v>34</v>
      </c>
      <c r="Y287" t="str">
        <f>"774640394"</f>
        <v>774640394</v>
      </c>
    </row>
    <row r="288" spans="1:25" x14ac:dyDescent="0.25">
      <c r="A288" t="s">
        <v>1418</v>
      </c>
      <c r="B288" t="s">
        <v>1419</v>
      </c>
      <c r="C288">
        <v>2020</v>
      </c>
      <c r="D288">
        <v>8001</v>
      </c>
      <c r="E288">
        <v>1</v>
      </c>
      <c r="F288" t="s">
        <v>1420</v>
      </c>
      <c r="G288">
        <v>23309068</v>
      </c>
      <c r="J288">
        <v>29.25</v>
      </c>
      <c r="L288">
        <v>45004190</v>
      </c>
      <c r="M288" s="1">
        <v>44165</v>
      </c>
      <c r="N288" t="str">
        <f>"O201130AB1"</f>
        <v>O201130AB1</v>
      </c>
      <c r="O288" t="s">
        <v>28</v>
      </c>
      <c r="Q288" t="s">
        <v>29</v>
      </c>
      <c r="R288" t="s">
        <v>28</v>
      </c>
      <c r="S288" t="s">
        <v>1421</v>
      </c>
      <c r="T288" t="s">
        <v>1422</v>
      </c>
      <c r="W288" t="s">
        <v>75</v>
      </c>
      <c r="X288" t="s">
        <v>34</v>
      </c>
      <c r="Y288" t="str">
        <f>"770556942"</f>
        <v>770556942</v>
      </c>
    </row>
    <row r="289" spans="1:25" x14ac:dyDescent="0.25">
      <c r="A289" t="s">
        <v>1423</v>
      </c>
      <c r="B289" t="s">
        <v>1424</v>
      </c>
      <c r="C289">
        <v>2020</v>
      </c>
      <c r="D289">
        <v>8001</v>
      </c>
      <c r="E289">
        <v>1</v>
      </c>
      <c r="F289" t="s">
        <v>1425</v>
      </c>
      <c r="G289">
        <v>29177236</v>
      </c>
      <c r="J289">
        <v>73.569999999999993</v>
      </c>
      <c r="L289">
        <v>46861477</v>
      </c>
      <c r="M289" s="1">
        <v>44235</v>
      </c>
      <c r="N289" t="str">
        <f>"RC210304"</f>
        <v>RC210304</v>
      </c>
      <c r="O289" t="s">
        <v>28</v>
      </c>
      <c r="Q289" t="s">
        <v>29</v>
      </c>
      <c r="R289" t="s">
        <v>28</v>
      </c>
      <c r="S289" t="s">
        <v>1426</v>
      </c>
      <c r="T289" t="s">
        <v>1427</v>
      </c>
      <c r="W289" t="s">
        <v>193</v>
      </c>
      <c r="X289" t="s">
        <v>34</v>
      </c>
      <c r="Y289" t="str">
        <f>"77441"</f>
        <v>77441</v>
      </c>
    </row>
    <row r="290" spans="1:25" x14ac:dyDescent="0.25">
      <c r="A290" t="s">
        <v>1428</v>
      </c>
      <c r="B290" t="s">
        <v>1429</v>
      </c>
      <c r="C290">
        <v>2020</v>
      </c>
      <c r="D290">
        <v>8001</v>
      </c>
      <c r="E290">
        <v>1</v>
      </c>
      <c r="F290" t="s">
        <v>1430</v>
      </c>
      <c r="G290">
        <v>20097087</v>
      </c>
      <c r="J290">
        <v>157.58000000000001</v>
      </c>
      <c r="L290">
        <v>47055350</v>
      </c>
      <c r="M290" s="1">
        <v>44263</v>
      </c>
      <c r="N290" t="str">
        <f>"RC210317"</f>
        <v>RC210317</v>
      </c>
      <c r="O290" t="s">
        <v>28</v>
      </c>
      <c r="Q290" t="s">
        <v>29</v>
      </c>
      <c r="R290" t="s">
        <v>28</v>
      </c>
      <c r="S290" t="s">
        <v>1431</v>
      </c>
      <c r="T290" t="s">
        <v>1432</v>
      </c>
      <c r="W290" t="s">
        <v>40</v>
      </c>
      <c r="X290" t="s">
        <v>34</v>
      </c>
      <c r="Y290" t="str">
        <f>"77478"</f>
        <v>77478</v>
      </c>
    </row>
    <row r="291" spans="1:25" x14ac:dyDescent="0.25">
      <c r="A291" t="s">
        <v>1433</v>
      </c>
      <c r="B291" t="s">
        <v>1434</v>
      </c>
      <c r="C291">
        <v>2020</v>
      </c>
      <c r="D291">
        <v>8001</v>
      </c>
      <c r="E291">
        <v>1</v>
      </c>
      <c r="F291" t="s">
        <v>1435</v>
      </c>
      <c r="G291">
        <v>25823726</v>
      </c>
      <c r="J291">
        <v>24.06</v>
      </c>
      <c r="L291">
        <v>45681013</v>
      </c>
      <c r="M291" s="1">
        <v>44201</v>
      </c>
      <c r="N291" t="str">
        <f>"RC210119"</f>
        <v>RC210119</v>
      </c>
      <c r="O291" t="s">
        <v>28</v>
      </c>
      <c r="Q291" t="s">
        <v>29</v>
      </c>
      <c r="R291" t="s">
        <v>28</v>
      </c>
      <c r="S291" t="s">
        <v>1436</v>
      </c>
      <c r="T291" t="s">
        <v>203</v>
      </c>
      <c r="U291" t="s">
        <v>1437</v>
      </c>
      <c r="W291" t="s">
        <v>75</v>
      </c>
      <c r="X291" t="s">
        <v>34</v>
      </c>
      <c r="Y291" t="str">
        <f>"770141024"</f>
        <v>770141024</v>
      </c>
    </row>
    <row r="292" spans="1:25" x14ac:dyDescent="0.25">
      <c r="A292" t="s">
        <v>1438</v>
      </c>
      <c r="B292" t="s">
        <v>1439</v>
      </c>
      <c r="C292">
        <v>2020</v>
      </c>
      <c r="D292">
        <v>8001</v>
      </c>
      <c r="E292">
        <v>24</v>
      </c>
      <c r="F292" t="s">
        <v>1440</v>
      </c>
      <c r="G292">
        <v>21173310</v>
      </c>
      <c r="J292">
        <v>19.75</v>
      </c>
      <c r="L292">
        <v>44548209</v>
      </c>
      <c r="M292" s="1">
        <v>44147</v>
      </c>
      <c r="N292" t="str">
        <f>"TE201112"</f>
        <v>TE201112</v>
      </c>
      <c r="O292" t="s">
        <v>28</v>
      </c>
      <c r="Q292" t="s">
        <v>29</v>
      </c>
      <c r="R292" t="s">
        <v>28</v>
      </c>
      <c r="S292" t="s">
        <v>1441</v>
      </c>
      <c r="T292" t="s">
        <v>1442</v>
      </c>
      <c r="W292" t="s">
        <v>154</v>
      </c>
      <c r="X292" t="s">
        <v>34</v>
      </c>
      <c r="Y292" t="str">
        <f>"77471"</f>
        <v>77471</v>
      </c>
    </row>
    <row r="293" spans="1:25" x14ac:dyDescent="0.25">
      <c r="A293" t="s">
        <v>1443</v>
      </c>
      <c r="B293" t="s">
        <v>1444</v>
      </c>
      <c r="C293">
        <v>2020</v>
      </c>
      <c r="D293">
        <v>8001</v>
      </c>
      <c r="E293">
        <v>4</v>
      </c>
      <c r="F293" t="s">
        <v>1445</v>
      </c>
      <c r="G293">
        <v>0</v>
      </c>
      <c r="J293">
        <v>95.06</v>
      </c>
      <c r="L293">
        <v>47614432</v>
      </c>
      <c r="M293" s="1">
        <v>44393</v>
      </c>
      <c r="N293" t="str">
        <f>"J210716K9"</f>
        <v>J210716K9</v>
      </c>
      <c r="O293" t="s">
        <v>28</v>
      </c>
      <c r="Q293" t="s">
        <v>29</v>
      </c>
      <c r="R293" t="s">
        <v>28</v>
      </c>
      <c r="S293" t="s">
        <v>1445</v>
      </c>
      <c r="T293" t="s">
        <v>1446</v>
      </c>
      <c r="U293" t="s">
        <v>60</v>
      </c>
      <c r="V293" t="s">
        <v>60</v>
      </c>
      <c r="W293" t="s">
        <v>1333</v>
      </c>
      <c r="X293" t="s">
        <v>34</v>
      </c>
      <c r="Y293" t="str">
        <f>"774892628   "</f>
        <v xml:space="preserve">774892628   </v>
      </c>
    </row>
    <row r="294" spans="1:25" x14ac:dyDescent="0.25">
      <c r="A294" t="s">
        <v>1451</v>
      </c>
      <c r="B294" t="s">
        <v>1452</v>
      </c>
      <c r="C294">
        <v>2020</v>
      </c>
      <c r="D294">
        <v>8001</v>
      </c>
      <c r="E294">
        <v>2</v>
      </c>
      <c r="F294" t="s">
        <v>1453</v>
      </c>
      <c r="G294">
        <v>21600983</v>
      </c>
      <c r="J294">
        <v>42.95</v>
      </c>
      <c r="L294">
        <v>47203660</v>
      </c>
      <c r="M294" s="1">
        <v>44285</v>
      </c>
      <c r="N294" t="str">
        <f>"RC210414"</f>
        <v>RC210414</v>
      </c>
      <c r="O294" t="s">
        <v>28</v>
      </c>
      <c r="Q294" t="s">
        <v>29</v>
      </c>
      <c r="R294" t="s">
        <v>28</v>
      </c>
      <c r="S294" t="s">
        <v>1454</v>
      </c>
      <c r="T294" t="s">
        <v>1455</v>
      </c>
      <c r="W294" t="s">
        <v>1456</v>
      </c>
      <c r="X294" t="s">
        <v>1457</v>
      </c>
      <c r="Y294" t="str">
        <f>"234504968"</f>
        <v>234504968</v>
      </c>
    </row>
    <row r="295" spans="1:25" x14ac:dyDescent="0.25">
      <c r="A295" t="s">
        <v>1458</v>
      </c>
      <c r="B295" t="s">
        <v>1459</v>
      </c>
      <c r="C295">
        <v>2020</v>
      </c>
      <c r="D295">
        <v>8001</v>
      </c>
      <c r="E295">
        <v>1</v>
      </c>
      <c r="F295" t="s">
        <v>1460</v>
      </c>
      <c r="G295">
        <v>0</v>
      </c>
      <c r="J295">
        <v>32.93</v>
      </c>
      <c r="L295">
        <v>47506485</v>
      </c>
      <c r="M295" s="1">
        <v>44354</v>
      </c>
      <c r="N295" t="str">
        <f>"J210607BW3"</f>
        <v>J210607BW3</v>
      </c>
      <c r="O295" t="s">
        <v>28</v>
      </c>
      <c r="Q295" t="s">
        <v>29</v>
      </c>
      <c r="R295" t="s">
        <v>28</v>
      </c>
      <c r="S295" t="s">
        <v>1460</v>
      </c>
      <c r="T295" t="s">
        <v>1461</v>
      </c>
      <c r="U295" t="s">
        <v>60</v>
      </c>
      <c r="V295" t="s">
        <v>60</v>
      </c>
      <c r="W295" t="s">
        <v>1333</v>
      </c>
      <c r="X295" t="s">
        <v>34</v>
      </c>
      <c r="Y295" t="str">
        <f>"774892611   "</f>
        <v xml:space="preserve">774892611   </v>
      </c>
    </row>
    <row r="296" spans="1:25" x14ac:dyDescent="0.25">
      <c r="A296" t="s">
        <v>1462</v>
      </c>
      <c r="B296" t="s">
        <v>1463</v>
      </c>
      <c r="C296">
        <v>2019</v>
      </c>
      <c r="D296">
        <v>8001</v>
      </c>
      <c r="E296">
        <v>5</v>
      </c>
      <c r="F296" t="s">
        <v>1464</v>
      </c>
      <c r="G296">
        <v>28034431</v>
      </c>
      <c r="J296">
        <v>16.28</v>
      </c>
      <c r="L296">
        <v>44454920</v>
      </c>
      <c r="M296" s="1">
        <v>44046</v>
      </c>
      <c r="N296" t="str">
        <f>"O200803BF7"</f>
        <v>O200803BF7</v>
      </c>
      <c r="O296" t="s">
        <v>28</v>
      </c>
      <c r="Q296" t="s">
        <v>29</v>
      </c>
      <c r="R296" t="s">
        <v>28</v>
      </c>
      <c r="S296" t="s">
        <v>1465</v>
      </c>
      <c r="T296" t="s">
        <v>1466</v>
      </c>
      <c r="U296" t="s">
        <v>1467</v>
      </c>
      <c r="W296" t="s">
        <v>392</v>
      </c>
      <c r="X296" t="s">
        <v>34</v>
      </c>
      <c r="Y296" t="str">
        <f>"77489"</f>
        <v>77489</v>
      </c>
    </row>
    <row r="297" spans="1:25" x14ac:dyDescent="0.25">
      <c r="A297" t="s">
        <v>1468</v>
      </c>
      <c r="B297" t="s">
        <v>1469</v>
      </c>
      <c r="C297">
        <v>2020</v>
      </c>
      <c r="D297">
        <v>8001</v>
      </c>
      <c r="E297">
        <v>3</v>
      </c>
      <c r="F297" t="s">
        <v>1470</v>
      </c>
      <c r="G297">
        <v>29872999</v>
      </c>
      <c r="J297">
        <v>44.58</v>
      </c>
      <c r="L297">
        <v>47506058</v>
      </c>
      <c r="M297" s="1">
        <v>44354</v>
      </c>
      <c r="N297" t="str">
        <f>"RC210614"</f>
        <v>RC210614</v>
      </c>
      <c r="O297" t="s">
        <v>28</v>
      </c>
      <c r="Q297" t="s">
        <v>29</v>
      </c>
      <c r="R297" t="s">
        <v>28</v>
      </c>
      <c r="S297" t="s">
        <v>249</v>
      </c>
      <c r="T297" t="s">
        <v>250</v>
      </c>
      <c r="W297" t="s">
        <v>75</v>
      </c>
      <c r="X297" t="s">
        <v>34</v>
      </c>
      <c r="Y297" t="str">
        <f>"77021"</f>
        <v>77021</v>
      </c>
    </row>
    <row r="298" spans="1:25" x14ac:dyDescent="0.25">
      <c r="A298" t="s">
        <v>1471</v>
      </c>
      <c r="B298" t="s">
        <v>1472</v>
      </c>
      <c r="C298">
        <v>2020</v>
      </c>
      <c r="D298">
        <v>8001</v>
      </c>
      <c r="E298">
        <v>1</v>
      </c>
      <c r="F298" t="s">
        <v>1473</v>
      </c>
      <c r="G298">
        <v>28406245</v>
      </c>
      <c r="J298">
        <v>56.37</v>
      </c>
      <c r="L298">
        <v>47369627</v>
      </c>
      <c r="M298" s="1">
        <v>44320</v>
      </c>
      <c r="N298" t="str">
        <f>"RC210512"</f>
        <v>RC210512</v>
      </c>
      <c r="O298" t="s">
        <v>28</v>
      </c>
      <c r="Q298" t="s">
        <v>29</v>
      </c>
      <c r="R298" t="s">
        <v>28</v>
      </c>
      <c r="S298" t="s">
        <v>1474</v>
      </c>
      <c r="T298" t="s">
        <v>1475</v>
      </c>
      <c r="W298" t="s">
        <v>33</v>
      </c>
      <c r="X298" t="s">
        <v>34</v>
      </c>
      <c r="Y298" t="str">
        <f>"75093"</f>
        <v>75093</v>
      </c>
    </row>
    <row r="299" spans="1:25" x14ac:dyDescent="0.25">
      <c r="A299" t="s">
        <v>1476</v>
      </c>
      <c r="B299" t="s">
        <v>1477</v>
      </c>
      <c r="C299">
        <v>2020</v>
      </c>
      <c r="D299">
        <v>8001</v>
      </c>
      <c r="E299">
        <v>2</v>
      </c>
      <c r="F299" t="s">
        <v>1478</v>
      </c>
      <c r="G299">
        <v>29135714</v>
      </c>
      <c r="J299">
        <v>8.3699999999999992</v>
      </c>
      <c r="L299">
        <v>47778435</v>
      </c>
      <c r="M299" s="1">
        <v>44474</v>
      </c>
      <c r="N299" t="str">
        <f>"RC211018"</f>
        <v>RC211018</v>
      </c>
      <c r="O299" t="s">
        <v>28</v>
      </c>
      <c r="Q299" t="s">
        <v>29</v>
      </c>
      <c r="R299" t="s">
        <v>28</v>
      </c>
      <c r="S299" t="s">
        <v>1479</v>
      </c>
      <c r="T299" t="s">
        <v>203</v>
      </c>
      <c r="U299" t="s">
        <v>1480</v>
      </c>
      <c r="W299" t="s">
        <v>40</v>
      </c>
      <c r="X299" t="s">
        <v>34</v>
      </c>
      <c r="Y299" t="str">
        <f>"774784399"</f>
        <v>774784399</v>
      </c>
    </row>
    <row r="300" spans="1:25" x14ac:dyDescent="0.25">
      <c r="A300" t="s">
        <v>1481</v>
      </c>
      <c r="B300" t="s">
        <v>1482</v>
      </c>
      <c r="C300">
        <v>2020</v>
      </c>
      <c r="D300">
        <v>8001</v>
      </c>
      <c r="E300">
        <v>1</v>
      </c>
      <c r="F300" t="s">
        <v>1483</v>
      </c>
      <c r="G300">
        <v>29596083</v>
      </c>
      <c r="J300">
        <v>32.01</v>
      </c>
      <c r="L300">
        <v>47018852</v>
      </c>
      <c r="M300" s="1">
        <v>44258</v>
      </c>
      <c r="N300" t="str">
        <f>"EK210303"</f>
        <v>EK210303</v>
      </c>
      <c r="O300" t="s">
        <v>28</v>
      </c>
      <c r="Q300" t="s">
        <v>29</v>
      </c>
      <c r="R300" t="s">
        <v>28</v>
      </c>
      <c r="S300" t="s">
        <v>1484</v>
      </c>
      <c r="T300" t="s">
        <v>1485</v>
      </c>
      <c r="W300" t="s">
        <v>392</v>
      </c>
      <c r="X300" t="s">
        <v>34</v>
      </c>
      <c r="Y300" t="str">
        <f>"77489"</f>
        <v>77489</v>
      </c>
    </row>
    <row r="301" spans="1:25" x14ac:dyDescent="0.25">
      <c r="A301" t="s">
        <v>1486</v>
      </c>
      <c r="B301" t="s">
        <v>1487</v>
      </c>
      <c r="C301">
        <v>2019</v>
      </c>
      <c r="D301">
        <v>8001</v>
      </c>
      <c r="E301">
        <v>1</v>
      </c>
      <c r="F301" t="s">
        <v>1488</v>
      </c>
      <c r="G301">
        <v>25532230</v>
      </c>
      <c r="J301">
        <v>7.48</v>
      </c>
      <c r="L301">
        <v>44554514</v>
      </c>
      <c r="M301" s="1">
        <v>44097</v>
      </c>
      <c r="N301" t="str">
        <f>"J200923AE1"</f>
        <v>J200923AE1</v>
      </c>
      <c r="O301" t="s">
        <v>28</v>
      </c>
      <c r="Q301" t="s">
        <v>29</v>
      </c>
      <c r="R301" t="s">
        <v>28</v>
      </c>
      <c r="S301" t="s">
        <v>1307</v>
      </c>
      <c r="T301" t="s">
        <v>1489</v>
      </c>
      <c r="W301" t="s">
        <v>586</v>
      </c>
      <c r="X301" t="s">
        <v>34</v>
      </c>
      <c r="Y301" t="str">
        <f>"775845137"</f>
        <v>775845137</v>
      </c>
    </row>
    <row r="302" spans="1:25" x14ac:dyDescent="0.25">
      <c r="A302" t="s">
        <v>1490</v>
      </c>
      <c r="B302" t="s">
        <v>1491</v>
      </c>
      <c r="C302">
        <v>2020</v>
      </c>
      <c r="D302">
        <v>8001</v>
      </c>
      <c r="E302">
        <v>4</v>
      </c>
      <c r="F302" t="s">
        <v>1492</v>
      </c>
      <c r="G302">
        <v>1114303</v>
      </c>
      <c r="J302">
        <v>309.2</v>
      </c>
      <c r="L302">
        <v>47441226</v>
      </c>
      <c r="M302" s="1">
        <v>44341</v>
      </c>
      <c r="N302" t="str">
        <f>"RC210607"</f>
        <v>RC210607</v>
      </c>
      <c r="O302" t="s">
        <v>28</v>
      </c>
      <c r="Q302" t="s">
        <v>29</v>
      </c>
      <c r="R302" t="s">
        <v>28</v>
      </c>
      <c r="S302" t="s">
        <v>1493</v>
      </c>
      <c r="T302" t="s">
        <v>1494</v>
      </c>
      <c r="W302" t="s">
        <v>75</v>
      </c>
      <c r="X302" t="s">
        <v>34</v>
      </c>
      <c r="Y302" t="str">
        <f>"770523088"</f>
        <v>770523088</v>
      </c>
    </row>
    <row r="303" spans="1:25" x14ac:dyDescent="0.25">
      <c r="A303" t="s">
        <v>1495</v>
      </c>
      <c r="B303" t="s">
        <v>1496</v>
      </c>
      <c r="C303">
        <v>2019</v>
      </c>
      <c r="D303">
        <v>8001</v>
      </c>
      <c r="E303">
        <v>1</v>
      </c>
      <c r="F303" t="s">
        <v>1497</v>
      </c>
      <c r="G303">
        <v>27918326</v>
      </c>
      <c r="J303">
        <v>100</v>
      </c>
      <c r="L303">
        <v>42888877</v>
      </c>
      <c r="M303" s="1">
        <v>43844</v>
      </c>
      <c r="N303" t="str">
        <f>"J200114AW13"</f>
        <v>J200114AW13</v>
      </c>
      <c r="O303" t="s">
        <v>28</v>
      </c>
      <c r="Q303" t="s">
        <v>29</v>
      </c>
      <c r="R303" t="s">
        <v>28</v>
      </c>
      <c r="S303" t="s">
        <v>1498</v>
      </c>
      <c r="T303" t="s">
        <v>1499</v>
      </c>
      <c r="W303" t="s">
        <v>1500</v>
      </c>
      <c r="X303" t="s">
        <v>34</v>
      </c>
      <c r="Y303" t="str">
        <f>"77413"</f>
        <v>77413</v>
      </c>
    </row>
    <row r="304" spans="1:25" x14ac:dyDescent="0.25">
      <c r="A304" t="s">
        <v>1501</v>
      </c>
      <c r="B304" t="s">
        <v>1502</v>
      </c>
      <c r="C304">
        <v>2020</v>
      </c>
      <c r="D304">
        <v>8001</v>
      </c>
      <c r="E304">
        <v>1</v>
      </c>
      <c r="F304" t="s">
        <v>1503</v>
      </c>
      <c r="G304">
        <v>29881664</v>
      </c>
      <c r="J304">
        <v>6.91</v>
      </c>
      <c r="L304">
        <v>47529313</v>
      </c>
      <c r="M304" s="1">
        <v>44362</v>
      </c>
      <c r="N304" t="str">
        <f>"RC210622"</f>
        <v>RC210622</v>
      </c>
      <c r="O304" t="s">
        <v>28</v>
      </c>
      <c r="Q304" t="s">
        <v>29</v>
      </c>
      <c r="R304" t="s">
        <v>28</v>
      </c>
      <c r="S304" t="s">
        <v>1504</v>
      </c>
      <c r="T304" t="s">
        <v>1505</v>
      </c>
      <c r="W304" t="s">
        <v>40</v>
      </c>
      <c r="X304" t="s">
        <v>34</v>
      </c>
      <c r="Y304" t="str">
        <f>"77479"</f>
        <v>77479</v>
      </c>
    </row>
    <row r="305" spans="1:25" x14ac:dyDescent="0.25">
      <c r="A305" t="s">
        <v>1506</v>
      </c>
      <c r="B305" t="s">
        <v>1507</v>
      </c>
      <c r="C305">
        <v>2019</v>
      </c>
      <c r="D305">
        <v>8001</v>
      </c>
      <c r="E305">
        <v>20</v>
      </c>
      <c r="F305" t="s">
        <v>1508</v>
      </c>
      <c r="G305">
        <v>0</v>
      </c>
      <c r="J305">
        <v>0.04</v>
      </c>
      <c r="L305">
        <v>41555166</v>
      </c>
      <c r="M305" s="1">
        <v>43766</v>
      </c>
      <c r="N305" t="str">
        <f>"TE191028"</f>
        <v>TE191028</v>
      </c>
      <c r="O305" t="s">
        <v>28</v>
      </c>
      <c r="Q305" t="s">
        <v>29</v>
      </c>
      <c r="R305" t="s">
        <v>28</v>
      </c>
      <c r="S305" t="s">
        <v>1508</v>
      </c>
      <c r="T305" t="s">
        <v>1509</v>
      </c>
      <c r="U305" t="s">
        <v>60</v>
      </c>
      <c r="V305" t="s">
        <v>60</v>
      </c>
      <c r="W305" t="s">
        <v>1333</v>
      </c>
      <c r="X305" t="s">
        <v>34</v>
      </c>
      <c r="Y305" t="str">
        <f>"774893456   "</f>
        <v xml:space="preserve">774893456   </v>
      </c>
    </row>
    <row r="306" spans="1:25" x14ac:dyDescent="0.25">
      <c r="A306" t="s">
        <v>1510</v>
      </c>
      <c r="B306" t="s">
        <v>1511</v>
      </c>
      <c r="C306">
        <v>2019</v>
      </c>
      <c r="D306">
        <v>8001</v>
      </c>
      <c r="E306">
        <v>1</v>
      </c>
      <c r="F306" t="s">
        <v>1512</v>
      </c>
      <c r="G306">
        <v>28298305</v>
      </c>
      <c r="J306">
        <v>46.3</v>
      </c>
      <c r="L306">
        <v>43864421</v>
      </c>
      <c r="M306" s="1">
        <v>43893</v>
      </c>
      <c r="N306" t="str">
        <f>"EK400303"</f>
        <v>EK400303</v>
      </c>
      <c r="O306" t="s">
        <v>28</v>
      </c>
      <c r="Q306" t="s">
        <v>29</v>
      </c>
      <c r="R306" t="s">
        <v>28</v>
      </c>
      <c r="S306" t="s">
        <v>1513</v>
      </c>
      <c r="T306" t="s">
        <v>1514</v>
      </c>
      <c r="W306" t="s">
        <v>586</v>
      </c>
      <c r="X306" t="s">
        <v>34</v>
      </c>
      <c r="Y306" t="str">
        <f>"77584"</f>
        <v>77584</v>
      </c>
    </row>
    <row r="307" spans="1:25" x14ac:dyDescent="0.25">
      <c r="A307" t="s">
        <v>1510</v>
      </c>
      <c r="B307" t="s">
        <v>1511</v>
      </c>
      <c r="C307">
        <v>2020</v>
      </c>
      <c r="D307">
        <v>8001</v>
      </c>
      <c r="E307">
        <v>2</v>
      </c>
      <c r="F307" t="s">
        <v>1512</v>
      </c>
      <c r="G307">
        <v>29461607</v>
      </c>
      <c r="J307">
        <v>107.28</v>
      </c>
      <c r="L307">
        <v>46728607</v>
      </c>
      <c r="M307" s="1">
        <v>44230</v>
      </c>
      <c r="N307" t="str">
        <f>"EK210203"</f>
        <v>EK210203</v>
      </c>
      <c r="O307" t="s">
        <v>28</v>
      </c>
      <c r="Q307" t="s">
        <v>29</v>
      </c>
      <c r="R307" t="s">
        <v>28</v>
      </c>
      <c r="S307" t="s">
        <v>1513</v>
      </c>
      <c r="T307" t="s">
        <v>1515</v>
      </c>
      <c r="W307" t="s">
        <v>75</v>
      </c>
      <c r="X307" t="s">
        <v>34</v>
      </c>
      <c r="Y307" t="str">
        <f>"77033"</f>
        <v>77033</v>
      </c>
    </row>
    <row r="308" spans="1:25" x14ac:dyDescent="0.25">
      <c r="A308" t="s">
        <v>1516</v>
      </c>
      <c r="B308" t="s">
        <v>1517</v>
      </c>
      <c r="C308">
        <v>2019</v>
      </c>
      <c r="D308">
        <v>8001</v>
      </c>
      <c r="E308">
        <v>1</v>
      </c>
      <c r="F308" t="s">
        <v>1518</v>
      </c>
      <c r="G308">
        <v>0</v>
      </c>
      <c r="J308">
        <v>7</v>
      </c>
      <c r="L308">
        <v>44091545</v>
      </c>
      <c r="M308" s="1">
        <v>43944</v>
      </c>
      <c r="N308" t="str">
        <f>"J200423F2"</f>
        <v>J200423F2</v>
      </c>
      <c r="O308" t="s">
        <v>28</v>
      </c>
      <c r="Q308" t="s">
        <v>29</v>
      </c>
      <c r="R308" t="s">
        <v>28</v>
      </c>
      <c r="S308" t="s">
        <v>1518</v>
      </c>
      <c r="T308" t="s">
        <v>1519</v>
      </c>
      <c r="U308" t="s">
        <v>60</v>
      </c>
      <c r="V308" t="s">
        <v>60</v>
      </c>
      <c r="W308" t="s">
        <v>1333</v>
      </c>
      <c r="X308" t="s">
        <v>34</v>
      </c>
      <c r="Y308" t="str">
        <f>"774893442   "</f>
        <v xml:space="preserve">774893442   </v>
      </c>
    </row>
    <row r="309" spans="1:25" x14ac:dyDescent="0.25">
      <c r="A309" t="s">
        <v>1520</v>
      </c>
      <c r="B309" t="s">
        <v>1521</v>
      </c>
      <c r="C309">
        <v>2020</v>
      </c>
      <c r="D309">
        <v>8001</v>
      </c>
      <c r="E309">
        <v>1</v>
      </c>
      <c r="F309" t="s">
        <v>1522</v>
      </c>
      <c r="G309">
        <v>29461825</v>
      </c>
      <c r="J309">
        <v>138.82</v>
      </c>
      <c r="L309">
        <v>46728825</v>
      </c>
      <c r="M309" s="1">
        <v>44230</v>
      </c>
      <c r="N309" t="str">
        <f>"EK210203"</f>
        <v>EK210203</v>
      </c>
      <c r="O309" t="s">
        <v>28</v>
      </c>
      <c r="Q309" t="s">
        <v>29</v>
      </c>
      <c r="R309" t="s">
        <v>28</v>
      </c>
      <c r="S309" t="s">
        <v>1523</v>
      </c>
      <c r="T309" t="s">
        <v>1524</v>
      </c>
      <c r="W309" t="s">
        <v>392</v>
      </c>
      <c r="X309" t="s">
        <v>34</v>
      </c>
      <c r="Y309" t="str">
        <f>"77489"</f>
        <v>77489</v>
      </c>
    </row>
    <row r="310" spans="1:25" x14ac:dyDescent="0.25">
      <c r="A310" t="s">
        <v>1525</v>
      </c>
      <c r="B310" t="s">
        <v>1526</v>
      </c>
      <c r="C310">
        <v>2019</v>
      </c>
      <c r="D310">
        <v>8001</v>
      </c>
      <c r="E310">
        <v>20</v>
      </c>
      <c r="F310" t="s">
        <v>1527</v>
      </c>
      <c r="G310">
        <v>0</v>
      </c>
      <c r="J310">
        <v>140</v>
      </c>
      <c r="L310">
        <v>42825377</v>
      </c>
      <c r="M310" s="1">
        <v>43843</v>
      </c>
      <c r="N310" t="str">
        <f>"J200113K1"</f>
        <v>J200113K1</v>
      </c>
      <c r="O310" t="s">
        <v>28</v>
      </c>
      <c r="Q310" t="s">
        <v>29</v>
      </c>
      <c r="R310" t="s">
        <v>28</v>
      </c>
      <c r="S310" t="s">
        <v>1527</v>
      </c>
      <c r="T310" t="s">
        <v>1528</v>
      </c>
      <c r="U310" t="s">
        <v>60</v>
      </c>
      <c r="V310" t="s">
        <v>60</v>
      </c>
      <c r="W310" t="s">
        <v>1333</v>
      </c>
      <c r="X310" t="s">
        <v>34</v>
      </c>
      <c r="Y310" t="str">
        <f>"774893351   "</f>
        <v xml:space="preserve">774893351   </v>
      </c>
    </row>
    <row r="311" spans="1:25" x14ac:dyDescent="0.25">
      <c r="A311" t="s">
        <v>1525</v>
      </c>
      <c r="B311" t="s">
        <v>1526</v>
      </c>
      <c r="C311">
        <v>2020</v>
      </c>
      <c r="D311">
        <v>8001</v>
      </c>
      <c r="E311">
        <v>11</v>
      </c>
      <c r="F311" t="s">
        <v>1527</v>
      </c>
      <c r="G311">
        <v>0</v>
      </c>
      <c r="J311">
        <v>75</v>
      </c>
      <c r="L311">
        <v>45573215</v>
      </c>
      <c r="M311" s="1">
        <v>44195</v>
      </c>
      <c r="N311" t="str">
        <f>"J201230BW14"</f>
        <v>J201230BW14</v>
      </c>
      <c r="O311" t="s">
        <v>28</v>
      </c>
      <c r="Q311" t="s">
        <v>29</v>
      </c>
      <c r="R311" t="s">
        <v>28</v>
      </c>
      <c r="S311" t="s">
        <v>1527</v>
      </c>
      <c r="T311" t="s">
        <v>1528</v>
      </c>
      <c r="U311" t="s">
        <v>60</v>
      </c>
      <c r="V311" t="s">
        <v>60</v>
      </c>
      <c r="W311" t="s">
        <v>1333</v>
      </c>
      <c r="X311" t="s">
        <v>34</v>
      </c>
      <c r="Y311" t="str">
        <f>"774893351   "</f>
        <v xml:space="preserve">774893351   </v>
      </c>
    </row>
    <row r="312" spans="1:25" x14ac:dyDescent="0.25">
      <c r="A312" t="s">
        <v>1529</v>
      </c>
      <c r="B312" t="s">
        <v>1530</v>
      </c>
      <c r="C312">
        <v>2020</v>
      </c>
      <c r="D312">
        <v>8001</v>
      </c>
      <c r="E312">
        <v>1</v>
      </c>
      <c r="F312" t="s">
        <v>1531</v>
      </c>
      <c r="G312">
        <v>0</v>
      </c>
      <c r="J312">
        <v>12.78</v>
      </c>
      <c r="L312">
        <v>45094523</v>
      </c>
      <c r="M312" s="1">
        <v>44168</v>
      </c>
      <c r="N312" t="str">
        <f>"L201203A"</f>
        <v>L201203A</v>
      </c>
      <c r="O312" t="s">
        <v>28</v>
      </c>
      <c r="Q312" t="s">
        <v>29</v>
      </c>
      <c r="R312" t="s">
        <v>28</v>
      </c>
      <c r="S312" t="s">
        <v>1531</v>
      </c>
      <c r="T312" t="s">
        <v>1532</v>
      </c>
      <c r="U312" t="s">
        <v>60</v>
      </c>
      <c r="V312" t="s">
        <v>60</v>
      </c>
      <c r="W312" t="s">
        <v>1333</v>
      </c>
      <c r="X312" t="s">
        <v>34</v>
      </c>
      <c r="Y312" t="str">
        <f>"774892702   "</f>
        <v xml:space="preserve">774892702   </v>
      </c>
    </row>
    <row r="313" spans="1:25" x14ac:dyDescent="0.25">
      <c r="A313" t="s">
        <v>1533</v>
      </c>
      <c r="B313" t="s">
        <v>1534</v>
      </c>
      <c r="C313">
        <v>2018</v>
      </c>
      <c r="D313">
        <v>8001</v>
      </c>
      <c r="E313">
        <v>1</v>
      </c>
      <c r="F313" t="s">
        <v>1535</v>
      </c>
      <c r="G313">
        <v>0</v>
      </c>
      <c r="J313">
        <v>5.25</v>
      </c>
      <c r="L313">
        <v>41433950</v>
      </c>
      <c r="M313" s="1">
        <v>43671</v>
      </c>
      <c r="N313" t="str">
        <f>"O190725U1"</f>
        <v>O190725U1</v>
      </c>
      <c r="O313" t="s">
        <v>28</v>
      </c>
      <c r="Q313" t="s">
        <v>29</v>
      </c>
      <c r="R313" t="s">
        <v>28</v>
      </c>
      <c r="S313" t="s">
        <v>1535</v>
      </c>
      <c r="T313" t="s">
        <v>1536</v>
      </c>
      <c r="U313" t="s">
        <v>60</v>
      </c>
      <c r="V313" t="s">
        <v>60</v>
      </c>
      <c r="W313" t="s">
        <v>1333</v>
      </c>
      <c r="X313" t="s">
        <v>34</v>
      </c>
      <c r="Y313" t="str">
        <f>"774892708   "</f>
        <v xml:space="preserve">774892708   </v>
      </c>
    </row>
    <row r="314" spans="1:25" x14ac:dyDescent="0.25">
      <c r="A314" t="s">
        <v>1537</v>
      </c>
      <c r="B314" t="s">
        <v>1538</v>
      </c>
      <c r="C314">
        <v>2019</v>
      </c>
      <c r="D314">
        <v>8001</v>
      </c>
      <c r="E314">
        <v>2</v>
      </c>
      <c r="F314" t="s">
        <v>1539</v>
      </c>
      <c r="G314">
        <v>0</v>
      </c>
      <c r="J314">
        <v>30.21</v>
      </c>
      <c r="L314">
        <v>44158049</v>
      </c>
      <c r="M314" s="1">
        <v>43963</v>
      </c>
      <c r="N314" t="str">
        <f>"J200512K8"</f>
        <v>J200512K8</v>
      </c>
      <c r="O314" t="s">
        <v>28</v>
      </c>
      <c r="Q314" t="s">
        <v>29</v>
      </c>
      <c r="R314" t="s">
        <v>28</v>
      </c>
      <c r="S314" t="s">
        <v>1539</v>
      </c>
      <c r="T314" t="s">
        <v>1540</v>
      </c>
      <c r="U314" t="s">
        <v>60</v>
      </c>
      <c r="V314" t="s">
        <v>60</v>
      </c>
      <c r="W314" t="s">
        <v>1333</v>
      </c>
      <c r="X314" t="s">
        <v>34</v>
      </c>
      <c r="Y314" t="str">
        <f>"774892801   "</f>
        <v xml:space="preserve">774892801   </v>
      </c>
    </row>
    <row r="315" spans="1:25" x14ac:dyDescent="0.25">
      <c r="A315" t="s">
        <v>1541</v>
      </c>
      <c r="B315" t="s">
        <v>1542</v>
      </c>
      <c r="C315">
        <v>2019</v>
      </c>
      <c r="D315">
        <v>8001</v>
      </c>
      <c r="E315">
        <v>2</v>
      </c>
      <c r="F315" t="s">
        <v>1543</v>
      </c>
      <c r="G315">
        <v>22264017</v>
      </c>
      <c r="J315">
        <v>62.05</v>
      </c>
      <c r="L315">
        <v>42510630</v>
      </c>
      <c r="M315" s="1">
        <v>43830</v>
      </c>
      <c r="N315" t="str">
        <f>"J191231AW1"</f>
        <v>J191231AW1</v>
      </c>
      <c r="O315" t="s">
        <v>28</v>
      </c>
      <c r="Q315" t="s">
        <v>29</v>
      </c>
      <c r="R315" t="s">
        <v>28</v>
      </c>
      <c r="S315" t="s">
        <v>1544</v>
      </c>
      <c r="T315" t="s">
        <v>1545</v>
      </c>
      <c r="W315" t="s">
        <v>392</v>
      </c>
      <c r="X315" t="s">
        <v>34</v>
      </c>
      <c r="Y315" t="str">
        <f>"77489"</f>
        <v>77489</v>
      </c>
    </row>
    <row r="316" spans="1:25" x14ac:dyDescent="0.25">
      <c r="A316" t="s">
        <v>1546</v>
      </c>
      <c r="B316" t="s">
        <v>1547</v>
      </c>
      <c r="C316">
        <v>2021</v>
      </c>
      <c r="D316">
        <v>8001</v>
      </c>
      <c r="E316">
        <v>1</v>
      </c>
      <c r="F316" t="s">
        <v>1548</v>
      </c>
      <c r="G316">
        <v>29218918</v>
      </c>
      <c r="J316">
        <v>402.33</v>
      </c>
      <c r="L316">
        <v>47930671</v>
      </c>
      <c r="M316" s="1">
        <v>44516</v>
      </c>
      <c r="N316" t="str">
        <f>"TE211116"</f>
        <v>TE211116</v>
      </c>
      <c r="O316" t="s">
        <v>28</v>
      </c>
      <c r="Q316" t="s">
        <v>29</v>
      </c>
      <c r="R316" t="s">
        <v>28</v>
      </c>
      <c r="S316" t="s">
        <v>1549</v>
      </c>
      <c r="T316" t="s">
        <v>1550</v>
      </c>
      <c r="U316" t="s">
        <v>1551</v>
      </c>
      <c r="W316" t="s">
        <v>1371</v>
      </c>
      <c r="X316" t="s">
        <v>34</v>
      </c>
      <c r="Y316" t="str">
        <f>"750348180"</f>
        <v>750348180</v>
      </c>
    </row>
    <row r="317" spans="1:25" x14ac:dyDescent="0.25">
      <c r="A317" t="s">
        <v>1552</v>
      </c>
      <c r="B317" t="s">
        <v>1553</v>
      </c>
      <c r="C317">
        <v>2021</v>
      </c>
      <c r="D317">
        <v>8001</v>
      </c>
      <c r="E317">
        <v>1</v>
      </c>
      <c r="F317" t="s">
        <v>1554</v>
      </c>
      <c r="G317">
        <v>22129252</v>
      </c>
      <c r="J317">
        <v>12.69</v>
      </c>
      <c r="L317">
        <v>50017809</v>
      </c>
      <c r="M317" s="1">
        <v>44596</v>
      </c>
      <c r="N317" t="str">
        <f>"RC220303"</f>
        <v>RC220303</v>
      </c>
      <c r="O317" t="s">
        <v>28</v>
      </c>
      <c r="Q317" t="s">
        <v>29</v>
      </c>
      <c r="R317" t="s">
        <v>28</v>
      </c>
      <c r="S317" t="s">
        <v>1555</v>
      </c>
      <c r="T317" t="s">
        <v>1556</v>
      </c>
      <c r="W317" t="s">
        <v>75</v>
      </c>
      <c r="X317" t="s">
        <v>34</v>
      </c>
      <c r="Y317" t="str">
        <f>"770941715"</f>
        <v>770941715</v>
      </c>
    </row>
    <row r="318" spans="1:25" x14ac:dyDescent="0.25">
      <c r="A318" t="s">
        <v>1557</v>
      </c>
      <c r="B318" t="s">
        <v>1558</v>
      </c>
      <c r="C318">
        <v>2018</v>
      </c>
      <c r="D318">
        <v>8001</v>
      </c>
      <c r="E318">
        <v>2</v>
      </c>
      <c r="F318" t="s">
        <v>1559</v>
      </c>
      <c r="G318">
        <v>26536359</v>
      </c>
      <c r="J318">
        <v>91.04</v>
      </c>
      <c r="L318">
        <v>41475146</v>
      </c>
      <c r="M318" s="1">
        <v>43683</v>
      </c>
      <c r="N318" t="str">
        <f>"J190806K2"</f>
        <v>J190806K2</v>
      </c>
      <c r="O318" t="s">
        <v>28</v>
      </c>
      <c r="Q318" t="s">
        <v>29</v>
      </c>
      <c r="R318" t="s">
        <v>28</v>
      </c>
      <c r="S318" t="s">
        <v>1033</v>
      </c>
      <c r="T318" t="s">
        <v>1560</v>
      </c>
      <c r="W318" t="s">
        <v>1561</v>
      </c>
      <c r="X318" t="s">
        <v>169</v>
      </c>
      <c r="Y318" t="str">
        <f>"801292386"</f>
        <v>801292386</v>
      </c>
    </row>
    <row r="319" spans="1:25" x14ac:dyDescent="0.25">
      <c r="A319" t="s">
        <v>1562</v>
      </c>
      <c r="B319" t="s">
        <v>1563</v>
      </c>
      <c r="C319">
        <v>2020</v>
      </c>
      <c r="D319">
        <v>8001</v>
      </c>
      <c r="E319">
        <v>9</v>
      </c>
      <c r="F319" t="s">
        <v>1564</v>
      </c>
      <c r="G319">
        <v>23079154</v>
      </c>
      <c r="J319">
        <v>92.44</v>
      </c>
      <c r="L319">
        <v>44543596</v>
      </c>
      <c r="M319" s="1">
        <v>44147</v>
      </c>
      <c r="N319" t="str">
        <f>"TE201112"</f>
        <v>TE201112</v>
      </c>
      <c r="O319" t="s">
        <v>28</v>
      </c>
      <c r="Q319" t="s">
        <v>29</v>
      </c>
      <c r="R319" t="s">
        <v>28</v>
      </c>
      <c r="S319" t="s">
        <v>1565</v>
      </c>
      <c r="T319" t="s">
        <v>1566</v>
      </c>
      <c r="W319" t="s">
        <v>81</v>
      </c>
      <c r="X319" t="s">
        <v>34</v>
      </c>
      <c r="Y319" t="str">
        <f>"774699873"</f>
        <v>774699873</v>
      </c>
    </row>
    <row r="320" spans="1:25" x14ac:dyDescent="0.25">
      <c r="A320" t="s">
        <v>1567</v>
      </c>
      <c r="B320" t="s">
        <v>1568</v>
      </c>
      <c r="C320">
        <v>2018</v>
      </c>
      <c r="D320">
        <v>8001</v>
      </c>
      <c r="E320">
        <v>1</v>
      </c>
      <c r="F320" t="s">
        <v>1569</v>
      </c>
      <c r="G320">
        <v>27328768</v>
      </c>
      <c r="J320">
        <v>22.32</v>
      </c>
      <c r="L320">
        <v>41063809</v>
      </c>
      <c r="M320" s="1">
        <v>43558</v>
      </c>
      <c r="N320" t="str">
        <f>"EK190403"</f>
        <v>EK190403</v>
      </c>
      <c r="O320" t="s">
        <v>28</v>
      </c>
      <c r="Q320" t="s">
        <v>29</v>
      </c>
      <c r="R320" t="s">
        <v>28</v>
      </c>
      <c r="S320" t="s">
        <v>1570</v>
      </c>
      <c r="T320" t="s">
        <v>1571</v>
      </c>
      <c r="W320" t="s">
        <v>81</v>
      </c>
      <c r="X320" t="s">
        <v>34</v>
      </c>
      <c r="Y320" t="str">
        <f>"77469"</f>
        <v>77469</v>
      </c>
    </row>
    <row r="321" spans="1:25" x14ac:dyDescent="0.25">
      <c r="A321" t="s">
        <v>1572</v>
      </c>
      <c r="B321" t="s">
        <v>1573</v>
      </c>
      <c r="C321">
        <v>2019</v>
      </c>
      <c r="D321">
        <v>8001</v>
      </c>
      <c r="E321">
        <v>1</v>
      </c>
      <c r="F321" t="s">
        <v>1574</v>
      </c>
      <c r="G321">
        <v>0</v>
      </c>
      <c r="J321">
        <v>6.06</v>
      </c>
      <c r="L321">
        <v>44381515</v>
      </c>
      <c r="M321" s="1">
        <v>44021</v>
      </c>
      <c r="N321" t="str">
        <f>"J200709U1"</f>
        <v>J200709U1</v>
      </c>
      <c r="O321" t="s">
        <v>28</v>
      </c>
      <c r="Q321" t="s">
        <v>29</v>
      </c>
      <c r="R321" t="s">
        <v>28</v>
      </c>
      <c r="S321" t="s">
        <v>1574</v>
      </c>
      <c r="T321" t="s">
        <v>1575</v>
      </c>
      <c r="U321" t="s">
        <v>60</v>
      </c>
      <c r="V321" t="s">
        <v>60</v>
      </c>
      <c r="W321" t="s">
        <v>1137</v>
      </c>
      <c r="X321" t="s">
        <v>34</v>
      </c>
      <c r="Y321" t="str">
        <f>"774501789   "</f>
        <v xml:space="preserve">774501789   </v>
      </c>
    </row>
    <row r="322" spans="1:25" x14ac:dyDescent="0.25">
      <c r="A322" t="s">
        <v>1576</v>
      </c>
      <c r="B322" t="s">
        <v>1577</v>
      </c>
      <c r="C322">
        <v>2021</v>
      </c>
      <c r="D322">
        <v>8001</v>
      </c>
      <c r="E322">
        <v>1</v>
      </c>
      <c r="F322" t="s">
        <v>1578</v>
      </c>
      <c r="G322">
        <v>30792780</v>
      </c>
      <c r="J322">
        <v>17.39</v>
      </c>
      <c r="L322">
        <v>49743464</v>
      </c>
      <c r="M322" s="1">
        <v>44592</v>
      </c>
      <c r="N322" t="str">
        <f>"O220131C7"</f>
        <v>O220131C7</v>
      </c>
      <c r="O322" t="s">
        <v>28</v>
      </c>
      <c r="Q322" t="s">
        <v>29</v>
      </c>
      <c r="R322" t="s">
        <v>28</v>
      </c>
      <c r="S322" t="s">
        <v>1579</v>
      </c>
      <c r="T322" t="s">
        <v>1580</v>
      </c>
      <c r="W322" t="s">
        <v>75</v>
      </c>
      <c r="X322" t="s">
        <v>34</v>
      </c>
      <c r="Y322" t="str">
        <f>"770533576"</f>
        <v>770533576</v>
      </c>
    </row>
    <row r="323" spans="1:25" x14ac:dyDescent="0.25">
      <c r="A323" t="s">
        <v>1581</v>
      </c>
      <c r="B323" t="s">
        <v>1582</v>
      </c>
      <c r="C323">
        <v>2020</v>
      </c>
      <c r="D323">
        <v>8001</v>
      </c>
      <c r="E323">
        <v>4</v>
      </c>
      <c r="F323" t="s">
        <v>1583</v>
      </c>
      <c r="G323">
        <v>29955096</v>
      </c>
      <c r="J323">
        <v>13.78</v>
      </c>
      <c r="L323">
        <v>47678389</v>
      </c>
      <c r="M323" s="1">
        <v>44412</v>
      </c>
      <c r="N323" t="str">
        <f>"CC410804"</f>
        <v>CC410804</v>
      </c>
      <c r="O323" t="s">
        <v>28</v>
      </c>
      <c r="Q323" t="s">
        <v>29</v>
      </c>
      <c r="R323" t="s">
        <v>28</v>
      </c>
      <c r="S323" t="s">
        <v>1584</v>
      </c>
      <c r="T323" t="s">
        <v>1585</v>
      </c>
      <c r="W323" t="s">
        <v>75</v>
      </c>
      <c r="X323" t="s">
        <v>34</v>
      </c>
      <c r="Y323" t="str">
        <f>"77053"</f>
        <v>77053</v>
      </c>
    </row>
    <row r="324" spans="1:25" x14ac:dyDescent="0.25">
      <c r="A324" t="s">
        <v>1586</v>
      </c>
      <c r="B324" t="s">
        <v>1587</v>
      </c>
      <c r="C324">
        <v>2020</v>
      </c>
      <c r="D324">
        <v>8001</v>
      </c>
      <c r="E324">
        <v>1</v>
      </c>
      <c r="F324" t="s">
        <v>1588</v>
      </c>
      <c r="G324">
        <v>29489579</v>
      </c>
      <c r="J324">
        <v>121.3</v>
      </c>
      <c r="L324">
        <v>46782279</v>
      </c>
      <c r="M324" s="1">
        <v>44231</v>
      </c>
      <c r="N324" t="str">
        <f>"CC210204"</f>
        <v>CC210204</v>
      </c>
      <c r="O324" t="s">
        <v>28</v>
      </c>
      <c r="Q324" t="s">
        <v>29</v>
      </c>
      <c r="R324" t="s">
        <v>28</v>
      </c>
      <c r="S324" t="s">
        <v>1589</v>
      </c>
      <c r="T324" t="s">
        <v>1590</v>
      </c>
      <c r="W324" t="s">
        <v>75</v>
      </c>
      <c r="X324" t="s">
        <v>34</v>
      </c>
      <c r="Y324" t="str">
        <f>"77053"</f>
        <v>77053</v>
      </c>
    </row>
    <row r="325" spans="1:25" x14ac:dyDescent="0.25">
      <c r="A325" t="s">
        <v>1591</v>
      </c>
      <c r="B325" t="s">
        <v>1592</v>
      </c>
      <c r="C325">
        <v>2021</v>
      </c>
      <c r="D325">
        <v>8001</v>
      </c>
      <c r="E325">
        <v>1</v>
      </c>
      <c r="F325" t="s">
        <v>1593</v>
      </c>
      <c r="G325">
        <v>0</v>
      </c>
      <c r="J325">
        <v>16.34</v>
      </c>
      <c r="L325">
        <v>50202397</v>
      </c>
      <c r="M325" s="1">
        <v>44614</v>
      </c>
      <c r="N325" t="str">
        <f>"J220222K1"</f>
        <v>J220222K1</v>
      </c>
      <c r="O325" t="s">
        <v>28</v>
      </c>
      <c r="Q325" t="s">
        <v>29</v>
      </c>
      <c r="R325" t="s">
        <v>28</v>
      </c>
      <c r="S325" t="s">
        <v>1593</v>
      </c>
      <c r="T325" t="s">
        <v>1594</v>
      </c>
      <c r="U325" t="s">
        <v>60</v>
      </c>
      <c r="V325" t="s">
        <v>60</v>
      </c>
      <c r="W325" t="s">
        <v>135</v>
      </c>
      <c r="X325" t="s">
        <v>34</v>
      </c>
      <c r="Y325" t="str">
        <f>"770534318   "</f>
        <v xml:space="preserve">770534318   </v>
      </c>
    </row>
    <row r="326" spans="1:25" x14ac:dyDescent="0.25">
      <c r="A326" t="s">
        <v>1595</v>
      </c>
      <c r="B326" t="s">
        <v>1596</v>
      </c>
      <c r="C326">
        <v>2019</v>
      </c>
      <c r="D326">
        <v>8001</v>
      </c>
      <c r="E326">
        <v>3</v>
      </c>
      <c r="F326" t="s">
        <v>1597</v>
      </c>
      <c r="G326">
        <v>0</v>
      </c>
      <c r="J326">
        <v>6.71</v>
      </c>
      <c r="L326">
        <v>41711504</v>
      </c>
      <c r="M326" s="1">
        <v>43768</v>
      </c>
      <c r="N326" t="str">
        <f>"J191030AW2"</f>
        <v>J191030AW2</v>
      </c>
      <c r="O326" t="s">
        <v>28</v>
      </c>
      <c r="Q326" t="s">
        <v>29</v>
      </c>
      <c r="R326" t="s">
        <v>28</v>
      </c>
      <c r="S326" t="s">
        <v>1597</v>
      </c>
      <c r="T326" t="s">
        <v>1598</v>
      </c>
      <c r="U326" t="s">
        <v>60</v>
      </c>
      <c r="V326" t="s">
        <v>60</v>
      </c>
      <c r="W326" t="s">
        <v>135</v>
      </c>
      <c r="X326" t="s">
        <v>34</v>
      </c>
      <c r="Y326" t="str">
        <f>"770534322   "</f>
        <v xml:space="preserve">770534322   </v>
      </c>
    </row>
    <row r="327" spans="1:25" x14ac:dyDescent="0.25">
      <c r="A327" t="s">
        <v>1599</v>
      </c>
      <c r="B327" t="s">
        <v>1600</v>
      </c>
      <c r="C327">
        <v>2020</v>
      </c>
      <c r="D327">
        <v>8001</v>
      </c>
      <c r="E327">
        <v>13</v>
      </c>
      <c r="F327" t="s">
        <v>1601</v>
      </c>
      <c r="G327">
        <v>27268118</v>
      </c>
      <c r="J327">
        <v>225.89</v>
      </c>
      <c r="L327">
        <v>44386399</v>
      </c>
      <c r="M327" s="1">
        <v>44147</v>
      </c>
      <c r="N327" t="str">
        <f>"TE201112"</f>
        <v>TE201112</v>
      </c>
      <c r="O327" t="s">
        <v>28</v>
      </c>
      <c r="Q327" t="s">
        <v>29</v>
      </c>
      <c r="R327" t="s">
        <v>28</v>
      </c>
      <c r="S327" t="s">
        <v>1602</v>
      </c>
      <c r="T327" t="s">
        <v>1603</v>
      </c>
      <c r="W327" t="s">
        <v>75</v>
      </c>
      <c r="X327" t="s">
        <v>34</v>
      </c>
      <c r="Y327" t="str">
        <f>"770534347"</f>
        <v>770534347</v>
      </c>
    </row>
    <row r="328" spans="1:25" x14ac:dyDescent="0.25">
      <c r="A328" t="s">
        <v>1599</v>
      </c>
      <c r="B328" t="s">
        <v>1600</v>
      </c>
      <c r="C328">
        <v>2020</v>
      </c>
      <c r="D328">
        <v>8001</v>
      </c>
      <c r="E328">
        <v>13</v>
      </c>
      <c r="F328" t="s">
        <v>1601</v>
      </c>
      <c r="G328">
        <v>27268118</v>
      </c>
      <c r="J328">
        <v>300</v>
      </c>
      <c r="L328">
        <v>44485830</v>
      </c>
      <c r="M328" s="1">
        <v>44147</v>
      </c>
      <c r="N328" t="str">
        <f>"TE201112"</f>
        <v>TE201112</v>
      </c>
      <c r="O328" t="s">
        <v>28</v>
      </c>
      <c r="Q328" t="s">
        <v>29</v>
      </c>
      <c r="R328" t="s">
        <v>28</v>
      </c>
      <c r="S328" t="s">
        <v>1602</v>
      </c>
      <c r="T328" t="s">
        <v>1603</v>
      </c>
      <c r="W328" t="s">
        <v>75</v>
      </c>
      <c r="X328" t="s">
        <v>34</v>
      </c>
      <c r="Y328" t="str">
        <f>"770534347"</f>
        <v>770534347</v>
      </c>
    </row>
    <row r="329" spans="1:25" x14ac:dyDescent="0.25">
      <c r="A329" t="s">
        <v>1599</v>
      </c>
      <c r="B329" t="s">
        <v>1600</v>
      </c>
      <c r="C329">
        <v>2020</v>
      </c>
      <c r="D329">
        <v>8001</v>
      </c>
      <c r="E329">
        <v>13</v>
      </c>
      <c r="F329" t="s">
        <v>1601</v>
      </c>
      <c r="G329">
        <v>27268118</v>
      </c>
      <c r="J329">
        <v>200</v>
      </c>
      <c r="L329">
        <v>44536002</v>
      </c>
      <c r="M329" s="1">
        <v>44147</v>
      </c>
      <c r="N329" t="str">
        <f>"TE201112"</f>
        <v>TE201112</v>
      </c>
      <c r="O329" t="s">
        <v>28</v>
      </c>
      <c r="Q329" t="s">
        <v>29</v>
      </c>
      <c r="R329" t="s">
        <v>28</v>
      </c>
      <c r="S329" t="s">
        <v>1602</v>
      </c>
      <c r="T329" t="s">
        <v>1603</v>
      </c>
      <c r="W329" t="s">
        <v>75</v>
      </c>
      <c r="X329" t="s">
        <v>34</v>
      </c>
      <c r="Y329" t="str">
        <f>"770534347"</f>
        <v>770534347</v>
      </c>
    </row>
    <row r="330" spans="1:25" x14ac:dyDescent="0.25">
      <c r="A330" t="s">
        <v>1604</v>
      </c>
      <c r="B330" t="s">
        <v>1605</v>
      </c>
      <c r="C330">
        <v>2021</v>
      </c>
      <c r="D330">
        <v>8001</v>
      </c>
      <c r="E330">
        <v>1</v>
      </c>
      <c r="F330" t="s">
        <v>1606</v>
      </c>
      <c r="G330">
        <v>31036080</v>
      </c>
      <c r="J330">
        <v>604.6</v>
      </c>
      <c r="L330">
        <v>49604388</v>
      </c>
      <c r="M330" s="1">
        <v>44588</v>
      </c>
      <c r="N330" t="str">
        <f>"RC220309"</f>
        <v>RC220309</v>
      </c>
      <c r="O330" t="s">
        <v>28</v>
      </c>
      <c r="Q330" t="s">
        <v>29</v>
      </c>
      <c r="R330" t="s">
        <v>28</v>
      </c>
      <c r="S330" t="s">
        <v>1607</v>
      </c>
      <c r="T330" t="s">
        <v>1608</v>
      </c>
      <c r="W330" t="s">
        <v>75</v>
      </c>
      <c r="X330" t="s">
        <v>34</v>
      </c>
      <c r="Y330" t="str">
        <f>"77082"</f>
        <v>77082</v>
      </c>
    </row>
    <row r="331" spans="1:25" x14ac:dyDescent="0.25">
      <c r="A331" t="s">
        <v>1609</v>
      </c>
      <c r="B331" t="s">
        <v>1610</v>
      </c>
      <c r="C331">
        <v>2020</v>
      </c>
      <c r="D331">
        <v>8001</v>
      </c>
      <c r="E331">
        <v>1</v>
      </c>
      <c r="F331" t="s">
        <v>1611</v>
      </c>
      <c r="G331">
        <v>29896683</v>
      </c>
      <c r="J331">
        <v>237.48</v>
      </c>
      <c r="L331">
        <v>47568755</v>
      </c>
      <c r="M331" s="1">
        <v>44377</v>
      </c>
      <c r="N331" t="str">
        <f>"O210630V1"</f>
        <v>O210630V1</v>
      </c>
      <c r="O331" t="s">
        <v>28</v>
      </c>
      <c r="Q331" t="s">
        <v>29</v>
      </c>
      <c r="R331" t="s">
        <v>28</v>
      </c>
      <c r="S331" t="s">
        <v>1612</v>
      </c>
      <c r="T331" t="s">
        <v>1613</v>
      </c>
      <c r="U331" t="s">
        <v>1614</v>
      </c>
      <c r="W331" t="s">
        <v>1615</v>
      </c>
      <c r="X331" t="s">
        <v>143</v>
      </c>
      <c r="Y331" t="str">
        <f>"191156320"</f>
        <v>191156320</v>
      </c>
    </row>
    <row r="332" spans="1:25" x14ac:dyDescent="0.25">
      <c r="A332" t="s">
        <v>1616</v>
      </c>
      <c r="B332" t="s">
        <v>1617</v>
      </c>
      <c r="C332">
        <v>2018</v>
      </c>
      <c r="D332">
        <v>8001</v>
      </c>
      <c r="E332">
        <v>1</v>
      </c>
      <c r="F332" t="s">
        <v>1618</v>
      </c>
      <c r="G332">
        <v>27328775</v>
      </c>
      <c r="J332">
        <v>48.03</v>
      </c>
      <c r="L332">
        <v>41063816</v>
      </c>
      <c r="M332" s="1">
        <v>43558</v>
      </c>
      <c r="N332" t="str">
        <f>"EK190403"</f>
        <v>EK190403</v>
      </c>
      <c r="O332" t="s">
        <v>28</v>
      </c>
      <c r="Q332" t="s">
        <v>29</v>
      </c>
      <c r="R332" t="s">
        <v>28</v>
      </c>
      <c r="S332" t="s">
        <v>1619</v>
      </c>
      <c r="T332" t="s">
        <v>1620</v>
      </c>
      <c r="W332" t="s">
        <v>75</v>
      </c>
      <c r="X332" t="s">
        <v>34</v>
      </c>
      <c r="Y332" t="str">
        <f>"77083"</f>
        <v>77083</v>
      </c>
    </row>
    <row r="333" spans="1:25" x14ac:dyDescent="0.25">
      <c r="A333" t="s">
        <v>1621</v>
      </c>
      <c r="B333" t="s">
        <v>1622</v>
      </c>
      <c r="C333">
        <v>2018</v>
      </c>
      <c r="D333">
        <v>8001</v>
      </c>
      <c r="E333">
        <v>1</v>
      </c>
      <c r="F333" t="s">
        <v>1623</v>
      </c>
      <c r="G333">
        <v>27409607</v>
      </c>
      <c r="J333">
        <v>50</v>
      </c>
      <c r="L333">
        <v>41239223</v>
      </c>
      <c r="M333" s="1">
        <v>43613</v>
      </c>
      <c r="N333" t="str">
        <f>"O190528BT1"</f>
        <v>O190528BT1</v>
      </c>
      <c r="O333" t="s">
        <v>28</v>
      </c>
      <c r="Q333" t="s">
        <v>29</v>
      </c>
      <c r="R333" t="s">
        <v>28</v>
      </c>
      <c r="S333" t="s">
        <v>1624</v>
      </c>
      <c r="T333" t="s">
        <v>1625</v>
      </c>
      <c r="W333" t="s">
        <v>40</v>
      </c>
      <c r="X333" t="s">
        <v>34</v>
      </c>
      <c r="Y333" t="str">
        <f>"774987598"</f>
        <v>774987598</v>
      </c>
    </row>
    <row r="334" spans="1:25" x14ac:dyDescent="0.25">
      <c r="A334" t="s">
        <v>1626</v>
      </c>
      <c r="B334" t="s">
        <v>1627</v>
      </c>
      <c r="C334">
        <v>2021</v>
      </c>
      <c r="D334">
        <v>8001</v>
      </c>
      <c r="E334">
        <v>1</v>
      </c>
      <c r="F334" t="s">
        <v>1628</v>
      </c>
      <c r="G334">
        <v>30818821</v>
      </c>
      <c r="J334">
        <v>398.22</v>
      </c>
      <c r="L334">
        <v>49798421</v>
      </c>
      <c r="M334" s="1">
        <v>44593</v>
      </c>
      <c r="N334" t="str">
        <f>"O220201AG5"</f>
        <v>O220201AG5</v>
      </c>
      <c r="O334" t="s">
        <v>28</v>
      </c>
      <c r="Q334" t="s">
        <v>29</v>
      </c>
      <c r="R334" t="s">
        <v>28</v>
      </c>
      <c r="S334" t="s">
        <v>1629</v>
      </c>
      <c r="T334" t="s">
        <v>1630</v>
      </c>
      <c r="W334" t="s">
        <v>392</v>
      </c>
      <c r="X334" t="s">
        <v>34</v>
      </c>
      <c r="Y334" t="str">
        <f>"77459"</f>
        <v>77459</v>
      </c>
    </row>
    <row r="335" spans="1:25" x14ac:dyDescent="0.25">
      <c r="A335" t="s">
        <v>1631</v>
      </c>
      <c r="B335" t="s">
        <v>1632</v>
      </c>
      <c r="C335">
        <v>2020</v>
      </c>
      <c r="D335">
        <v>8001</v>
      </c>
      <c r="E335">
        <v>1</v>
      </c>
      <c r="F335" t="s">
        <v>1633</v>
      </c>
      <c r="G335">
        <v>29576642</v>
      </c>
      <c r="J335">
        <v>349.07</v>
      </c>
      <c r="L335">
        <v>46673584</v>
      </c>
      <c r="M335" s="1">
        <v>44229</v>
      </c>
      <c r="N335" t="str">
        <f>"RC210301"</f>
        <v>RC210301</v>
      </c>
      <c r="O335" t="s">
        <v>28</v>
      </c>
      <c r="Q335" t="s">
        <v>29</v>
      </c>
      <c r="R335" t="s">
        <v>28</v>
      </c>
      <c r="S335" t="s">
        <v>1634</v>
      </c>
      <c r="T335" t="s">
        <v>1635</v>
      </c>
      <c r="U335" t="s">
        <v>1636</v>
      </c>
      <c r="W335" t="s">
        <v>75</v>
      </c>
      <c r="X335" t="s">
        <v>34</v>
      </c>
      <c r="Y335" t="str">
        <f>"77089"</f>
        <v>77089</v>
      </c>
    </row>
    <row r="336" spans="1:25" x14ac:dyDescent="0.25">
      <c r="A336" t="s">
        <v>1637</v>
      </c>
      <c r="B336" t="s">
        <v>1638</v>
      </c>
      <c r="C336">
        <v>2020</v>
      </c>
      <c r="D336">
        <v>8001</v>
      </c>
      <c r="E336">
        <v>1</v>
      </c>
      <c r="F336" t="s">
        <v>1639</v>
      </c>
      <c r="G336">
        <v>29461851</v>
      </c>
      <c r="J336">
        <v>247.47</v>
      </c>
      <c r="L336">
        <v>46728851</v>
      </c>
      <c r="M336" s="1">
        <v>44230</v>
      </c>
      <c r="N336" t="str">
        <f>"EK210203"</f>
        <v>EK210203</v>
      </c>
      <c r="O336" t="s">
        <v>28</v>
      </c>
      <c r="Q336" t="s">
        <v>29</v>
      </c>
      <c r="R336" t="s">
        <v>28</v>
      </c>
      <c r="S336" t="s">
        <v>1640</v>
      </c>
      <c r="T336" t="s">
        <v>1641</v>
      </c>
      <c r="W336" t="s">
        <v>81</v>
      </c>
      <c r="X336" t="s">
        <v>34</v>
      </c>
      <c r="Y336" t="str">
        <f>"77469"</f>
        <v>77469</v>
      </c>
    </row>
    <row r="337" spans="1:25" x14ac:dyDescent="0.25">
      <c r="A337" t="s">
        <v>1642</v>
      </c>
      <c r="B337" t="s">
        <v>1643</v>
      </c>
      <c r="C337">
        <v>2020</v>
      </c>
      <c r="D337">
        <v>8001</v>
      </c>
      <c r="E337">
        <v>2</v>
      </c>
      <c r="F337" t="s">
        <v>1644</v>
      </c>
      <c r="G337">
        <v>0</v>
      </c>
      <c r="J337">
        <v>23.52</v>
      </c>
      <c r="L337">
        <v>47046493</v>
      </c>
      <c r="M337" s="1">
        <v>44260</v>
      </c>
      <c r="N337" t="str">
        <f>"J210305BW6"</f>
        <v>J210305BW6</v>
      </c>
      <c r="O337" t="s">
        <v>28</v>
      </c>
      <c r="Q337" t="s">
        <v>29</v>
      </c>
      <c r="R337" t="s">
        <v>28</v>
      </c>
      <c r="S337" t="s">
        <v>1644</v>
      </c>
      <c r="T337" t="s">
        <v>1645</v>
      </c>
      <c r="U337" t="s">
        <v>60</v>
      </c>
      <c r="V337" t="s">
        <v>60</v>
      </c>
      <c r="W337" t="s">
        <v>214</v>
      </c>
      <c r="X337" t="s">
        <v>34</v>
      </c>
      <c r="Y337" t="str">
        <f>"774696223   "</f>
        <v xml:space="preserve">774696223   </v>
      </c>
    </row>
    <row r="338" spans="1:25" x14ac:dyDescent="0.25">
      <c r="A338" t="s">
        <v>1646</v>
      </c>
      <c r="B338" t="s">
        <v>1647</v>
      </c>
      <c r="C338">
        <v>2020</v>
      </c>
      <c r="D338">
        <v>8001</v>
      </c>
      <c r="E338">
        <v>1</v>
      </c>
      <c r="F338" t="s">
        <v>1648</v>
      </c>
      <c r="G338">
        <v>29489543</v>
      </c>
      <c r="J338">
        <v>95.04</v>
      </c>
      <c r="L338">
        <v>46782242</v>
      </c>
      <c r="M338" s="1">
        <v>44231</v>
      </c>
      <c r="N338" t="str">
        <f>"CC210204"</f>
        <v>CC210204</v>
      </c>
      <c r="O338" t="s">
        <v>28</v>
      </c>
      <c r="Q338" t="s">
        <v>29</v>
      </c>
      <c r="R338" t="s">
        <v>28</v>
      </c>
      <c r="S338" t="s">
        <v>1649</v>
      </c>
      <c r="T338" t="s">
        <v>1650</v>
      </c>
      <c r="W338" t="s">
        <v>81</v>
      </c>
      <c r="X338" t="s">
        <v>34</v>
      </c>
      <c r="Y338" t="str">
        <f>"77469"</f>
        <v>77469</v>
      </c>
    </row>
    <row r="339" spans="1:25" x14ac:dyDescent="0.25">
      <c r="A339" t="s">
        <v>1651</v>
      </c>
      <c r="B339" t="s">
        <v>1652</v>
      </c>
      <c r="C339">
        <v>2020</v>
      </c>
      <c r="D339">
        <v>8001</v>
      </c>
      <c r="E339">
        <v>1</v>
      </c>
      <c r="F339" t="s">
        <v>1653</v>
      </c>
      <c r="G339">
        <v>29489544</v>
      </c>
      <c r="J339">
        <v>95.02</v>
      </c>
      <c r="L339">
        <v>46782243</v>
      </c>
      <c r="M339" s="1">
        <v>44231</v>
      </c>
      <c r="N339" t="str">
        <f>"CC210204"</f>
        <v>CC210204</v>
      </c>
      <c r="O339" t="s">
        <v>28</v>
      </c>
      <c r="Q339" t="s">
        <v>29</v>
      </c>
      <c r="R339" t="s">
        <v>28</v>
      </c>
      <c r="S339" t="s">
        <v>1649</v>
      </c>
      <c r="T339" t="s">
        <v>1650</v>
      </c>
      <c r="W339" t="s">
        <v>81</v>
      </c>
      <c r="X339" t="s">
        <v>34</v>
      </c>
      <c r="Y339" t="str">
        <f>"77469"</f>
        <v>77469</v>
      </c>
    </row>
    <row r="340" spans="1:25" x14ac:dyDescent="0.25">
      <c r="A340" t="s">
        <v>1654</v>
      </c>
      <c r="B340" t="s">
        <v>1655</v>
      </c>
      <c r="C340">
        <v>2020</v>
      </c>
      <c r="D340">
        <v>8001</v>
      </c>
      <c r="E340">
        <v>1</v>
      </c>
      <c r="F340" t="s">
        <v>1656</v>
      </c>
      <c r="G340">
        <v>29489545</v>
      </c>
      <c r="J340">
        <v>108.11</v>
      </c>
      <c r="L340">
        <v>46782244</v>
      </c>
      <c r="M340" s="1">
        <v>44231</v>
      </c>
      <c r="N340" t="str">
        <f>"CC210204"</f>
        <v>CC210204</v>
      </c>
      <c r="O340" t="s">
        <v>28</v>
      </c>
      <c r="Q340" t="s">
        <v>29</v>
      </c>
      <c r="R340" t="s">
        <v>28</v>
      </c>
      <c r="S340" t="s">
        <v>1649</v>
      </c>
      <c r="T340" t="s">
        <v>1650</v>
      </c>
      <c r="W340" t="s">
        <v>81</v>
      </c>
      <c r="X340" t="s">
        <v>34</v>
      </c>
      <c r="Y340" t="str">
        <f>"77469"</f>
        <v>77469</v>
      </c>
    </row>
    <row r="341" spans="1:25" x14ac:dyDescent="0.25">
      <c r="A341" t="s">
        <v>1657</v>
      </c>
      <c r="B341" t="s">
        <v>1658</v>
      </c>
      <c r="C341">
        <v>2020</v>
      </c>
      <c r="D341">
        <v>8001</v>
      </c>
      <c r="E341">
        <v>1</v>
      </c>
      <c r="F341" t="s">
        <v>1659</v>
      </c>
      <c r="G341">
        <v>29095552</v>
      </c>
      <c r="J341">
        <v>182.63</v>
      </c>
      <c r="L341">
        <v>45519523</v>
      </c>
      <c r="M341" s="1">
        <v>44194</v>
      </c>
      <c r="N341" t="str">
        <f>"RC210115"</f>
        <v>RC210115</v>
      </c>
      <c r="O341" t="s">
        <v>28</v>
      </c>
      <c r="Q341" t="s">
        <v>29</v>
      </c>
      <c r="R341" t="s">
        <v>28</v>
      </c>
      <c r="S341" t="s">
        <v>1660</v>
      </c>
      <c r="T341" t="s">
        <v>1661</v>
      </c>
      <c r="U341" t="s">
        <v>1662</v>
      </c>
      <c r="W341" t="s">
        <v>81</v>
      </c>
      <c r="X341" t="s">
        <v>34</v>
      </c>
      <c r="Y341" t="str">
        <f>"77469"</f>
        <v>77469</v>
      </c>
    </row>
    <row r="342" spans="1:25" x14ac:dyDescent="0.25">
      <c r="A342" t="s">
        <v>1663</v>
      </c>
      <c r="B342" t="s">
        <v>1664</v>
      </c>
      <c r="C342">
        <v>2019</v>
      </c>
      <c r="D342">
        <v>8001</v>
      </c>
      <c r="E342">
        <v>1</v>
      </c>
      <c r="F342" t="s">
        <v>1665</v>
      </c>
      <c r="G342">
        <v>0</v>
      </c>
      <c r="J342">
        <v>67.400000000000006</v>
      </c>
      <c r="L342">
        <v>44049844</v>
      </c>
      <c r="M342" s="1">
        <v>43930</v>
      </c>
      <c r="N342" t="str">
        <f>"J200409F16"</f>
        <v>J200409F16</v>
      </c>
      <c r="O342" t="s">
        <v>28</v>
      </c>
      <c r="Q342" t="s">
        <v>29</v>
      </c>
      <c r="R342" t="s">
        <v>28</v>
      </c>
      <c r="S342" t="s">
        <v>1665</v>
      </c>
      <c r="T342" t="s">
        <v>1666</v>
      </c>
      <c r="U342" t="s">
        <v>60</v>
      </c>
      <c r="V342" t="s">
        <v>60</v>
      </c>
      <c r="W342" t="s">
        <v>214</v>
      </c>
      <c r="X342" t="s">
        <v>34</v>
      </c>
      <c r="Y342" t="str">
        <f>"774067264   "</f>
        <v xml:space="preserve">774067264   </v>
      </c>
    </row>
    <row r="343" spans="1:25" x14ac:dyDescent="0.25">
      <c r="A343" t="s">
        <v>1667</v>
      </c>
      <c r="B343" t="s">
        <v>1668</v>
      </c>
      <c r="C343">
        <v>2020</v>
      </c>
      <c r="D343">
        <v>8001</v>
      </c>
      <c r="E343">
        <v>2</v>
      </c>
      <c r="F343" t="s">
        <v>1669</v>
      </c>
      <c r="G343">
        <v>29448469</v>
      </c>
      <c r="J343">
        <v>48.07</v>
      </c>
      <c r="L343">
        <v>47194453</v>
      </c>
      <c r="M343" s="1">
        <v>44284</v>
      </c>
      <c r="N343" t="str">
        <f>"RC210414"</f>
        <v>RC210414</v>
      </c>
      <c r="O343" t="s">
        <v>28</v>
      </c>
      <c r="Q343" t="s">
        <v>29</v>
      </c>
      <c r="R343" t="s">
        <v>28</v>
      </c>
      <c r="S343" t="s">
        <v>1033</v>
      </c>
      <c r="T343" t="s">
        <v>1034</v>
      </c>
      <c r="W343" t="s">
        <v>168</v>
      </c>
      <c r="X343" t="s">
        <v>169</v>
      </c>
      <c r="Y343" t="str">
        <f>"801114720"</f>
        <v>801114720</v>
      </c>
    </row>
    <row r="344" spans="1:25" x14ac:dyDescent="0.25">
      <c r="A344" t="s">
        <v>1667</v>
      </c>
      <c r="B344" t="s">
        <v>1668</v>
      </c>
      <c r="C344">
        <v>2020</v>
      </c>
      <c r="D344">
        <v>8001</v>
      </c>
      <c r="E344">
        <v>2</v>
      </c>
      <c r="F344" t="s">
        <v>1669</v>
      </c>
      <c r="G344">
        <v>29608112</v>
      </c>
      <c r="J344">
        <v>756.96</v>
      </c>
      <c r="L344">
        <v>47194454</v>
      </c>
      <c r="M344" s="1">
        <v>44284</v>
      </c>
      <c r="N344" t="str">
        <f>"RC210414"</f>
        <v>RC210414</v>
      </c>
      <c r="O344" t="s">
        <v>28</v>
      </c>
      <c r="Q344" t="s">
        <v>29</v>
      </c>
      <c r="R344" t="s">
        <v>28</v>
      </c>
      <c r="S344" t="s">
        <v>1670</v>
      </c>
      <c r="T344" t="s">
        <v>1015</v>
      </c>
      <c r="W344" t="s">
        <v>563</v>
      </c>
      <c r="X344" t="s">
        <v>34</v>
      </c>
      <c r="Y344" t="str">
        <f>"750630156"</f>
        <v>750630156</v>
      </c>
    </row>
    <row r="345" spans="1:25" x14ac:dyDescent="0.25">
      <c r="A345" t="s">
        <v>1671</v>
      </c>
      <c r="B345" t="s">
        <v>1672</v>
      </c>
      <c r="C345">
        <v>2019</v>
      </c>
      <c r="D345">
        <v>8001</v>
      </c>
      <c r="E345">
        <v>1</v>
      </c>
      <c r="F345" t="s">
        <v>1673</v>
      </c>
      <c r="G345">
        <v>0</v>
      </c>
      <c r="J345">
        <v>21.71</v>
      </c>
      <c r="L345">
        <v>44048621</v>
      </c>
      <c r="M345" s="1">
        <v>43930</v>
      </c>
      <c r="N345" t="str">
        <f>"J200409F12"</f>
        <v>J200409F12</v>
      </c>
      <c r="O345" t="s">
        <v>28</v>
      </c>
      <c r="Q345" t="s">
        <v>29</v>
      </c>
      <c r="R345" t="s">
        <v>28</v>
      </c>
      <c r="S345" t="s">
        <v>1673</v>
      </c>
      <c r="T345" t="s">
        <v>1674</v>
      </c>
      <c r="U345" t="s">
        <v>1675</v>
      </c>
      <c r="V345" t="s">
        <v>60</v>
      </c>
      <c r="W345" t="s">
        <v>1137</v>
      </c>
      <c r="X345" t="s">
        <v>34</v>
      </c>
      <c r="Y345" t="str">
        <f>"774506233   "</f>
        <v xml:space="preserve">774506233   </v>
      </c>
    </row>
    <row r="346" spans="1:25" x14ac:dyDescent="0.25">
      <c r="A346" t="s">
        <v>1676</v>
      </c>
      <c r="B346" t="s">
        <v>1677</v>
      </c>
      <c r="C346">
        <v>2020</v>
      </c>
      <c r="D346">
        <v>8001</v>
      </c>
      <c r="E346">
        <v>1</v>
      </c>
      <c r="F346" t="s">
        <v>1678</v>
      </c>
      <c r="G346">
        <v>29974054</v>
      </c>
      <c r="J346">
        <v>75.209999999999994</v>
      </c>
      <c r="L346">
        <v>47692939</v>
      </c>
      <c r="M346" s="1">
        <v>44419</v>
      </c>
      <c r="N346" t="str">
        <f>"RC210820"</f>
        <v>RC210820</v>
      </c>
      <c r="O346" t="s">
        <v>28</v>
      </c>
      <c r="Q346" t="s">
        <v>29</v>
      </c>
      <c r="R346" t="s">
        <v>28</v>
      </c>
      <c r="S346" t="s">
        <v>1679</v>
      </c>
      <c r="T346" t="s">
        <v>203</v>
      </c>
      <c r="U346" t="s">
        <v>1680</v>
      </c>
      <c r="V346" t="s">
        <v>1681</v>
      </c>
      <c r="W346" t="s">
        <v>75</v>
      </c>
      <c r="X346" t="s">
        <v>34</v>
      </c>
      <c r="Y346" t="str">
        <f>"77056"</f>
        <v>77056</v>
      </c>
    </row>
    <row r="347" spans="1:25" x14ac:dyDescent="0.25">
      <c r="A347" t="s">
        <v>1682</v>
      </c>
      <c r="B347" t="s">
        <v>1683</v>
      </c>
      <c r="C347">
        <v>2019</v>
      </c>
      <c r="D347">
        <v>8001</v>
      </c>
      <c r="E347">
        <v>2</v>
      </c>
      <c r="F347" t="s">
        <v>1684</v>
      </c>
      <c r="G347">
        <v>28021741</v>
      </c>
      <c r="J347">
        <v>179.82</v>
      </c>
      <c r="L347">
        <v>43226555</v>
      </c>
      <c r="M347" s="1">
        <v>43858</v>
      </c>
      <c r="N347" t="str">
        <f>"J200128AW2"</f>
        <v>J200128AW2</v>
      </c>
      <c r="O347" t="s">
        <v>28</v>
      </c>
      <c r="Q347" t="s">
        <v>29</v>
      </c>
      <c r="R347" t="s">
        <v>28</v>
      </c>
      <c r="S347" t="s">
        <v>1326</v>
      </c>
      <c r="T347" t="s">
        <v>1685</v>
      </c>
      <c r="U347" t="s">
        <v>1327</v>
      </c>
      <c r="W347" t="s">
        <v>1328</v>
      </c>
      <c r="X347" t="s">
        <v>162</v>
      </c>
      <c r="Y347" t="str">
        <f>"08054"</f>
        <v>08054</v>
      </c>
    </row>
    <row r="348" spans="1:25" x14ac:dyDescent="0.25">
      <c r="A348" t="s">
        <v>1686</v>
      </c>
      <c r="B348" t="s">
        <v>1687</v>
      </c>
      <c r="C348">
        <v>2020</v>
      </c>
      <c r="D348">
        <v>8001</v>
      </c>
      <c r="E348">
        <v>1</v>
      </c>
      <c r="F348" t="s">
        <v>1688</v>
      </c>
      <c r="G348">
        <v>29461649</v>
      </c>
      <c r="J348">
        <v>416.18</v>
      </c>
      <c r="L348">
        <v>46728649</v>
      </c>
      <c r="M348" s="1">
        <v>44230</v>
      </c>
      <c r="N348" t="str">
        <f>"EK210203"</f>
        <v>EK210203</v>
      </c>
      <c r="O348" t="s">
        <v>28</v>
      </c>
      <c r="Q348" t="s">
        <v>29</v>
      </c>
      <c r="R348" t="s">
        <v>28</v>
      </c>
      <c r="S348" t="s">
        <v>1689</v>
      </c>
      <c r="T348" t="s">
        <v>1690</v>
      </c>
      <c r="W348" t="s">
        <v>107</v>
      </c>
      <c r="X348" t="s">
        <v>34</v>
      </c>
      <c r="Y348" t="str">
        <f>"77450"</f>
        <v>77450</v>
      </c>
    </row>
    <row r="349" spans="1:25" x14ac:dyDescent="0.25">
      <c r="A349" t="s">
        <v>1691</v>
      </c>
      <c r="B349" t="s">
        <v>1692</v>
      </c>
      <c r="C349">
        <v>2019</v>
      </c>
      <c r="D349">
        <v>8001</v>
      </c>
      <c r="E349">
        <v>1</v>
      </c>
      <c r="F349" t="s">
        <v>1693</v>
      </c>
      <c r="G349">
        <v>28305729</v>
      </c>
      <c r="J349">
        <v>139.38</v>
      </c>
      <c r="L349">
        <v>43875784</v>
      </c>
      <c r="M349" s="1">
        <v>43894</v>
      </c>
      <c r="N349" t="str">
        <f>"EK200304"</f>
        <v>EK200304</v>
      </c>
      <c r="O349" t="s">
        <v>28</v>
      </c>
      <c r="Q349" t="s">
        <v>29</v>
      </c>
      <c r="R349" t="s">
        <v>28</v>
      </c>
      <c r="S349" t="s">
        <v>1694</v>
      </c>
      <c r="T349" t="s">
        <v>1695</v>
      </c>
      <c r="W349" t="s">
        <v>107</v>
      </c>
      <c r="X349" t="s">
        <v>34</v>
      </c>
      <c r="Y349" t="str">
        <f>"77494"</f>
        <v>77494</v>
      </c>
    </row>
    <row r="350" spans="1:25" x14ac:dyDescent="0.25">
      <c r="A350" t="s">
        <v>1696</v>
      </c>
      <c r="B350" t="s">
        <v>1697</v>
      </c>
      <c r="C350">
        <v>2020</v>
      </c>
      <c r="D350">
        <v>8001</v>
      </c>
      <c r="E350">
        <v>2</v>
      </c>
      <c r="F350" t="s">
        <v>1698</v>
      </c>
      <c r="G350">
        <v>25586306</v>
      </c>
      <c r="J350">
        <v>20.8</v>
      </c>
      <c r="L350">
        <v>47728763</v>
      </c>
      <c r="M350" s="1">
        <v>44440</v>
      </c>
      <c r="N350" t="str">
        <f>"RC210915"</f>
        <v>RC210915</v>
      </c>
      <c r="O350" t="s">
        <v>28</v>
      </c>
      <c r="Q350" t="s">
        <v>29</v>
      </c>
      <c r="R350" t="s">
        <v>28</v>
      </c>
      <c r="S350" t="s">
        <v>1699</v>
      </c>
      <c r="U350" t="s">
        <v>1700</v>
      </c>
      <c r="V350" t="s">
        <v>562</v>
      </c>
      <c r="W350" t="s">
        <v>563</v>
      </c>
      <c r="X350" t="s">
        <v>34</v>
      </c>
      <c r="Y350" t="str">
        <f>"750630156"</f>
        <v>750630156</v>
      </c>
    </row>
    <row r="351" spans="1:25" x14ac:dyDescent="0.25">
      <c r="A351" t="s">
        <v>1701</v>
      </c>
      <c r="B351" t="s">
        <v>1702</v>
      </c>
      <c r="C351">
        <v>2020</v>
      </c>
      <c r="D351">
        <v>8001</v>
      </c>
      <c r="E351">
        <v>1</v>
      </c>
      <c r="F351" t="s">
        <v>1703</v>
      </c>
      <c r="G351">
        <v>29489548</v>
      </c>
      <c r="J351">
        <v>145.41</v>
      </c>
      <c r="L351">
        <v>46782247</v>
      </c>
      <c r="M351" s="1">
        <v>44231</v>
      </c>
      <c r="N351" t="str">
        <f>"CC210204"</f>
        <v>CC210204</v>
      </c>
      <c r="O351" t="s">
        <v>28</v>
      </c>
      <c r="Q351" t="s">
        <v>29</v>
      </c>
      <c r="R351" t="s">
        <v>28</v>
      </c>
      <c r="S351" t="s">
        <v>1649</v>
      </c>
      <c r="T351" t="s">
        <v>1650</v>
      </c>
      <c r="W351" t="s">
        <v>81</v>
      </c>
      <c r="X351" t="s">
        <v>34</v>
      </c>
      <c r="Y351" t="str">
        <f>"77469"</f>
        <v>77469</v>
      </c>
    </row>
    <row r="352" spans="1:25" x14ac:dyDescent="0.25">
      <c r="A352" t="s">
        <v>1704</v>
      </c>
      <c r="B352" t="s">
        <v>1705</v>
      </c>
      <c r="C352">
        <v>2020</v>
      </c>
      <c r="D352">
        <v>8001</v>
      </c>
      <c r="E352">
        <v>1</v>
      </c>
      <c r="F352" t="s">
        <v>1706</v>
      </c>
      <c r="G352">
        <v>29489549</v>
      </c>
      <c r="J352">
        <v>84.55</v>
      </c>
      <c r="L352">
        <v>46782248</v>
      </c>
      <c r="M352" s="1">
        <v>44231</v>
      </c>
      <c r="N352" t="str">
        <f>"CC210204"</f>
        <v>CC210204</v>
      </c>
      <c r="O352" t="s">
        <v>28</v>
      </c>
      <c r="Q352" t="s">
        <v>29</v>
      </c>
      <c r="R352" t="s">
        <v>28</v>
      </c>
      <c r="S352" t="s">
        <v>1649</v>
      </c>
      <c r="T352" t="s">
        <v>1650</v>
      </c>
      <c r="W352" t="s">
        <v>81</v>
      </c>
      <c r="X352" t="s">
        <v>34</v>
      </c>
      <c r="Y352" t="str">
        <f>"77469"</f>
        <v>77469</v>
      </c>
    </row>
    <row r="353" spans="1:25" x14ac:dyDescent="0.25">
      <c r="A353" t="s">
        <v>1707</v>
      </c>
      <c r="B353" t="s">
        <v>1708</v>
      </c>
      <c r="C353">
        <v>2020</v>
      </c>
      <c r="D353">
        <v>8001</v>
      </c>
      <c r="E353">
        <v>2</v>
      </c>
      <c r="F353" t="s">
        <v>1709</v>
      </c>
      <c r="G353">
        <v>0</v>
      </c>
      <c r="J353">
        <v>9.99</v>
      </c>
      <c r="L353">
        <v>47519904</v>
      </c>
      <c r="M353" s="1">
        <v>44357</v>
      </c>
      <c r="N353" t="str">
        <f>"J210610BW2"</f>
        <v>J210610BW2</v>
      </c>
      <c r="O353" t="s">
        <v>28</v>
      </c>
      <c r="Q353" t="s">
        <v>29</v>
      </c>
      <c r="R353" t="s">
        <v>28</v>
      </c>
      <c r="S353" t="s">
        <v>1709</v>
      </c>
      <c r="T353" t="s">
        <v>1710</v>
      </c>
      <c r="U353" t="s">
        <v>60</v>
      </c>
      <c r="V353" t="s">
        <v>60</v>
      </c>
      <c r="W353" t="s">
        <v>214</v>
      </c>
      <c r="X353" t="s">
        <v>34</v>
      </c>
      <c r="Y353" t="str">
        <f>"774696266   "</f>
        <v xml:space="preserve">774696266   </v>
      </c>
    </row>
    <row r="354" spans="1:25" x14ac:dyDescent="0.25">
      <c r="A354" t="s">
        <v>1711</v>
      </c>
      <c r="B354" t="s">
        <v>1712</v>
      </c>
      <c r="C354">
        <v>2020</v>
      </c>
      <c r="D354">
        <v>8001</v>
      </c>
      <c r="E354">
        <v>1</v>
      </c>
      <c r="F354" t="s">
        <v>1713</v>
      </c>
      <c r="G354">
        <v>29461892</v>
      </c>
      <c r="J354">
        <v>329.6</v>
      </c>
      <c r="L354">
        <v>46728892</v>
      </c>
      <c r="M354" s="1">
        <v>44230</v>
      </c>
      <c r="N354" t="str">
        <f>"EK210203"</f>
        <v>EK210203</v>
      </c>
      <c r="O354" t="s">
        <v>28</v>
      </c>
      <c r="Q354" t="s">
        <v>29</v>
      </c>
      <c r="R354" t="s">
        <v>28</v>
      </c>
      <c r="S354" t="s">
        <v>1714</v>
      </c>
      <c r="T354" t="s">
        <v>1715</v>
      </c>
      <c r="W354" t="s">
        <v>1716</v>
      </c>
      <c r="X354" t="s">
        <v>34</v>
      </c>
      <c r="Y354" t="str">
        <f>"79911"</f>
        <v>79911</v>
      </c>
    </row>
    <row r="355" spans="1:25" x14ac:dyDescent="0.25">
      <c r="A355" t="s">
        <v>1717</v>
      </c>
      <c r="B355" t="s">
        <v>1718</v>
      </c>
      <c r="C355">
        <v>2018</v>
      </c>
      <c r="D355">
        <v>8001</v>
      </c>
      <c r="E355">
        <v>1</v>
      </c>
      <c r="F355" t="s">
        <v>1719</v>
      </c>
      <c r="G355">
        <v>0</v>
      </c>
      <c r="J355">
        <v>47.42</v>
      </c>
      <c r="L355">
        <v>41537736</v>
      </c>
      <c r="M355" s="1">
        <v>43717</v>
      </c>
      <c r="N355" t="str">
        <f>"J190909B2"</f>
        <v>J190909B2</v>
      </c>
      <c r="O355" t="s">
        <v>28</v>
      </c>
      <c r="Q355" t="s">
        <v>29</v>
      </c>
      <c r="R355" t="s">
        <v>28</v>
      </c>
      <c r="S355" t="s">
        <v>1719</v>
      </c>
      <c r="T355" t="s">
        <v>1720</v>
      </c>
      <c r="U355" t="s">
        <v>60</v>
      </c>
      <c r="V355" t="s">
        <v>60</v>
      </c>
      <c r="W355" t="s">
        <v>135</v>
      </c>
      <c r="X355" t="s">
        <v>34</v>
      </c>
      <c r="Y355" t="str">
        <f>"770692754   "</f>
        <v xml:space="preserve">770692754   </v>
      </c>
    </row>
    <row r="356" spans="1:25" x14ac:dyDescent="0.25">
      <c r="A356" t="s">
        <v>1721</v>
      </c>
      <c r="B356" t="s">
        <v>1722</v>
      </c>
      <c r="C356">
        <v>2021</v>
      </c>
      <c r="D356">
        <v>8001</v>
      </c>
      <c r="E356">
        <v>1</v>
      </c>
      <c r="F356" t="s">
        <v>1723</v>
      </c>
      <c r="G356">
        <v>30508988</v>
      </c>
      <c r="J356">
        <v>5.51</v>
      </c>
      <c r="L356">
        <v>48540258</v>
      </c>
      <c r="M356" s="1">
        <v>44547</v>
      </c>
      <c r="N356" t="str">
        <f>"RC220114"</f>
        <v>RC220114</v>
      </c>
      <c r="O356" t="s">
        <v>28</v>
      </c>
      <c r="Q356" t="s">
        <v>29</v>
      </c>
      <c r="R356" t="s">
        <v>28</v>
      </c>
      <c r="S356" t="s">
        <v>1724</v>
      </c>
      <c r="T356" t="s">
        <v>1725</v>
      </c>
      <c r="W356" t="s">
        <v>81</v>
      </c>
      <c r="X356" t="s">
        <v>34</v>
      </c>
      <c r="Y356" t="str">
        <f>"77406"</f>
        <v>77406</v>
      </c>
    </row>
    <row r="357" spans="1:25" x14ac:dyDescent="0.25">
      <c r="A357" t="s">
        <v>1726</v>
      </c>
      <c r="B357" t="s">
        <v>1727</v>
      </c>
      <c r="C357">
        <v>2019</v>
      </c>
      <c r="D357">
        <v>8001</v>
      </c>
      <c r="E357">
        <v>1</v>
      </c>
      <c r="F357" t="s">
        <v>1728</v>
      </c>
      <c r="G357">
        <v>26479108</v>
      </c>
      <c r="J357">
        <v>84.32</v>
      </c>
      <c r="L357">
        <v>44140470</v>
      </c>
      <c r="M357" s="1">
        <v>43958</v>
      </c>
      <c r="N357" t="str">
        <f>"J200507AW4"</f>
        <v>J200507AW4</v>
      </c>
      <c r="O357" t="s">
        <v>28</v>
      </c>
      <c r="Q357" t="s">
        <v>29</v>
      </c>
      <c r="R357" t="s">
        <v>28</v>
      </c>
      <c r="S357" t="s">
        <v>1033</v>
      </c>
      <c r="T357" t="s">
        <v>1560</v>
      </c>
      <c r="W357" t="s">
        <v>1729</v>
      </c>
      <c r="X357" t="s">
        <v>169</v>
      </c>
      <c r="Y357" t="str">
        <f>"80129"</f>
        <v>80129</v>
      </c>
    </row>
    <row r="358" spans="1:25" x14ac:dyDescent="0.25">
      <c r="A358" t="s">
        <v>1730</v>
      </c>
      <c r="B358" t="s">
        <v>1731</v>
      </c>
      <c r="C358">
        <v>2020</v>
      </c>
      <c r="D358">
        <v>8001</v>
      </c>
      <c r="E358">
        <v>1</v>
      </c>
      <c r="F358" t="s">
        <v>1732</v>
      </c>
      <c r="G358">
        <v>0</v>
      </c>
      <c r="J358" s="2">
        <v>4190.8599999999997</v>
      </c>
      <c r="L358">
        <v>44640919</v>
      </c>
      <c r="M358" s="1">
        <v>44147</v>
      </c>
      <c r="N358" t="str">
        <f>"TE201112"</f>
        <v>TE201112</v>
      </c>
      <c r="O358" t="s">
        <v>28</v>
      </c>
      <c r="Q358" t="s">
        <v>29</v>
      </c>
      <c r="R358" t="s">
        <v>28</v>
      </c>
      <c r="S358" t="s">
        <v>1732</v>
      </c>
      <c r="T358" t="s">
        <v>1733</v>
      </c>
      <c r="U358" t="s">
        <v>60</v>
      </c>
      <c r="V358" t="s">
        <v>60</v>
      </c>
      <c r="W358" t="s">
        <v>1137</v>
      </c>
      <c r="X358" t="s">
        <v>34</v>
      </c>
      <c r="Y358" t="str">
        <f>"774508253   "</f>
        <v xml:space="preserve">774508253   </v>
      </c>
    </row>
    <row r="359" spans="1:25" x14ac:dyDescent="0.25">
      <c r="A359" t="s">
        <v>1734</v>
      </c>
      <c r="B359" t="s">
        <v>1735</v>
      </c>
      <c r="C359">
        <v>2020</v>
      </c>
      <c r="D359">
        <v>8001</v>
      </c>
      <c r="E359">
        <v>1</v>
      </c>
      <c r="F359" t="s">
        <v>1736</v>
      </c>
      <c r="G359">
        <v>0</v>
      </c>
      <c r="J359">
        <v>36</v>
      </c>
      <c r="L359">
        <v>45341513</v>
      </c>
      <c r="M359" s="1">
        <v>44182</v>
      </c>
      <c r="N359" t="str">
        <f>"EL201217"</f>
        <v>EL201217</v>
      </c>
      <c r="O359" t="s">
        <v>28</v>
      </c>
      <c r="Q359" t="s">
        <v>29</v>
      </c>
      <c r="R359" t="s">
        <v>28</v>
      </c>
      <c r="S359" t="s">
        <v>1736</v>
      </c>
      <c r="T359" t="s">
        <v>1737</v>
      </c>
      <c r="U359" t="s">
        <v>60</v>
      </c>
      <c r="V359" t="s">
        <v>60</v>
      </c>
      <c r="W359" t="s">
        <v>1137</v>
      </c>
      <c r="X359" t="s">
        <v>34</v>
      </c>
      <c r="Y359" t="str">
        <f>"774944448   "</f>
        <v xml:space="preserve">774944448   </v>
      </c>
    </row>
    <row r="360" spans="1:25" x14ac:dyDescent="0.25">
      <c r="A360" t="s">
        <v>1738</v>
      </c>
      <c r="B360" t="s">
        <v>1739</v>
      </c>
      <c r="C360">
        <v>2018</v>
      </c>
      <c r="D360">
        <v>8001</v>
      </c>
      <c r="E360">
        <v>3</v>
      </c>
      <c r="F360" t="s">
        <v>1740</v>
      </c>
      <c r="G360">
        <v>27328742</v>
      </c>
      <c r="J360">
        <v>25.48</v>
      </c>
      <c r="L360">
        <v>41063783</v>
      </c>
      <c r="M360" s="1">
        <v>43558</v>
      </c>
      <c r="N360" t="str">
        <f>"EK190403"</f>
        <v>EK190403</v>
      </c>
      <c r="O360" t="s">
        <v>28</v>
      </c>
      <c r="Q360" t="s">
        <v>29</v>
      </c>
      <c r="R360" t="s">
        <v>28</v>
      </c>
      <c r="S360" t="s">
        <v>1741</v>
      </c>
      <c r="T360" t="s">
        <v>1742</v>
      </c>
      <c r="W360" t="s">
        <v>193</v>
      </c>
      <c r="X360" t="s">
        <v>34</v>
      </c>
      <c r="Y360" t="str">
        <f>"77441"</f>
        <v>77441</v>
      </c>
    </row>
    <row r="361" spans="1:25" x14ac:dyDescent="0.25">
      <c r="A361" t="s">
        <v>1743</v>
      </c>
      <c r="B361" t="s">
        <v>1744</v>
      </c>
      <c r="C361">
        <v>2020</v>
      </c>
      <c r="D361">
        <v>8001</v>
      </c>
      <c r="E361">
        <v>1</v>
      </c>
      <c r="F361" t="s">
        <v>1745</v>
      </c>
      <c r="G361">
        <v>27706444</v>
      </c>
      <c r="J361">
        <v>7.75</v>
      </c>
      <c r="L361">
        <v>47369620</v>
      </c>
      <c r="M361" s="1">
        <v>44320</v>
      </c>
      <c r="N361" t="str">
        <f>"RC210512"</f>
        <v>RC210512</v>
      </c>
      <c r="O361" t="s">
        <v>28</v>
      </c>
      <c r="Q361" t="s">
        <v>29</v>
      </c>
      <c r="R361" t="s">
        <v>28</v>
      </c>
      <c r="S361" t="s">
        <v>1746</v>
      </c>
      <c r="T361" t="s">
        <v>1747</v>
      </c>
      <c r="W361" t="s">
        <v>1748</v>
      </c>
      <c r="X361" t="s">
        <v>34</v>
      </c>
      <c r="Y361" t="str">
        <f>"77429-8692"</f>
        <v>77429-8692</v>
      </c>
    </row>
    <row r="362" spans="1:25" x14ac:dyDescent="0.25">
      <c r="A362" t="s">
        <v>1749</v>
      </c>
      <c r="B362" t="s">
        <v>1750</v>
      </c>
      <c r="C362">
        <v>2019</v>
      </c>
      <c r="D362">
        <v>8001</v>
      </c>
      <c r="E362">
        <v>2</v>
      </c>
      <c r="F362" t="s">
        <v>1751</v>
      </c>
      <c r="G362">
        <v>28516627</v>
      </c>
      <c r="J362">
        <v>11.16</v>
      </c>
      <c r="L362">
        <v>44286627</v>
      </c>
      <c r="M362" s="1">
        <v>44148</v>
      </c>
      <c r="N362" t="str">
        <f>"T201113F1"</f>
        <v>T201113F1</v>
      </c>
      <c r="O362" t="s">
        <v>28</v>
      </c>
      <c r="Q362" t="s">
        <v>29</v>
      </c>
      <c r="R362" t="s">
        <v>28</v>
      </c>
      <c r="S362" t="s">
        <v>1752</v>
      </c>
      <c r="T362" t="s">
        <v>1753</v>
      </c>
      <c r="U362" t="s">
        <v>1754</v>
      </c>
      <c r="W362" t="s">
        <v>107</v>
      </c>
      <c r="X362" t="s">
        <v>34</v>
      </c>
      <c r="Y362" t="str">
        <f>"774942606"</f>
        <v>774942606</v>
      </c>
    </row>
    <row r="363" spans="1:25" x14ac:dyDescent="0.25">
      <c r="A363" t="s">
        <v>1755</v>
      </c>
      <c r="B363" t="s">
        <v>1756</v>
      </c>
      <c r="C363">
        <v>2019</v>
      </c>
      <c r="D363">
        <v>8001</v>
      </c>
      <c r="E363">
        <v>1</v>
      </c>
      <c r="F363" t="s">
        <v>1757</v>
      </c>
      <c r="G363">
        <v>0</v>
      </c>
      <c r="J363">
        <v>51.81</v>
      </c>
      <c r="L363">
        <v>43567123</v>
      </c>
      <c r="M363" s="1">
        <v>43865</v>
      </c>
      <c r="N363" t="str">
        <f>"L200204"</f>
        <v>L200204</v>
      </c>
      <c r="O363" t="s">
        <v>28</v>
      </c>
      <c r="Q363" t="s">
        <v>29</v>
      </c>
      <c r="R363" t="s">
        <v>28</v>
      </c>
      <c r="S363" t="s">
        <v>1757</v>
      </c>
      <c r="T363" t="s">
        <v>1758</v>
      </c>
      <c r="U363" t="s">
        <v>60</v>
      </c>
      <c r="V363" t="s">
        <v>60</v>
      </c>
      <c r="W363" t="s">
        <v>1137</v>
      </c>
      <c r="X363" t="s">
        <v>34</v>
      </c>
      <c r="Y363" t="str">
        <f>"774506918   "</f>
        <v xml:space="preserve">774506918   </v>
      </c>
    </row>
    <row r="364" spans="1:25" x14ac:dyDescent="0.25">
      <c r="A364" t="s">
        <v>1759</v>
      </c>
      <c r="B364" t="s">
        <v>1760</v>
      </c>
      <c r="C364">
        <v>2019</v>
      </c>
      <c r="D364">
        <v>8001</v>
      </c>
      <c r="E364">
        <v>1</v>
      </c>
      <c r="F364" t="s">
        <v>1761</v>
      </c>
      <c r="G364">
        <v>0</v>
      </c>
      <c r="J364">
        <v>136.49</v>
      </c>
      <c r="L364">
        <v>42538219</v>
      </c>
      <c r="M364" s="1">
        <v>43830</v>
      </c>
      <c r="N364" t="str">
        <f>"L191231"</f>
        <v>L191231</v>
      </c>
      <c r="O364" t="s">
        <v>28</v>
      </c>
      <c r="Q364" t="s">
        <v>29</v>
      </c>
      <c r="R364" t="s">
        <v>28</v>
      </c>
      <c r="S364" t="s">
        <v>1761</v>
      </c>
      <c r="T364" t="s">
        <v>1762</v>
      </c>
      <c r="U364" t="s">
        <v>60</v>
      </c>
      <c r="V364" t="s">
        <v>60</v>
      </c>
      <c r="W364" t="s">
        <v>1137</v>
      </c>
      <c r="X364" t="s">
        <v>34</v>
      </c>
      <c r="Y364" t="str">
        <f>"774506914   "</f>
        <v xml:space="preserve">774506914   </v>
      </c>
    </row>
    <row r="365" spans="1:25" x14ac:dyDescent="0.25">
      <c r="A365" t="s">
        <v>1763</v>
      </c>
      <c r="B365" t="s">
        <v>1764</v>
      </c>
      <c r="C365">
        <v>2021</v>
      </c>
      <c r="D365">
        <v>8001</v>
      </c>
      <c r="E365">
        <v>1</v>
      </c>
      <c r="F365" t="s">
        <v>1765</v>
      </c>
      <c r="G365">
        <v>25865457</v>
      </c>
      <c r="J365">
        <v>891.47</v>
      </c>
      <c r="L365">
        <v>48846784</v>
      </c>
      <c r="M365" s="1">
        <v>44564</v>
      </c>
      <c r="N365" t="str">
        <f>"RC220208"</f>
        <v>RC220208</v>
      </c>
      <c r="O365" t="s">
        <v>28</v>
      </c>
      <c r="Q365" t="s">
        <v>29</v>
      </c>
      <c r="R365" t="s">
        <v>28</v>
      </c>
      <c r="S365" t="s">
        <v>1766</v>
      </c>
      <c r="T365" t="s">
        <v>1767</v>
      </c>
      <c r="U365" t="s">
        <v>1768</v>
      </c>
      <c r="W365" t="s">
        <v>107</v>
      </c>
      <c r="X365" t="s">
        <v>34</v>
      </c>
      <c r="Y365" t="str">
        <f>"774507626"</f>
        <v>774507626</v>
      </c>
    </row>
    <row r="366" spans="1:25" x14ac:dyDescent="0.25">
      <c r="A366" t="s">
        <v>1769</v>
      </c>
      <c r="B366" t="s">
        <v>1770</v>
      </c>
      <c r="C366">
        <v>2019</v>
      </c>
      <c r="D366">
        <v>8001</v>
      </c>
      <c r="E366">
        <v>1</v>
      </c>
      <c r="F366" t="s">
        <v>1771</v>
      </c>
      <c r="G366">
        <v>28518759</v>
      </c>
      <c r="J366">
        <v>182.12</v>
      </c>
      <c r="L366">
        <v>44293036</v>
      </c>
      <c r="M366" s="1">
        <v>43991</v>
      </c>
      <c r="N366" t="str">
        <f>"J200609K7"</f>
        <v>J200609K7</v>
      </c>
      <c r="O366" t="s">
        <v>28</v>
      </c>
      <c r="Q366" t="s">
        <v>29</v>
      </c>
      <c r="R366" t="s">
        <v>28</v>
      </c>
      <c r="S366" t="s">
        <v>1772</v>
      </c>
      <c r="T366" t="s">
        <v>1773</v>
      </c>
      <c r="U366" t="s">
        <v>1774</v>
      </c>
      <c r="W366" t="s">
        <v>75</v>
      </c>
      <c r="X366" t="s">
        <v>34</v>
      </c>
      <c r="Y366" t="str">
        <f>"770273049"</f>
        <v>770273049</v>
      </c>
    </row>
    <row r="367" spans="1:25" x14ac:dyDescent="0.25">
      <c r="A367" t="s">
        <v>1775</v>
      </c>
      <c r="B367" t="s">
        <v>1776</v>
      </c>
      <c r="C367">
        <v>2021</v>
      </c>
      <c r="D367">
        <v>8001</v>
      </c>
      <c r="E367">
        <v>1</v>
      </c>
      <c r="F367" t="s">
        <v>1777</v>
      </c>
      <c r="G367">
        <v>0</v>
      </c>
      <c r="J367">
        <v>349.5</v>
      </c>
      <c r="L367">
        <v>50214740</v>
      </c>
      <c r="M367" s="1">
        <v>44616</v>
      </c>
      <c r="N367" t="str">
        <f>"QP220224"</f>
        <v>QP220224</v>
      </c>
      <c r="O367" t="s">
        <v>28</v>
      </c>
      <c r="Q367" t="s">
        <v>29</v>
      </c>
      <c r="R367" t="s">
        <v>28</v>
      </c>
      <c r="S367" t="s">
        <v>1777</v>
      </c>
      <c r="T367" t="s">
        <v>1778</v>
      </c>
      <c r="U367" t="s">
        <v>60</v>
      </c>
      <c r="V367" t="s">
        <v>60</v>
      </c>
      <c r="W367" t="s">
        <v>1137</v>
      </c>
      <c r="X367" t="s">
        <v>34</v>
      </c>
      <c r="Y367" t="str">
        <f>"774505748   "</f>
        <v xml:space="preserve">774505748   </v>
      </c>
    </row>
    <row r="368" spans="1:25" x14ac:dyDescent="0.25">
      <c r="A368" t="s">
        <v>1779</v>
      </c>
      <c r="B368" t="s">
        <v>1780</v>
      </c>
      <c r="C368">
        <v>2021</v>
      </c>
      <c r="D368">
        <v>8001</v>
      </c>
      <c r="E368">
        <v>1</v>
      </c>
      <c r="F368" t="s">
        <v>1781</v>
      </c>
      <c r="G368">
        <v>27245778</v>
      </c>
      <c r="J368">
        <v>691</v>
      </c>
      <c r="L368">
        <v>48761866</v>
      </c>
      <c r="M368" s="1">
        <v>44559</v>
      </c>
      <c r="N368" t="str">
        <f>"RC220125"</f>
        <v>RC220125</v>
      </c>
      <c r="O368" t="s">
        <v>28</v>
      </c>
      <c r="Q368" t="s">
        <v>29</v>
      </c>
      <c r="R368" t="s">
        <v>28</v>
      </c>
      <c r="S368" t="s">
        <v>1782</v>
      </c>
      <c r="T368" t="s">
        <v>1783</v>
      </c>
      <c r="U368" t="s">
        <v>562</v>
      </c>
      <c r="W368" t="s">
        <v>563</v>
      </c>
      <c r="X368" t="s">
        <v>34</v>
      </c>
      <c r="Y368" t="str">
        <f>"750630156"</f>
        <v>750630156</v>
      </c>
    </row>
    <row r="369" spans="1:25" x14ac:dyDescent="0.25">
      <c r="A369" t="s">
        <v>1784</v>
      </c>
      <c r="B369" t="s">
        <v>1785</v>
      </c>
      <c r="C369">
        <v>2020</v>
      </c>
      <c r="D369">
        <v>8001</v>
      </c>
      <c r="E369">
        <v>2</v>
      </c>
      <c r="F369" t="s">
        <v>1786</v>
      </c>
      <c r="G369">
        <v>25604217</v>
      </c>
      <c r="J369">
        <v>209.33</v>
      </c>
      <c r="L369">
        <v>47379082</v>
      </c>
      <c r="M369" s="1">
        <v>44322</v>
      </c>
      <c r="N369" t="str">
        <f>"RC210512"</f>
        <v>RC210512</v>
      </c>
      <c r="O369" t="s">
        <v>28</v>
      </c>
      <c r="Q369" t="s">
        <v>29</v>
      </c>
      <c r="R369" t="s">
        <v>28</v>
      </c>
      <c r="S369" t="s">
        <v>1699</v>
      </c>
      <c r="T369" t="s">
        <v>1069</v>
      </c>
      <c r="U369" t="s">
        <v>562</v>
      </c>
      <c r="W369" t="s">
        <v>563</v>
      </c>
      <c r="X369" t="s">
        <v>34</v>
      </c>
      <c r="Y369" t="str">
        <f>"750630156"</f>
        <v>750630156</v>
      </c>
    </row>
    <row r="370" spans="1:25" x14ac:dyDescent="0.25">
      <c r="A370" t="s">
        <v>1787</v>
      </c>
      <c r="B370" t="s">
        <v>1788</v>
      </c>
      <c r="C370">
        <v>2019</v>
      </c>
      <c r="D370">
        <v>8001</v>
      </c>
      <c r="E370">
        <v>1</v>
      </c>
      <c r="F370" t="s">
        <v>1789</v>
      </c>
      <c r="G370">
        <v>0</v>
      </c>
      <c r="J370">
        <v>7.22</v>
      </c>
      <c r="L370">
        <v>44094459</v>
      </c>
      <c r="M370" s="1">
        <v>43945</v>
      </c>
      <c r="N370" t="str">
        <f>"J200424F1"</f>
        <v>J200424F1</v>
      </c>
      <c r="O370" t="s">
        <v>28</v>
      </c>
      <c r="Q370" t="s">
        <v>29</v>
      </c>
      <c r="R370" t="s">
        <v>28</v>
      </c>
      <c r="S370" t="s">
        <v>1789</v>
      </c>
      <c r="T370" t="s">
        <v>1790</v>
      </c>
      <c r="U370" t="s">
        <v>60</v>
      </c>
      <c r="V370" t="s">
        <v>60</v>
      </c>
      <c r="W370" t="s">
        <v>1137</v>
      </c>
      <c r="X370" t="s">
        <v>34</v>
      </c>
      <c r="Y370" t="str">
        <f>"774508638   "</f>
        <v xml:space="preserve">774508638   </v>
      </c>
    </row>
    <row r="371" spans="1:25" x14ac:dyDescent="0.25">
      <c r="A371" t="s">
        <v>1791</v>
      </c>
      <c r="B371" t="s">
        <v>1792</v>
      </c>
      <c r="C371">
        <v>2019</v>
      </c>
      <c r="D371">
        <v>8001</v>
      </c>
      <c r="E371">
        <v>1</v>
      </c>
      <c r="F371" t="s">
        <v>1793</v>
      </c>
      <c r="G371">
        <v>22993312</v>
      </c>
      <c r="J371">
        <v>17.809999999999999</v>
      </c>
      <c r="L371">
        <v>44288766</v>
      </c>
      <c r="M371" s="1">
        <v>43990</v>
      </c>
      <c r="N371" t="str">
        <f>"J200608K5"</f>
        <v>J200608K5</v>
      </c>
      <c r="O371" t="s">
        <v>28</v>
      </c>
      <c r="Q371" t="s">
        <v>29</v>
      </c>
      <c r="R371" t="s">
        <v>28</v>
      </c>
      <c r="S371" t="s">
        <v>1794</v>
      </c>
      <c r="T371" t="s">
        <v>1795</v>
      </c>
      <c r="W371" t="s">
        <v>1615</v>
      </c>
      <c r="X371" t="s">
        <v>143</v>
      </c>
      <c r="Y371" t="str">
        <f>"191156320"</f>
        <v>191156320</v>
      </c>
    </row>
    <row r="372" spans="1:25" x14ac:dyDescent="0.25">
      <c r="A372" t="s">
        <v>1796</v>
      </c>
      <c r="B372" t="s">
        <v>1797</v>
      </c>
      <c r="C372">
        <v>2019</v>
      </c>
      <c r="D372">
        <v>8001</v>
      </c>
      <c r="E372">
        <v>24</v>
      </c>
      <c r="F372" t="s">
        <v>1798</v>
      </c>
      <c r="G372">
        <v>0</v>
      </c>
      <c r="J372">
        <v>5.35</v>
      </c>
      <c r="L372">
        <v>41562724</v>
      </c>
      <c r="M372" s="1">
        <v>43766</v>
      </c>
      <c r="N372" t="str">
        <f>"TE191028"</f>
        <v>TE191028</v>
      </c>
      <c r="O372" t="s">
        <v>28</v>
      </c>
      <c r="Q372" t="s">
        <v>29</v>
      </c>
      <c r="R372" t="s">
        <v>28</v>
      </c>
      <c r="S372" t="s">
        <v>1798</v>
      </c>
      <c r="T372" t="s">
        <v>1799</v>
      </c>
      <c r="U372" t="s">
        <v>60</v>
      </c>
      <c r="V372" t="s">
        <v>60</v>
      </c>
      <c r="W372" t="s">
        <v>1137</v>
      </c>
      <c r="X372" t="s">
        <v>34</v>
      </c>
      <c r="Y372" t="str">
        <f>"774942181   "</f>
        <v xml:space="preserve">774942181   </v>
      </c>
    </row>
    <row r="373" spans="1:25" x14ac:dyDescent="0.25">
      <c r="A373" t="s">
        <v>1796</v>
      </c>
      <c r="B373" t="s">
        <v>1797</v>
      </c>
      <c r="C373">
        <v>2021</v>
      </c>
      <c r="D373">
        <v>8001</v>
      </c>
      <c r="E373">
        <v>14</v>
      </c>
      <c r="F373" t="s">
        <v>1798</v>
      </c>
      <c r="G373">
        <v>0</v>
      </c>
      <c r="J373">
        <v>46.87</v>
      </c>
      <c r="L373">
        <v>47728992</v>
      </c>
      <c r="M373" s="1">
        <v>44516</v>
      </c>
      <c r="N373" t="str">
        <f>"TE211116"</f>
        <v>TE211116</v>
      </c>
      <c r="O373" t="s">
        <v>28</v>
      </c>
      <c r="Q373" t="s">
        <v>29</v>
      </c>
      <c r="R373" t="s">
        <v>28</v>
      </c>
      <c r="S373" t="s">
        <v>1798</v>
      </c>
      <c r="T373" t="s">
        <v>1799</v>
      </c>
      <c r="U373" t="s">
        <v>60</v>
      </c>
      <c r="V373" t="s">
        <v>60</v>
      </c>
      <c r="W373" t="s">
        <v>1137</v>
      </c>
      <c r="X373" t="s">
        <v>34</v>
      </c>
      <c r="Y373" t="str">
        <f>"774942181   "</f>
        <v xml:space="preserve">774942181   </v>
      </c>
    </row>
    <row r="374" spans="1:25" x14ac:dyDescent="0.25">
      <c r="A374" t="s">
        <v>1800</v>
      </c>
      <c r="B374" t="s">
        <v>1801</v>
      </c>
      <c r="C374">
        <v>2020</v>
      </c>
      <c r="D374">
        <v>8001</v>
      </c>
      <c r="E374">
        <v>1</v>
      </c>
      <c r="F374" t="s">
        <v>1802</v>
      </c>
      <c r="G374">
        <v>29489456</v>
      </c>
      <c r="J374">
        <v>535.66</v>
      </c>
      <c r="L374">
        <v>46782155</v>
      </c>
      <c r="M374" s="1">
        <v>44231</v>
      </c>
      <c r="N374" t="str">
        <f>"CC210204"</f>
        <v>CC210204</v>
      </c>
      <c r="O374" t="s">
        <v>28</v>
      </c>
      <c r="Q374" t="s">
        <v>29</v>
      </c>
      <c r="R374" t="s">
        <v>28</v>
      </c>
      <c r="S374" t="s">
        <v>1803</v>
      </c>
      <c r="T374" t="s">
        <v>1804</v>
      </c>
      <c r="W374" t="s">
        <v>107</v>
      </c>
      <c r="X374" t="s">
        <v>34</v>
      </c>
      <c r="Y374" t="str">
        <f>"77450"</f>
        <v>77450</v>
      </c>
    </row>
    <row r="375" spans="1:25" x14ac:dyDescent="0.25">
      <c r="A375" t="s">
        <v>1805</v>
      </c>
      <c r="B375" t="s">
        <v>1806</v>
      </c>
      <c r="C375">
        <v>2020</v>
      </c>
      <c r="D375">
        <v>8001</v>
      </c>
      <c r="E375">
        <v>1</v>
      </c>
      <c r="F375" t="s">
        <v>1807</v>
      </c>
      <c r="G375">
        <v>0</v>
      </c>
      <c r="J375">
        <v>182.88</v>
      </c>
      <c r="L375">
        <v>46339275</v>
      </c>
      <c r="M375" s="1">
        <v>44222</v>
      </c>
      <c r="N375" t="str">
        <f>"EL210126"</f>
        <v>EL210126</v>
      </c>
      <c r="O375" t="s">
        <v>28</v>
      </c>
      <c r="Q375" t="s">
        <v>29</v>
      </c>
      <c r="R375" t="s">
        <v>28</v>
      </c>
      <c r="S375" t="s">
        <v>1807</v>
      </c>
      <c r="T375" t="s">
        <v>1808</v>
      </c>
      <c r="U375" t="s">
        <v>60</v>
      </c>
      <c r="V375" t="s">
        <v>60</v>
      </c>
      <c r="W375" t="s">
        <v>1137</v>
      </c>
      <c r="X375" t="s">
        <v>34</v>
      </c>
      <c r="Y375" t="str">
        <f>"774508015   "</f>
        <v xml:space="preserve">774508015   </v>
      </c>
    </row>
    <row r="376" spans="1:25" x14ac:dyDescent="0.25">
      <c r="A376" t="s">
        <v>1809</v>
      </c>
      <c r="B376" t="s">
        <v>1810</v>
      </c>
      <c r="C376">
        <v>2018</v>
      </c>
      <c r="D376">
        <v>8001</v>
      </c>
      <c r="E376">
        <v>3</v>
      </c>
      <c r="F376" t="s">
        <v>1811</v>
      </c>
      <c r="G376">
        <v>27543077</v>
      </c>
      <c r="J376">
        <v>47.1</v>
      </c>
      <c r="L376">
        <v>41537590</v>
      </c>
      <c r="M376" s="1">
        <v>43717</v>
      </c>
      <c r="N376" t="str">
        <f>"J190909B1"</f>
        <v>J190909B1</v>
      </c>
      <c r="O376" t="s">
        <v>28</v>
      </c>
      <c r="Q376" t="s">
        <v>29</v>
      </c>
      <c r="R376" t="s">
        <v>28</v>
      </c>
      <c r="S376" t="s">
        <v>1812</v>
      </c>
      <c r="T376" t="s">
        <v>1015</v>
      </c>
      <c r="W376" t="s">
        <v>563</v>
      </c>
      <c r="X376" t="s">
        <v>34</v>
      </c>
      <c r="Y376" t="str">
        <f>"750630156"</f>
        <v>750630156</v>
      </c>
    </row>
    <row r="377" spans="1:25" x14ac:dyDescent="0.25">
      <c r="A377" t="s">
        <v>1813</v>
      </c>
      <c r="B377" t="s">
        <v>1814</v>
      </c>
      <c r="C377">
        <v>2021</v>
      </c>
      <c r="D377">
        <v>8001</v>
      </c>
      <c r="E377">
        <v>3</v>
      </c>
      <c r="F377" t="s">
        <v>1815</v>
      </c>
      <c r="G377">
        <v>30208357</v>
      </c>
      <c r="J377">
        <v>11.84</v>
      </c>
      <c r="L377">
        <v>47976582</v>
      </c>
      <c r="M377" s="1">
        <v>44504</v>
      </c>
      <c r="N377" t="str">
        <f>"RC211208"</f>
        <v>RC211208</v>
      </c>
      <c r="O377" t="s">
        <v>28</v>
      </c>
      <c r="Q377" t="s">
        <v>29</v>
      </c>
      <c r="R377" t="s">
        <v>28</v>
      </c>
      <c r="S377" t="s">
        <v>1816</v>
      </c>
      <c r="T377" t="s">
        <v>1817</v>
      </c>
      <c r="W377" t="s">
        <v>75</v>
      </c>
      <c r="X377" t="s">
        <v>34</v>
      </c>
      <c r="Y377" t="str">
        <f>"77024"</f>
        <v>77024</v>
      </c>
    </row>
    <row r="378" spans="1:25" x14ac:dyDescent="0.25">
      <c r="A378" t="s">
        <v>1818</v>
      </c>
      <c r="B378" t="s">
        <v>1819</v>
      </c>
      <c r="C378">
        <v>2019</v>
      </c>
      <c r="D378">
        <v>8001</v>
      </c>
      <c r="E378">
        <v>1</v>
      </c>
      <c r="F378" t="s">
        <v>1820</v>
      </c>
      <c r="G378">
        <v>0</v>
      </c>
      <c r="J378">
        <v>88.15</v>
      </c>
      <c r="L378">
        <v>43914990</v>
      </c>
      <c r="M378" s="1">
        <v>43900</v>
      </c>
      <c r="N378" t="str">
        <f>"J200310AW2"</f>
        <v>J200310AW2</v>
      </c>
      <c r="O378" t="s">
        <v>28</v>
      </c>
      <c r="Q378" t="s">
        <v>29</v>
      </c>
      <c r="R378" t="s">
        <v>28</v>
      </c>
      <c r="S378" t="s">
        <v>1820</v>
      </c>
      <c r="T378" t="s">
        <v>1821</v>
      </c>
      <c r="U378" t="s">
        <v>60</v>
      </c>
      <c r="V378" t="s">
        <v>60</v>
      </c>
      <c r="W378" t="s">
        <v>1137</v>
      </c>
      <c r="X378" t="s">
        <v>34</v>
      </c>
      <c r="Y378" t="str">
        <f>"774507036   "</f>
        <v xml:space="preserve">774507036   </v>
      </c>
    </row>
    <row r="379" spans="1:25" x14ac:dyDescent="0.25">
      <c r="A379" t="s">
        <v>1822</v>
      </c>
      <c r="B379" t="s">
        <v>1823</v>
      </c>
      <c r="C379">
        <v>2020</v>
      </c>
      <c r="D379">
        <v>8001</v>
      </c>
      <c r="E379">
        <v>1</v>
      </c>
      <c r="F379" t="s">
        <v>1824</v>
      </c>
      <c r="G379">
        <v>21600983</v>
      </c>
      <c r="J379">
        <v>188.23</v>
      </c>
      <c r="L379">
        <v>45184907</v>
      </c>
      <c r="M379" s="1">
        <v>44174</v>
      </c>
      <c r="N379" t="str">
        <f>"RC201217"</f>
        <v>RC201217</v>
      </c>
      <c r="O379" t="s">
        <v>28</v>
      </c>
      <c r="Q379" t="s">
        <v>29</v>
      </c>
      <c r="R379" t="s">
        <v>28</v>
      </c>
      <c r="S379" t="s">
        <v>1454</v>
      </c>
      <c r="T379" t="s">
        <v>1455</v>
      </c>
      <c r="W379" t="s">
        <v>1456</v>
      </c>
      <c r="X379" t="s">
        <v>1457</v>
      </c>
      <c r="Y379" t="str">
        <f>"234504968"</f>
        <v>234504968</v>
      </c>
    </row>
    <row r="380" spans="1:25" x14ac:dyDescent="0.25">
      <c r="A380" t="s">
        <v>1825</v>
      </c>
      <c r="B380" t="s">
        <v>1826</v>
      </c>
      <c r="C380">
        <v>2019</v>
      </c>
      <c r="D380">
        <v>8001</v>
      </c>
      <c r="E380">
        <v>2</v>
      </c>
      <c r="F380" t="s">
        <v>1827</v>
      </c>
      <c r="G380">
        <v>26777569</v>
      </c>
      <c r="J380">
        <v>61.48</v>
      </c>
      <c r="L380">
        <v>44137812</v>
      </c>
      <c r="M380" s="1">
        <v>43957</v>
      </c>
      <c r="N380" t="str">
        <f>"J200506AW7"</f>
        <v>J200506AW7</v>
      </c>
      <c r="O380" t="s">
        <v>28</v>
      </c>
      <c r="Q380" t="s">
        <v>29</v>
      </c>
      <c r="R380" t="s">
        <v>28</v>
      </c>
      <c r="S380" t="s">
        <v>1828</v>
      </c>
      <c r="T380" t="s">
        <v>1829</v>
      </c>
      <c r="W380" t="s">
        <v>1830</v>
      </c>
      <c r="X380" t="s">
        <v>1831</v>
      </c>
      <c r="Y380" t="str">
        <f>"142401288"</f>
        <v>142401288</v>
      </c>
    </row>
    <row r="381" spans="1:25" x14ac:dyDescent="0.25">
      <c r="A381" t="s">
        <v>1832</v>
      </c>
      <c r="B381" t="s">
        <v>1833</v>
      </c>
      <c r="C381">
        <v>2020</v>
      </c>
      <c r="D381">
        <v>8001</v>
      </c>
      <c r="E381">
        <v>1</v>
      </c>
      <c r="F381" t="s">
        <v>1834</v>
      </c>
      <c r="G381">
        <v>23467009</v>
      </c>
      <c r="J381">
        <v>310.67</v>
      </c>
      <c r="L381">
        <v>44779786</v>
      </c>
      <c r="M381" s="1">
        <v>44147</v>
      </c>
      <c r="N381" t="str">
        <f>"TE201112"</f>
        <v>TE201112</v>
      </c>
      <c r="O381" t="s">
        <v>28</v>
      </c>
      <c r="Q381" t="s">
        <v>29</v>
      </c>
      <c r="R381" t="s">
        <v>28</v>
      </c>
      <c r="S381" t="s">
        <v>1835</v>
      </c>
      <c r="T381" t="s">
        <v>1455</v>
      </c>
      <c r="W381" t="s">
        <v>1456</v>
      </c>
      <c r="X381" t="s">
        <v>1457</v>
      </c>
      <c r="Y381" t="str">
        <f>"234504968"</f>
        <v>234504968</v>
      </c>
    </row>
    <row r="382" spans="1:25" x14ac:dyDescent="0.25">
      <c r="A382" t="s">
        <v>1836</v>
      </c>
      <c r="B382" t="s">
        <v>1837</v>
      </c>
      <c r="C382">
        <v>2021</v>
      </c>
      <c r="D382">
        <v>8001</v>
      </c>
      <c r="E382">
        <v>3</v>
      </c>
      <c r="F382" t="s">
        <v>1838</v>
      </c>
      <c r="G382">
        <v>31010126</v>
      </c>
      <c r="J382">
        <v>47.15</v>
      </c>
      <c r="L382">
        <v>49108356</v>
      </c>
      <c r="M382" s="1">
        <v>44572</v>
      </c>
      <c r="N382" t="str">
        <f>"RC220221"</f>
        <v>RC220221</v>
      </c>
      <c r="O382" t="s">
        <v>28</v>
      </c>
      <c r="Q382" t="s">
        <v>29</v>
      </c>
      <c r="R382" t="s">
        <v>28</v>
      </c>
      <c r="S382" t="s">
        <v>1839</v>
      </c>
      <c r="T382" t="s">
        <v>1840</v>
      </c>
      <c r="W382" t="s">
        <v>107</v>
      </c>
      <c r="X382" t="s">
        <v>34</v>
      </c>
      <c r="Y382" t="str">
        <f>"77494-0623"</f>
        <v>77494-0623</v>
      </c>
    </row>
    <row r="383" spans="1:25" x14ac:dyDescent="0.25">
      <c r="A383" t="s">
        <v>1841</v>
      </c>
      <c r="B383" t="s">
        <v>1842</v>
      </c>
      <c r="C383">
        <v>2019</v>
      </c>
      <c r="D383">
        <v>8001</v>
      </c>
      <c r="E383">
        <v>1</v>
      </c>
      <c r="F383" t="s">
        <v>1843</v>
      </c>
      <c r="G383">
        <v>28305479</v>
      </c>
      <c r="J383">
        <v>141.34</v>
      </c>
      <c r="L383">
        <v>43875231</v>
      </c>
      <c r="M383" s="1">
        <v>43894</v>
      </c>
      <c r="N383" t="str">
        <f>"CC400304"</f>
        <v>CC400304</v>
      </c>
      <c r="O383" t="s">
        <v>28</v>
      </c>
      <c r="Q383" t="s">
        <v>29</v>
      </c>
      <c r="R383" t="s">
        <v>28</v>
      </c>
      <c r="S383" t="s">
        <v>1844</v>
      </c>
      <c r="T383" t="s">
        <v>1845</v>
      </c>
      <c r="W383" t="s">
        <v>107</v>
      </c>
      <c r="X383" t="s">
        <v>34</v>
      </c>
      <c r="Y383" t="str">
        <f>"77494"</f>
        <v>77494</v>
      </c>
    </row>
    <row r="384" spans="1:25" x14ac:dyDescent="0.25">
      <c r="A384" t="s">
        <v>1846</v>
      </c>
      <c r="B384" t="s">
        <v>1847</v>
      </c>
      <c r="C384">
        <v>2021</v>
      </c>
      <c r="D384">
        <v>8001</v>
      </c>
      <c r="E384">
        <v>1</v>
      </c>
      <c r="F384" t="s">
        <v>1848</v>
      </c>
      <c r="G384">
        <v>31111878</v>
      </c>
      <c r="J384">
        <v>423.35</v>
      </c>
      <c r="L384">
        <v>49949656</v>
      </c>
      <c r="M384" s="1">
        <v>44595</v>
      </c>
      <c r="N384" t="str">
        <f>"RC220309"</f>
        <v>RC220309</v>
      </c>
      <c r="O384" t="s">
        <v>28</v>
      </c>
      <c r="Q384" t="s">
        <v>29</v>
      </c>
      <c r="R384" t="s">
        <v>28</v>
      </c>
      <c r="S384" t="s">
        <v>1849</v>
      </c>
      <c r="T384" t="s">
        <v>1850</v>
      </c>
      <c r="U384" t="s">
        <v>1851</v>
      </c>
      <c r="W384" t="s">
        <v>75</v>
      </c>
      <c r="X384" t="s">
        <v>34</v>
      </c>
      <c r="Y384" t="str">
        <f>"770766742"</f>
        <v>770766742</v>
      </c>
    </row>
    <row r="385" spans="1:25" x14ac:dyDescent="0.25">
      <c r="A385" t="s">
        <v>1852</v>
      </c>
      <c r="B385" t="s">
        <v>1853</v>
      </c>
      <c r="C385">
        <v>2019</v>
      </c>
      <c r="D385">
        <v>8001</v>
      </c>
      <c r="E385">
        <v>3</v>
      </c>
      <c r="F385" t="s">
        <v>1854</v>
      </c>
      <c r="G385">
        <v>28261818</v>
      </c>
      <c r="J385">
        <v>6.35</v>
      </c>
      <c r="L385">
        <v>43791311</v>
      </c>
      <c r="M385" s="1">
        <v>43886</v>
      </c>
      <c r="N385" t="str">
        <f>"CC200225"</f>
        <v>CC200225</v>
      </c>
      <c r="O385" t="s">
        <v>28</v>
      </c>
      <c r="Q385" t="s">
        <v>29</v>
      </c>
      <c r="R385" t="s">
        <v>28</v>
      </c>
      <c r="S385" t="s">
        <v>1855</v>
      </c>
      <c r="T385" t="s">
        <v>1856</v>
      </c>
      <c r="W385" t="s">
        <v>107</v>
      </c>
      <c r="X385" t="s">
        <v>34</v>
      </c>
      <c r="Y385" t="str">
        <f>"77494"</f>
        <v>77494</v>
      </c>
    </row>
    <row r="386" spans="1:25" x14ac:dyDescent="0.25">
      <c r="A386" t="s">
        <v>1857</v>
      </c>
      <c r="B386" t="s">
        <v>1858</v>
      </c>
      <c r="C386">
        <v>2020</v>
      </c>
      <c r="D386">
        <v>8001</v>
      </c>
      <c r="E386">
        <v>1</v>
      </c>
      <c r="F386" t="s">
        <v>1859</v>
      </c>
      <c r="G386">
        <v>29489512</v>
      </c>
      <c r="J386">
        <v>468.51</v>
      </c>
      <c r="L386">
        <v>46782211</v>
      </c>
      <c r="M386" s="1">
        <v>44231</v>
      </c>
      <c r="N386" t="str">
        <f>"CC210204"</f>
        <v>CC210204</v>
      </c>
      <c r="O386" t="s">
        <v>28</v>
      </c>
      <c r="Q386" t="s">
        <v>29</v>
      </c>
      <c r="R386" t="s">
        <v>28</v>
      </c>
      <c r="S386" t="s">
        <v>1860</v>
      </c>
      <c r="T386" t="s">
        <v>1861</v>
      </c>
      <c r="W386" t="s">
        <v>107</v>
      </c>
      <c r="X386" t="s">
        <v>34</v>
      </c>
      <c r="Y386" t="str">
        <f>"77494"</f>
        <v>77494</v>
      </c>
    </row>
    <row r="387" spans="1:25" x14ac:dyDescent="0.25">
      <c r="A387" t="s">
        <v>1862</v>
      </c>
      <c r="B387" t="s">
        <v>1863</v>
      </c>
      <c r="C387">
        <v>2019</v>
      </c>
      <c r="D387">
        <v>8001</v>
      </c>
      <c r="E387">
        <v>1</v>
      </c>
      <c r="F387" t="s">
        <v>1864</v>
      </c>
      <c r="G387">
        <v>26479108</v>
      </c>
      <c r="J387">
        <v>196.82</v>
      </c>
      <c r="L387">
        <v>44309939</v>
      </c>
      <c r="M387" s="1">
        <v>43998</v>
      </c>
      <c r="N387" t="str">
        <f>"J200616AW2"</f>
        <v>J200616AW2</v>
      </c>
      <c r="O387" t="s">
        <v>28</v>
      </c>
      <c r="Q387" t="s">
        <v>29</v>
      </c>
      <c r="R387" t="s">
        <v>28</v>
      </c>
      <c r="S387" t="s">
        <v>1033</v>
      </c>
      <c r="T387" t="s">
        <v>1560</v>
      </c>
      <c r="W387" t="s">
        <v>1729</v>
      </c>
      <c r="X387" t="s">
        <v>169</v>
      </c>
      <c r="Y387" t="str">
        <f>"80129"</f>
        <v>80129</v>
      </c>
    </row>
    <row r="388" spans="1:25" x14ac:dyDescent="0.25">
      <c r="A388" t="s">
        <v>1865</v>
      </c>
      <c r="B388" t="s">
        <v>1866</v>
      </c>
      <c r="C388">
        <v>2020</v>
      </c>
      <c r="D388">
        <v>8001</v>
      </c>
      <c r="E388">
        <v>1</v>
      </c>
      <c r="F388" t="s">
        <v>1867</v>
      </c>
      <c r="G388">
        <v>27277039</v>
      </c>
      <c r="J388">
        <v>599.19000000000005</v>
      </c>
      <c r="L388">
        <v>45365285</v>
      </c>
      <c r="M388" s="1">
        <v>44183</v>
      </c>
      <c r="N388" t="str">
        <f>"RC210107"</f>
        <v>RC210107</v>
      </c>
      <c r="O388" t="s">
        <v>28</v>
      </c>
      <c r="Q388" t="s">
        <v>29</v>
      </c>
      <c r="R388" t="s">
        <v>28</v>
      </c>
      <c r="S388" t="s">
        <v>1068</v>
      </c>
      <c r="T388" t="s">
        <v>1069</v>
      </c>
      <c r="U388" t="s">
        <v>562</v>
      </c>
      <c r="W388" t="s">
        <v>563</v>
      </c>
      <c r="X388" t="s">
        <v>34</v>
      </c>
      <c r="Y388" t="str">
        <f>"750630156"</f>
        <v>750630156</v>
      </c>
    </row>
    <row r="389" spans="1:25" x14ac:dyDescent="0.25">
      <c r="A389" t="s">
        <v>1868</v>
      </c>
      <c r="B389" t="s">
        <v>1869</v>
      </c>
      <c r="C389">
        <v>2021</v>
      </c>
      <c r="D389">
        <v>8001</v>
      </c>
      <c r="E389">
        <v>1</v>
      </c>
      <c r="F389" t="s">
        <v>1870</v>
      </c>
      <c r="G389">
        <v>0</v>
      </c>
      <c r="J389">
        <v>682.09</v>
      </c>
      <c r="L389">
        <v>48549951</v>
      </c>
      <c r="M389" s="1">
        <v>44547</v>
      </c>
      <c r="N389" t="str">
        <f>"J211217BW7"</f>
        <v>J211217BW7</v>
      </c>
      <c r="O389" t="s">
        <v>28</v>
      </c>
      <c r="Q389" t="s">
        <v>29</v>
      </c>
      <c r="R389" t="s">
        <v>28</v>
      </c>
      <c r="S389" t="s">
        <v>1870</v>
      </c>
      <c r="T389" t="s">
        <v>1871</v>
      </c>
      <c r="U389" t="s">
        <v>60</v>
      </c>
      <c r="V389" t="s">
        <v>60</v>
      </c>
      <c r="W389" t="s">
        <v>1137</v>
      </c>
      <c r="X389" t="s">
        <v>34</v>
      </c>
      <c r="Y389" t="str">
        <f>"774943361   "</f>
        <v xml:space="preserve">774943361   </v>
      </c>
    </row>
    <row r="390" spans="1:25" x14ac:dyDescent="0.25">
      <c r="A390" t="s">
        <v>1872</v>
      </c>
      <c r="B390" t="s">
        <v>1873</v>
      </c>
      <c r="C390">
        <v>2020</v>
      </c>
      <c r="D390">
        <v>8001</v>
      </c>
      <c r="E390">
        <v>2</v>
      </c>
      <c r="F390" t="s">
        <v>1874</v>
      </c>
      <c r="G390">
        <v>24908686</v>
      </c>
      <c r="J390">
        <v>241.66</v>
      </c>
      <c r="L390">
        <v>44759378</v>
      </c>
      <c r="M390" s="1">
        <v>44147</v>
      </c>
      <c r="N390" t="str">
        <f>"TE201112"</f>
        <v>TE201112</v>
      </c>
      <c r="O390" t="s">
        <v>28</v>
      </c>
      <c r="Q390" t="s">
        <v>29</v>
      </c>
      <c r="R390" t="s">
        <v>28</v>
      </c>
      <c r="S390" t="s">
        <v>1875</v>
      </c>
      <c r="T390" t="s">
        <v>1876</v>
      </c>
      <c r="W390" t="s">
        <v>1877</v>
      </c>
      <c r="X390" t="s">
        <v>317</v>
      </c>
      <c r="Y390" t="str">
        <f>"94103"</f>
        <v>94103</v>
      </c>
    </row>
    <row r="391" spans="1:25" x14ac:dyDescent="0.25">
      <c r="A391" t="s">
        <v>1878</v>
      </c>
      <c r="B391" t="s">
        <v>1879</v>
      </c>
      <c r="C391">
        <v>2020</v>
      </c>
      <c r="D391">
        <v>8001</v>
      </c>
      <c r="E391">
        <v>1</v>
      </c>
      <c r="F391" t="s">
        <v>1880</v>
      </c>
      <c r="G391">
        <v>29461901</v>
      </c>
      <c r="J391">
        <v>267.67</v>
      </c>
      <c r="L391">
        <v>46728901</v>
      </c>
      <c r="M391" s="1">
        <v>44230</v>
      </c>
      <c r="N391" t="str">
        <f>"EK210203"</f>
        <v>EK210203</v>
      </c>
      <c r="O391" t="s">
        <v>28</v>
      </c>
      <c r="Q391" t="s">
        <v>29</v>
      </c>
      <c r="R391" t="s">
        <v>28</v>
      </c>
      <c r="S391" t="s">
        <v>1881</v>
      </c>
      <c r="T391" t="s">
        <v>1882</v>
      </c>
      <c r="W391" t="s">
        <v>107</v>
      </c>
      <c r="X391" t="s">
        <v>34</v>
      </c>
      <c r="Y391" t="str">
        <f>"77494"</f>
        <v>77494</v>
      </c>
    </row>
    <row r="392" spans="1:25" x14ac:dyDescent="0.25">
      <c r="A392" t="s">
        <v>1883</v>
      </c>
      <c r="B392" t="s">
        <v>1884</v>
      </c>
      <c r="C392">
        <v>2020</v>
      </c>
      <c r="D392">
        <v>8001</v>
      </c>
      <c r="E392">
        <v>1</v>
      </c>
      <c r="F392" t="s">
        <v>1880</v>
      </c>
      <c r="G392">
        <v>29461902</v>
      </c>
      <c r="J392">
        <v>262.16000000000003</v>
      </c>
      <c r="L392">
        <v>46728902</v>
      </c>
      <c r="M392" s="1">
        <v>44230</v>
      </c>
      <c r="N392" t="str">
        <f>"EK210203"</f>
        <v>EK210203</v>
      </c>
      <c r="O392" t="s">
        <v>28</v>
      </c>
      <c r="Q392" t="s">
        <v>29</v>
      </c>
      <c r="R392" t="s">
        <v>28</v>
      </c>
      <c r="S392" t="s">
        <v>1881</v>
      </c>
      <c r="T392" t="s">
        <v>1882</v>
      </c>
      <c r="W392" t="s">
        <v>107</v>
      </c>
      <c r="X392" t="s">
        <v>34</v>
      </c>
      <c r="Y392" t="str">
        <f>"77494"</f>
        <v>77494</v>
      </c>
    </row>
    <row r="393" spans="1:25" x14ac:dyDescent="0.25">
      <c r="A393" t="s">
        <v>1885</v>
      </c>
      <c r="B393" t="s">
        <v>1886</v>
      </c>
      <c r="C393">
        <v>2021</v>
      </c>
      <c r="D393">
        <v>8001</v>
      </c>
      <c r="E393">
        <v>1</v>
      </c>
      <c r="F393" t="s">
        <v>1887</v>
      </c>
      <c r="G393">
        <v>0</v>
      </c>
      <c r="J393">
        <v>17.75</v>
      </c>
      <c r="L393">
        <v>48768558</v>
      </c>
      <c r="M393" s="1">
        <v>44559</v>
      </c>
      <c r="N393" t="str">
        <f>"EL211229"</f>
        <v>EL211229</v>
      </c>
      <c r="O393" t="s">
        <v>28</v>
      </c>
      <c r="Q393" t="s">
        <v>29</v>
      </c>
      <c r="R393" t="s">
        <v>28</v>
      </c>
      <c r="S393" t="s">
        <v>1887</v>
      </c>
      <c r="T393" t="s">
        <v>1888</v>
      </c>
      <c r="U393" t="s">
        <v>60</v>
      </c>
      <c r="V393" t="s">
        <v>60</v>
      </c>
      <c r="W393" t="s">
        <v>1137</v>
      </c>
      <c r="X393" t="s">
        <v>34</v>
      </c>
      <c r="Y393" t="str">
        <f>"774942679   "</f>
        <v xml:space="preserve">774942679   </v>
      </c>
    </row>
    <row r="394" spans="1:25" x14ac:dyDescent="0.25">
      <c r="A394" t="s">
        <v>1889</v>
      </c>
      <c r="B394" t="s">
        <v>1890</v>
      </c>
      <c r="C394">
        <v>2020</v>
      </c>
      <c r="D394">
        <v>8001</v>
      </c>
      <c r="E394">
        <v>1</v>
      </c>
      <c r="F394" t="s">
        <v>1891</v>
      </c>
      <c r="G394">
        <v>28791789</v>
      </c>
      <c r="J394">
        <v>228.89</v>
      </c>
      <c r="L394">
        <v>45158233</v>
      </c>
      <c r="M394" s="1">
        <v>44173</v>
      </c>
      <c r="N394" t="str">
        <f>"RC201217"</f>
        <v>RC201217</v>
      </c>
      <c r="O394" t="s">
        <v>28</v>
      </c>
      <c r="Q394" t="s">
        <v>29</v>
      </c>
      <c r="R394" t="s">
        <v>28</v>
      </c>
      <c r="S394" t="s">
        <v>1393</v>
      </c>
      <c r="T394" t="s">
        <v>1394</v>
      </c>
      <c r="W394" t="s">
        <v>1075</v>
      </c>
      <c r="X394" t="s">
        <v>34</v>
      </c>
      <c r="Y394" t="str">
        <f>"761771529"</f>
        <v>761771529</v>
      </c>
    </row>
    <row r="395" spans="1:25" x14ac:dyDescent="0.25">
      <c r="A395" t="s">
        <v>1892</v>
      </c>
      <c r="B395" t="s">
        <v>1893</v>
      </c>
      <c r="C395">
        <v>2020</v>
      </c>
      <c r="D395">
        <v>8001</v>
      </c>
      <c r="E395">
        <v>2</v>
      </c>
      <c r="F395" t="s">
        <v>1894</v>
      </c>
      <c r="G395">
        <v>25467565</v>
      </c>
      <c r="J395">
        <v>92.13</v>
      </c>
      <c r="L395">
        <v>47526099</v>
      </c>
      <c r="M395" s="1">
        <v>44361</v>
      </c>
      <c r="N395" t="str">
        <f>"RC210622"</f>
        <v>RC210622</v>
      </c>
      <c r="O395" t="s">
        <v>28</v>
      </c>
      <c r="Q395" t="s">
        <v>29</v>
      </c>
      <c r="R395" t="s">
        <v>28</v>
      </c>
      <c r="S395" t="s">
        <v>1895</v>
      </c>
      <c r="T395" t="s">
        <v>562</v>
      </c>
      <c r="W395" t="s">
        <v>563</v>
      </c>
      <c r="X395" t="s">
        <v>34</v>
      </c>
      <c r="Y395" t="str">
        <f>"750630156"</f>
        <v>750630156</v>
      </c>
    </row>
    <row r="396" spans="1:25" x14ac:dyDescent="0.25">
      <c r="A396" t="s">
        <v>1896</v>
      </c>
      <c r="B396" t="s">
        <v>1897</v>
      </c>
      <c r="C396">
        <v>2020</v>
      </c>
      <c r="D396">
        <v>8001</v>
      </c>
      <c r="E396">
        <v>1</v>
      </c>
      <c r="F396" t="s">
        <v>1898</v>
      </c>
      <c r="G396">
        <v>29461900</v>
      </c>
      <c r="J396">
        <v>759.72</v>
      </c>
      <c r="L396">
        <v>46728900</v>
      </c>
      <c r="M396" s="1">
        <v>44230</v>
      </c>
      <c r="N396" t="str">
        <f>"EK210203"</f>
        <v>EK210203</v>
      </c>
      <c r="O396" t="s">
        <v>28</v>
      </c>
      <c r="Q396" t="s">
        <v>29</v>
      </c>
      <c r="R396" t="s">
        <v>28</v>
      </c>
      <c r="S396" t="s">
        <v>1899</v>
      </c>
      <c r="T396" t="s">
        <v>1882</v>
      </c>
      <c r="W396" t="s">
        <v>107</v>
      </c>
      <c r="X396" t="s">
        <v>34</v>
      </c>
      <c r="Y396" t="str">
        <f>"77494"</f>
        <v>77494</v>
      </c>
    </row>
    <row r="397" spans="1:25" x14ac:dyDescent="0.25">
      <c r="A397" t="s">
        <v>1900</v>
      </c>
      <c r="B397" t="s">
        <v>1901</v>
      </c>
      <c r="C397">
        <v>2021</v>
      </c>
      <c r="D397">
        <v>8001</v>
      </c>
      <c r="E397">
        <v>1</v>
      </c>
      <c r="F397" t="s">
        <v>1902</v>
      </c>
      <c r="G397">
        <v>30101591</v>
      </c>
      <c r="J397">
        <v>411.31</v>
      </c>
      <c r="L397">
        <v>48167746</v>
      </c>
      <c r="M397" s="1">
        <v>44522</v>
      </c>
      <c r="N397" t="str">
        <f>"RC211222"</f>
        <v>RC211222</v>
      </c>
      <c r="O397" t="s">
        <v>28</v>
      </c>
      <c r="Q397" t="s">
        <v>29</v>
      </c>
      <c r="R397" t="s">
        <v>28</v>
      </c>
      <c r="S397" t="s">
        <v>380</v>
      </c>
      <c r="T397" t="s">
        <v>1903</v>
      </c>
      <c r="U397" t="s">
        <v>1904</v>
      </c>
      <c r="V397" t="s">
        <v>1905</v>
      </c>
      <c r="W397" t="s">
        <v>75</v>
      </c>
      <c r="X397" t="s">
        <v>34</v>
      </c>
      <c r="Y397" t="str">
        <f>"770426040"</f>
        <v>770426040</v>
      </c>
    </row>
    <row r="398" spans="1:25" x14ac:dyDescent="0.25">
      <c r="A398" t="s">
        <v>1906</v>
      </c>
      <c r="B398" t="s">
        <v>1907</v>
      </c>
      <c r="C398">
        <v>2019</v>
      </c>
      <c r="D398">
        <v>8001</v>
      </c>
      <c r="E398">
        <v>1</v>
      </c>
      <c r="F398" t="s">
        <v>1908</v>
      </c>
      <c r="G398">
        <v>26740230</v>
      </c>
      <c r="J398">
        <v>155.4</v>
      </c>
      <c r="L398">
        <v>44231989</v>
      </c>
      <c r="M398" s="1">
        <v>43980</v>
      </c>
      <c r="N398" t="str">
        <f>"J200529AW4"</f>
        <v>J200529AW4</v>
      </c>
      <c r="O398" t="s">
        <v>28</v>
      </c>
      <c r="Q398" t="s">
        <v>29</v>
      </c>
      <c r="R398" t="s">
        <v>28</v>
      </c>
      <c r="S398" t="s">
        <v>1909</v>
      </c>
      <c r="T398" t="s">
        <v>1910</v>
      </c>
      <c r="W398" t="s">
        <v>1911</v>
      </c>
      <c r="X398" t="s">
        <v>317</v>
      </c>
      <c r="Y398" t="str">
        <f>"900514387"</f>
        <v>900514387</v>
      </c>
    </row>
    <row r="399" spans="1:25" x14ac:dyDescent="0.25">
      <c r="A399" t="s">
        <v>1912</v>
      </c>
      <c r="B399" t="s">
        <v>1913</v>
      </c>
      <c r="C399">
        <v>2019</v>
      </c>
      <c r="D399">
        <v>8001</v>
      </c>
      <c r="E399">
        <v>1</v>
      </c>
      <c r="F399" t="s">
        <v>1914</v>
      </c>
      <c r="G399">
        <v>28305730</v>
      </c>
      <c r="J399">
        <v>276.08999999999997</v>
      </c>
      <c r="L399">
        <v>43875785</v>
      </c>
      <c r="M399" s="1">
        <v>43894</v>
      </c>
      <c r="N399" t="str">
        <f>"EK200304"</f>
        <v>EK200304</v>
      </c>
      <c r="O399" t="s">
        <v>28</v>
      </c>
      <c r="Q399" t="s">
        <v>29</v>
      </c>
      <c r="R399" t="s">
        <v>28</v>
      </c>
      <c r="S399" t="s">
        <v>1915</v>
      </c>
      <c r="T399" t="s">
        <v>1916</v>
      </c>
      <c r="W399" t="s">
        <v>107</v>
      </c>
      <c r="X399" t="s">
        <v>34</v>
      </c>
      <c r="Y399" t="str">
        <f>"77494"</f>
        <v>77494</v>
      </c>
    </row>
    <row r="400" spans="1:25" x14ac:dyDescent="0.25">
      <c r="A400" t="s">
        <v>1912</v>
      </c>
      <c r="B400" t="s">
        <v>1913</v>
      </c>
      <c r="C400">
        <v>2020</v>
      </c>
      <c r="D400">
        <v>8001</v>
      </c>
      <c r="E400">
        <v>1</v>
      </c>
      <c r="F400" t="s">
        <v>1914</v>
      </c>
      <c r="G400">
        <v>29604581</v>
      </c>
      <c r="J400">
        <v>284.64999999999998</v>
      </c>
      <c r="L400">
        <v>47034763</v>
      </c>
      <c r="M400" s="1">
        <v>44259</v>
      </c>
      <c r="N400" t="str">
        <f>"CC210304"</f>
        <v>CC210304</v>
      </c>
      <c r="O400" t="s">
        <v>28</v>
      </c>
      <c r="Q400" t="s">
        <v>29</v>
      </c>
      <c r="R400" t="s">
        <v>28</v>
      </c>
      <c r="S400" t="s">
        <v>1915</v>
      </c>
      <c r="T400" t="s">
        <v>1916</v>
      </c>
      <c r="W400" t="s">
        <v>107</v>
      </c>
      <c r="X400" t="s">
        <v>34</v>
      </c>
      <c r="Y400" t="str">
        <f>"77494"</f>
        <v>77494</v>
      </c>
    </row>
    <row r="401" spans="1:25" x14ac:dyDescent="0.25">
      <c r="A401" t="s">
        <v>1917</v>
      </c>
      <c r="B401" t="s">
        <v>1918</v>
      </c>
      <c r="C401">
        <v>2020</v>
      </c>
      <c r="D401">
        <v>8001</v>
      </c>
      <c r="E401">
        <v>1</v>
      </c>
      <c r="F401" t="s">
        <v>1919</v>
      </c>
      <c r="G401">
        <v>0</v>
      </c>
      <c r="J401">
        <v>561.83000000000004</v>
      </c>
      <c r="L401">
        <v>46885388</v>
      </c>
      <c r="M401" s="1">
        <v>44236</v>
      </c>
      <c r="N401" t="str">
        <f>"J210209BW9"</f>
        <v>J210209BW9</v>
      </c>
      <c r="O401" t="s">
        <v>28</v>
      </c>
      <c r="Q401" t="s">
        <v>29</v>
      </c>
      <c r="R401" t="s">
        <v>28</v>
      </c>
      <c r="S401" t="s">
        <v>1919</v>
      </c>
      <c r="T401" t="s">
        <v>1920</v>
      </c>
      <c r="U401" t="s">
        <v>60</v>
      </c>
      <c r="V401" t="s">
        <v>60</v>
      </c>
      <c r="W401" t="s">
        <v>1137</v>
      </c>
      <c r="X401" t="s">
        <v>34</v>
      </c>
      <c r="Y401" t="str">
        <f>"774945298   "</f>
        <v xml:space="preserve">774945298   </v>
      </c>
    </row>
    <row r="402" spans="1:25" x14ac:dyDescent="0.25">
      <c r="A402" t="s">
        <v>1921</v>
      </c>
      <c r="B402" t="s">
        <v>1922</v>
      </c>
      <c r="C402">
        <v>2020</v>
      </c>
      <c r="D402">
        <v>8001</v>
      </c>
      <c r="E402">
        <v>1</v>
      </c>
      <c r="F402" t="s">
        <v>1923</v>
      </c>
      <c r="G402">
        <v>26540958</v>
      </c>
      <c r="J402">
        <v>179.6</v>
      </c>
      <c r="L402">
        <v>47501199</v>
      </c>
      <c r="M402" s="1">
        <v>44351</v>
      </c>
      <c r="N402" t="str">
        <f>"RC210607"</f>
        <v>RC210607</v>
      </c>
      <c r="O402" t="s">
        <v>28</v>
      </c>
      <c r="Q402" t="s">
        <v>29</v>
      </c>
      <c r="R402" t="s">
        <v>28</v>
      </c>
      <c r="S402" t="s">
        <v>1924</v>
      </c>
      <c r="T402" t="s">
        <v>1925</v>
      </c>
      <c r="W402" t="s">
        <v>107</v>
      </c>
      <c r="X402" t="s">
        <v>34</v>
      </c>
      <c r="Y402" t="str">
        <f>"774945479"</f>
        <v>774945479</v>
      </c>
    </row>
    <row r="403" spans="1:25" x14ac:dyDescent="0.25">
      <c r="A403" t="s">
        <v>1926</v>
      </c>
      <c r="B403" t="s">
        <v>1927</v>
      </c>
      <c r="C403">
        <v>2019</v>
      </c>
      <c r="D403">
        <v>8001</v>
      </c>
      <c r="E403">
        <v>1</v>
      </c>
      <c r="F403" t="s">
        <v>1928</v>
      </c>
      <c r="G403">
        <v>0</v>
      </c>
      <c r="J403">
        <v>20</v>
      </c>
      <c r="L403">
        <v>42708064</v>
      </c>
      <c r="M403" s="1">
        <v>43837</v>
      </c>
      <c r="N403" t="str">
        <f>"L200107"</f>
        <v>L200107</v>
      </c>
      <c r="O403" t="s">
        <v>28</v>
      </c>
      <c r="Q403" t="s">
        <v>29</v>
      </c>
      <c r="R403" t="s">
        <v>28</v>
      </c>
      <c r="S403" t="s">
        <v>1928</v>
      </c>
      <c r="T403" t="s">
        <v>1929</v>
      </c>
      <c r="U403" t="s">
        <v>60</v>
      </c>
      <c r="V403" t="s">
        <v>60</v>
      </c>
      <c r="W403" t="s">
        <v>1137</v>
      </c>
      <c r="X403" t="s">
        <v>34</v>
      </c>
      <c r="Y403" t="str">
        <f>"774945257   "</f>
        <v xml:space="preserve">774945257   </v>
      </c>
    </row>
    <row r="404" spans="1:25" x14ac:dyDescent="0.25">
      <c r="A404" t="s">
        <v>1930</v>
      </c>
      <c r="B404" t="s">
        <v>1931</v>
      </c>
      <c r="C404">
        <v>2019</v>
      </c>
      <c r="D404">
        <v>8001</v>
      </c>
      <c r="E404">
        <v>1</v>
      </c>
      <c r="F404" t="s">
        <v>1932</v>
      </c>
      <c r="G404">
        <v>28305708</v>
      </c>
      <c r="J404">
        <v>183.85</v>
      </c>
      <c r="L404">
        <v>43875763</v>
      </c>
      <c r="M404" s="1">
        <v>43894</v>
      </c>
      <c r="N404" t="str">
        <f>"EK200304"</f>
        <v>EK200304</v>
      </c>
      <c r="O404" t="s">
        <v>28</v>
      </c>
      <c r="Q404" t="s">
        <v>29</v>
      </c>
      <c r="R404" t="s">
        <v>28</v>
      </c>
      <c r="S404" t="s">
        <v>1933</v>
      </c>
      <c r="T404" t="s">
        <v>1934</v>
      </c>
      <c r="W404" t="s">
        <v>107</v>
      </c>
      <c r="X404" t="s">
        <v>34</v>
      </c>
      <c r="Y404" t="str">
        <f>"77494"</f>
        <v>77494</v>
      </c>
    </row>
    <row r="405" spans="1:25" x14ac:dyDescent="0.25">
      <c r="A405" t="s">
        <v>1935</v>
      </c>
      <c r="B405" t="s">
        <v>1936</v>
      </c>
      <c r="C405">
        <v>2019</v>
      </c>
      <c r="D405">
        <v>8001</v>
      </c>
      <c r="E405">
        <v>1</v>
      </c>
      <c r="F405" t="s">
        <v>1937</v>
      </c>
      <c r="G405">
        <v>28305705</v>
      </c>
      <c r="J405">
        <v>185.83</v>
      </c>
      <c r="L405">
        <v>43875760</v>
      </c>
      <c r="M405" s="1">
        <v>43894</v>
      </c>
      <c r="N405" t="str">
        <f>"EK200304"</f>
        <v>EK200304</v>
      </c>
      <c r="O405" t="s">
        <v>28</v>
      </c>
      <c r="Q405" t="s">
        <v>29</v>
      </c>
      <c r="R405" t="s">
        <v>28</v>
      </c>
      <c r="S405" t="s">
        <v>1933</v>
      </c>
      <c r="T405" t="s">
        <v>1934</v>
      </c>
      <c r="W405" t="s">
        <v>107</v>
      </c>
      <c r="X405" t="s">
        <v>34</v>
      </c>
      <c r="Y405" t="str">
        <f>"77494"</f>
        <v>77494</v>
      </c>
    </row>
    <row r="406" spans="1:25" x14ac:dyDescent="0.25">
      <c r="A406" t="s">
        <v>1938</v>
      </c>
      <c r="B406" t="s">
        <v>1939</v>
      </c>
      <c r="C406">
        <v>2021</v>
      </c>
      <c r="D406">
        <v>8001</v>
      </c>
      <c r="E406">
        <v>1</v>
      </c>
      <c r="F406" t="s">
        <v>1940</v>
      </c>
      <c r="G406">
        <v>30997239</v>
      </c>
      <c r="J406" s="2">
        <v>1400.79</v>
      </c>
      <c r="L406">
        <v>48832537</v>
      </c>
      <c r="M406" s="1">
        <v>44564</v>
      </c>
      <c r="N406" t="str">
        <f>"RC220208"</f>
        <v>RC220208</v>
      </c>
      <c r="O406" t="s">
        <v>28</v>
      </c>
      <c r="Q406" t="s">
        <v>29</v>
      </c>
      <c r="R406" t="s">
        <v>28</v>
      </c>
      <c r="S406" t="s">
        <v>1941</v>
      </c>
      <c r="T406" t="s">
        <v>1942</v>
      </c>
      <c r="U406" t="s">
        <v>1943</v>
      </c>
      <c r="W406" t="s">
        <v>563</v>
      </c>
      <c r="X406" t="s">
        <v>34</v>
      </c>
      <c r="Y406" t="str">
        <f>"750393740"</f>
        <v>750393740</v>
      </c>
    </row>
    <row r="407" spans="1:25" x14ac:dyDescent="0.25">
      <c r="A407" t="s">
        <v>1944</v>
      </c>
      <c r="B407" t="s">
        <v>1945</v>
      </c>
      <c r="C407">
        <v>2019</v>
      </c>
      <c r="D407">
        <v>8001</v>
      </c>
      <c r="E407">
        <v>1</v>
      </c>
      <c r="F407" t="s">
        <v>1946</v>
      </c>
      <c r="G407">
        <v>28298296</v>
      </c>
      <c r="J407">
        <v>127.36</v>
      </c>
      <c r="L407">
        <v>43864412</v>
      </c>
      <c r="M407" s="1">
        <v>43893</v>
      </c>
      <c r="N407" t="str">
        <f>"EK400303"</f>
        <v>EK400303</v>
      </c>
      <c r="O407" t="s">
        <v>28</v>
      </c>
      <c r="Q407" t="s">
        <v>29</v>
      </c>
      <c r="R407" t="s">
        <v>28</v>
      </c>
      <c r="S407" t="s">
        <v>1947</v>
      </c>
      <c r="T407" t="s">
        <v>1948</v>
      </c>
      <c r="W407" t="s">
        <v>107</v>
      </c>
      <c r="X407" t="s">
        <v>34</v>
      </c>
      <c r="Y407" t="str">
        <f>"77494"</f>
        <v>77494</v>
      </c>
    </row>
    <row r="408" spans="1:25" x14ac:dyDescent="0.25">
      <c r="A408" t="s">
        <v>1949</v>
      </c>
      <c r="B408" t="s">
        <v>1950</v>
      </c>
      <c r="C408">
        <v>2020</v>
      </c>
      <c r="D408">
        <v>8001</v>
      </c>
      <c r="E408">
        <v>1</v>
      </c>
      <c r="F408" t="s">
        <v>1951</v>
      </c>
      <c r="G408">
        <v>29461932</v>
      </c>
      <c r="J408">
        <v>281.55</v>
      </c>
      <c r="L408">
        <v>46728932</v>
      </c>
      <c r="M408" s="1">
        <v>44230</v>
      </c>
      <c r="N408" t="str">
        <f>"EK210203"</f>
        <v>EK210203</v>
      </c>
      <c r="O408" t="s">
        <v>28</v>
      </c>
      <c r="Q408" t="s">
        <v>29</v>
      </c>
      <c r="R408" t="s">
        <v>28</v>
      </c>
      <c r="S408" t="s">
        <v>1952</v>
      </c>
      <c r="T408" t="s">
        <v>1953</v>
      </c>
      <c r="W408" t="s">
        <v>107</v>
      </c>
      <c r="X408" t="s">
        <v>34</v>
      </c>
      <c r="Y408" t="str">
        <f>"77494"</f>
        <v>77494</v>
      </c>
    </row>
    <row r="409" spans="1:25" x14ac:dyDescent="0.25">
      <c r="A409" t="s">
        <v>1954</v>
      </c>
      <c r="B409" t="s">
        <v>1955</v>
      </c>
      <c r="C409">
        <v>2020</v>
      </c>
      <c r="D409">
        <v>8001</v>
      </c>
      <c r="E409">
        <v>1</v>
      </c>
      <c r="F409" t="s">
        <v>1956</v>
      </c>
      <c r="G409">
        <v>29461866</v>
      </c>
      <c r="J409">
        <v>362.43</v>
      </c>
      <c r="L409">
        <v>46728866</v>
      </c>
      <c r="M409" s="1">
        <v>44230</v>
      </c>
      <c r="N409" t="str">
        <f>"EK210203"</f>
        <v>EK210203</v>
      </c>
      <c r="O409" t="s">
        <v>28</v>
      </c>
      <c r="Q409" t="s">
        <v>29</v>
      </c>
      <c r="R409" t="s">
        <v>28</v>
      </c>
      <c r="S409" t="s">
        <v>1957</v>
      </c>
      <c r="T409" t="s">
        <v>1958</v>
      </c>
      <c r="W409" t="s">
        <v>107</v>
      </c>
      <c r="X409" t="s">
        <v>34</v>
      </c>
      <c r="Y409" t="str">
        <f>"77494"</f>
        <v>77494</v>
      </c>
    </row>
    <row r="410" spans="1:25" x14ac:dyDescent="0.25">
      <c r="A410" t="s">
        <v>1959</v>
      </c>
      <c r="B410" t="s">
        <v>1960</v>
      </c>
      <c r="C410">
        <v>2021</v>
      </c>
      <c r="D410">
        <v>8001</v>
      </c>
      <c r="E410">
        <v>1</v>
      </c>
      <c r="F410" t="s">
        <v>1961</v>
      </c>
      <c r="G410">
        <v>31032742</v>
      </c>
      <c r="J410">
        <v>10</v>
      </c>
      <c r="L410">
        <v>49298809</v>
      </c>
      <c r="M410" s="1">
        <v>44580</v>
      </c>
      <c r="N410" t="str">
        <f>"RC220221"</f>
        <v>RC220221</v>
      </c>
      <c r="O410" t="s">
        <v>28</v>
      </c>
      <c r="Q410" t="s">
        <v>29</v>
      </c>
      <c r="R410" t="s">
        <v>28</v>
      </c>
      <c r="S410" t="s">
        <v>1962</v>
      </c>
      <c r="T410" t="s">
        <v>1963</v>
      </c>
      <c r="W410" t="s">
        <v>107</v>
      </c>
      <c r="X410" t="s">
        <v>34</v>
      </c>
      <c r="Y410" t="str">
        <f>"774492973"</f>
        <v>774492973</v>
      </c>
    </row>
    <row r="411" spans="1:25" x14ac:dyDescent="0.25">
      <c r="A411" t="s">
        <v>1964</v>
      </c>
      <c r="B411" t="s">
        <v>1965</v>
      </c>
      <c r="C411">
        <v>2019</v>
      </c>
      <c r="D411">
        <v>8001</v>
      </c>
      <c r="E411">
        <v>1</v>
      </c>
      <c r="F411" t="s">
        <v>1966</v>
      </c>
      <c r="G411">
        <v>25995701</v>
      </c>
      <c r="J411">
        <v>153.35</v>
      </c>
      <c r="L411">
        <v>43915302</v>
      </c>
      <c r="M411" s="1">
        <v>43900</v>
      </c>
      <c r="N411" t="str">
        <f>"J200310AW5"</f>
        <v>J200310AW5</v>
      </c>
      <c r="O411" t="s">
        <v>28</v>
      </c>
      <c r="Q411" t="s">
        <v>29</v>
      </c>
      <c r="R411" t="s">
        <v>28</v>
      </c>
      <c r="S411" t="s">
        <v>1967</v>
      </c>
      <c r="T411" t="s">
        <v>1968</v>
      </c>
      <c r="W411" t="s">
        <v>75</v>
      </c>
      <c r="X411" t="s">
        <v>34</v>
      </c>
      <c r="Y411" t="str">
        <f>"77082"</f>
        <v>77082</v>
      </c>
    </row>
    <row r="412" spans="1:25" x14ac:dyDescent="0.25">
      <c r="A412" t="s">
        <v>1969</v>
      </c>
      <c r="B412" t="s">
        <v>1970</v>
      </c>
      <c r="C412">
        <v>2019</v>
      </c>
      <c r="D412">
        <v>8001</v>
      </c>
      <c r="E412">
        <v>1</v>
      </c>
      <c r="F412" t="s">
        <v>1971</v>
      </c>
      <c r="G412">
        <v>22993312</v>
      </c>
      <c r="J412">
        <v>15.98</v>
      </c>
      <c r="L412">
        <v>44288764</v>
      </c>
      <c r="M412" s="1">
        <v>43990</v>
      </c>
      <c r="N412" t="str">
        <f>"J200608K5"</f>
        <v>J200608K5</v>
      </c>
      <c r="O412" t="s">
        <v>28</v>
      </c>
      <c r="Q412" t="s">
        <v>29</v>
      </c>
      <c r="R412" t="s">
        <v>28</v>
      </c>
      <c r="S412" t="s">
        <v>1794</v>
      </c>
      <c r="T412" t="s">
        <v>1795</v>
      </c>
      <c r="W412" t="s">
        <v>1615</v>
      </c>
      <c r="X412" t="s">
        <v>143</v>
      </c>
      <c r="Y412" t="str">
        <f>"191156320"</f>
        <v>191156320</v>
      </c>
    </row>
    <row r="413" spans="1:25" x14ac:dyDescent="0.25">
      <c r="A413" t="s">
        <v>1969</v>
      </c>
      <c r="B413" t="s">
        <v>1970</v>
      </c>
      <c r="C413">
        <v>2020</v>
      </c>
      <c r="D413">
        <v>8001</v>
      </c>
      <c r="E413">
        <v>1</v>
      </c>
      <c r="F413" t="s">
        <v>1971</v>
      </c>
      <c r="G413">
        <v>22993312</v>
      </c>
      <c r="J413">
        <v>18</v>
      </c>
      <c r="L413">
        <v>47318296</v>
      </c>
      <c r="M413" s="1">
        <v>44307</v>
      </c>
      <c r="N413" t="str">
        <f>"RC211103"</f>
        <v>RC211103</v>
      </c>
      <c r="O413" t="s">
        <v>260</v>
      </c>
      <c r="Q413" t="s">
        <v>29</v>
      </c>
      <c r="R413" t="s">
        <v>28</v>
      </c>
      <c r="S413" t="s">
        <v>1794</v>
      </c>
      <c r="T413" t="s">
        <v>1795</v>
      </c>
      <c r="W413" t="s">
        <v>1615</v>
      </c>
      <c r="X413" t="s">
        <v>143</v>
      </c>
      <c r="Y413" t="str">
        <f>"191156320"</f>
        <v>191156320</v>
      </c>
    </row>
    <row r="414" spans="1:25" x14ac:dyDescent="0.25">
      <c r="A414" t="s">
        <v>1972</v>
      </c>
      <c r="B414" t="s">
        <v>1973</v>
      </c>
      <c r="C414">
        <v>2019</v>
      </c>
      <c r="D414">
        <v>8001</v>
      </c>
      <c r="E414">
        <v>1</v>
      </c>
      <c r="F414" t="s">
        <v>1974</v>
      </c>
      <c r="G414">
        <v>28305744</v>
      </c>
      <c r="J414">
        <v>100.16</v>
      </c>
      <c r="L414">
        <v>43875799</v>
      </c>
      <c r="M414" s="1">
        <v>43894</v>
      </c>
      <c r="N414" t="str">
        <f>"EK200304"</f>
        <v>EK200304</v>
      </c>
      <c r="O414" t="s">
        <v>28</v>
      </c>
      <c r="Q414" t="s">
        <v>29</v>
      </c>
      <c r="R414" t="s">
        <v>28</v>
      </c>
      <c r="S414" t="s">
        <v>1975</v>
      </c>
      <c r="T414" t="s">
        <v>1976</v>
      </c>
      <c r="W414" t="s">
        <v>107</v>
      </c>
      <c r="X414" t="s">
        <v>34</v>
      </c>
      <c r="Y414" t="str">
        <f>"77494"</f>
        <v>77494</v>
      </c>
    </row>
    <row r="415" spans="1:25" x14ac:dyDescent="0.25">
      <c r="A415" t="s">
        <v>1977</v>
      </c>
      <c r="B415" t="s">
        <v>1978</v>
      </c>
      <c r="C415">
        <v>2021</v>
      </c>
      <c r="D415">
        <v>8001</v>
      </c>
      <c r="E415">
        <v>1</v>
      </c>
      <c r="F415" t="s">
        <v>1979</v>
      </c>
      <c r="G415">
        <v>30511134</v>
      </c>
      <c r="J415" s="2">
        <v>1278.3399999999999</v>
      </c>
      <c r="L415">
        <v>48313673</v>
      </c>
      <c r="M415" s="1">
        <v>44536</v>
      </c>
      <c r="N415" t="str">
        <f>"RC220113"</f>
        <v>RC220113</v>
      </c>
      <c r="O415" t="s">
        <v>28</v>
      </c>
      <c r="Q415" t="s">
        <v>29</v>
      </c>
      <c r="R415" t="s">
        <v>28</v>
      </c>
      <c r="S415" t="s">
        <v>1941</v>
      </c>
      <c r="T415" t="s">
        <v>1942</v>
      </c>
      <c r="U415" t="s">
        <v>1943</v>
      </c>
      <c r="W415" t="s">
        <v>563</v>
      </c>
      <c r="X415" t="s">
        <v>34</v>
      </c>
      <c r="Y415" t="str">
        <f>"75039"</f>
        <v>75039</v>
      </c>
    </row>
    <row r="416" spans="1:25" x14ac:dyDescent="0.25">
      <c r="A416" t="s">
        <v>1980</v>
      </c>
      <c r="B416" t="s">
        <v>1981</v>
      </c>
      <c r="C416">
        <v>2021</v>
      </c>
      <c r="D416">
        <v>8001</v>
      </c>
      <c r="E416">
        <v>1</v>
      </c>
      <c r="F416" t="s">
        <v>1982</v>
      </c>
      <c r="G416">
        <v>28406245</v>
      </c>
      <c r="J416">
        <v>347.87</v>
      </c>
      <c r="L416">
        <v>49576144</v>
      </c>
      <c r="M416" s="1">
        <v>44587</v>
      </c>
      <c r="N416" t="str">
        <f>"RC220309"</f>
        <v>RC220309</v>
      </c>
      <c r="O416" t="s">
        <v>28</v>
      </c>
      <c r="Q416" t="s">
        <v>29</v>
      </c>
      <c r="R416" t="s">
        <v>28</v>
      </c>
      <c r="S416" t="s">
        <v>1474</v>
      </c>
      <c r="T416" t="s">
        <v>1475</v>
      </c>
      <c r="W416" t="s">
        <v>33</v>
      </c>
      <c r="X416" t="s">
        <v>34</v>
      </c>
      <c r="Y416" t="str">
        <f>"75093"</f>
        <v>75093</v>
      </c>
    </row>
    <row r="417" spans="1:25" x14ac:dyDescent="0.25">
      <c r="A417" t="s">
        <v>1983</v>
      </c>
      <c r="B417" t="s">
        <v>1984</v>
      </c>
      <c r="C417">
        <v>2020</v>
      </c>
      <c r="D417">
        <v>8001</v>
      </c>
      <c r="E417">
        <v>1</v>
      </c>
      <c r="F417" t="s">
        <v>1985</v>
      </c>
      <c r="G417">
        <v>0</v>
      </c>
      <c r="J417">
        <v>8.8000000000000007</v>
      </c>
      <c r="L417">
        <v>46575319</v>
      </c>
      <c r="M417" s="1">
        <v>44228</v>
      </c>
      <c r="N417" t="str">
        <f>"J210201K2"</f>
        <v>J210201K2</v>
      </c>
      <c r="O417" t="s">
        <v>28</v>
      </c>
      <c r="Q417" t="s">
        <v>29</v>
      </c>
      <c r="R417" t="s">
        <v>28</v>
      </c>
      <c r="S417" t="s">
        <v>1985</v>
      </c>
      <c r="T417" t="s">
        <v>1986</v>
      </c>
      <c r="U417" t="s">
        <v>60</v>
      </c>
      <c r="V417" t="s">
        <v>60</v>
      </c>
      <c r="W417" t="s">
        <v>198</v>
      </c>
      <c r="X417" t="s">
        <v>34</v>
      </c>
      <c r="Y417" t="str">
        <f>"752541341   "</f>
        <v xml:space="preserve">752541341   </v>
      </c>
    </row>
    <row r="418" spans="1:25" x14ac:dyDescent="0.25">
      <c r="A418" t="s">
        <v>1987</v>
      </c>
      <c r="B418" t="s">
        <v>1988</v>
      </c>
      <c r="C418">
        <v>2019</v>
      </c>
      <c r="D418">
        <v>8001</v>
      </c>
      <c r="E418">
        <v>1</v>
      </c>
      <c r="F418" t="s">
        <v>1989</v>
      </c>
      <c r="G418">
        <v>0</v>
      </c>
      <c r="J418">
        <v>41.83</v>
      </c>
      <c r="L418">
        <v>42666950</v>
      </c>
      <c r="M418" s="1">
        <v>43836</v>
      </c>
      <c r="N418" t="str">
        <f>"J200106AW7"</f>
        <v>J200106AW7</v>
      </c>
      <c r="O418" t="s">
        <v>28</v>
      </c>
      <c r="Q418" t="s">
        <v>29</v>
      </c>
      <c r="R418" t="s">
        <v>28</v>
      </c>
      <c r="S418" t="s">
        <v>1989</v>
      </c>
      <c r="T418" t="s">
        <v>1990</v>
      </c>
      <c r="U418" t="s">
        <v>60</v>
      </c>
      <c r="V418" t="s">
        <v>60</v>
      </c>
      <c r="W418" t="s">
        <v>214</v>
      </c>
      <c r="X418" t="s">
        <v>34</v>
      </c>
      <c r="Y418" t="str">
        <f>"774072154   "</f>
        <v xml:space="preserve">774072154   </v>
      </c>
    </row>
    <row r="419" spans="1:25" x14ac:dyDescent="0.25">
      <c r="A419" t="s">
        <v>1991</v>
      </c>
      <c r="B419" t="s">
        <v>1992</v>
      </c>
      <c r="C419">
        <v>2021</v>
      </c>
      <c r="D419">
        <v>8001</v>
      </c>
      <c r="E419">
        <v>1</v>
      </c>
      <c r="F419" t="s">
        <v>1993</v>
      </c>
      <c r="G419">
        <v>31032776</v>
      </c>
      <c r="J419">
        <v>448.43</v>
      </c>
      <c r="L419">
        <v>49328093</v>
      </c>
      <c r="M419" s="1">
        <v>44580</v>
      </c>
      <c r="N419" t="str">
        <f>"RC220221"</f>
        <v>RC220221</v>
      </c>
      <c r="O419" t="s">
        <v>28</v>
      </c>
      <c r="Q419" t="s">
        <v>29</v>
      </c>
      <c r="R419" t="s">
        <v>28</v>
      </c>
      <c r="S419" t="s">
        <v>1994</v>
      </c>
      <c r="T419" t="s">
        <v>1995</v>
      </c>
      <c r="W419" t="s">
        <v>40</v>
      </c>
      <c r="X419" t="s">
        <v>34</v>
      </c>
      <c r="Y419" t="str">
        <f>"774981689"</f>
        <v>774981689</v>
      </c>
    </row>
    <row r="420" spans="1:25" x14ac:dyDescent="0.25">
      <c r="A420" t="s">
        <v>1996</v>
      </c>
      <c r="B420" t="s">
        <v>1997</v>
      </c>
      <c r="C420">
        <v>2019</v>
      </c>
      <c r="D420">
        <v>8001</v>
      </c>
      <c r="E420">
        <v>1</v>
      </c>
      <c r="F420" t="s">
        <v>1998</v>
      </c>
      <c r="G420">
        <v>27789343</v>
      </c>
      <c r="J420">
        <v>324.60000000000002</v>
      </c>
      <c r="L420">
        <v>43261586</v>
      </c>
      <c r="M420" s="1">
        <v>43858</v>
      </c>
      <c r="N420" t="str">
        <f>"P200128U1"</f>
        <v>P200128U1</v>
      </c>
      <c r="O420" t="s">
        <v>28</v>
      </c>
      <c r="Q420" t="s">
        <v>29</v>
      </c>
      <c r="R420" t="s">
        <v>28</v>
      </c>
      <c r="S420" t="s">
        <v>1999</v>
      </c>
      <c r="T420" t="s">
        <v>2000</v>
      </c>
      <c r="W420" t="s">
        <v>332</v>
      </c>
      <c r="X420" t="s">
        <v>34</v>
      </c>
      <c r="Y420" t="str">
        <f>"752347334"</f>
        <v>752347334</v>
      </c>
    </row>
    <row r="421" spans="1:25" x14ac:dyDescent="0.25">
      <c r="A421" t="s">
        <v>2001</v>
      </c>
      <c r="B421" t="s">
        <v>2002</v>
      </c>
      <c r="C421">
        <v>2021</v>
      </c>
      <c r="D421">
        <v>8001</v>
      </c>
      <c r="E421">
        <v>2</v>
      </c>
      <c r="F421" t="s">
        <v>2003</v>
      </c>
      <c r="G421">
        <v>30511226</v>
      </c>
      <c r="J421" s="2">
        <v>18107.2</v>
      </c>
      <c r="L421">
        <v>48416722</v>
      </c>
      <c r="M421" s="1">
        <v>44540</v>
      </c>
      <c r="N421" t="str">
        <f>"RC220113"</f>
        <v>RC220113</v>
      </c>
      <c r="O421" t="s">
        <v>28</v>
      </c>
      <c r="Q421" t="s">
        <v>29</v>
      </c>
      <c r="R421" t="s">
        <v>28</v>
      </c>
      <c r="S421" t="s">
        <v>2004</v>
      </c>
      <c r="T421" t="s">
        <v>2005</v>
      </c>
      <c r="U421" t="s">
        <v>2006</v>
      </c>
      <c r="W421" t="s">
        <v>365</v>
      </c>
      <c r="X421" t="s">
        <v>34</v>
      </c>
      <c r="Y421" t="str">
        <f>"77384"</f>
        <v>77384</v>
      </c>
    </row>
    <row r="422" spans="1:25" x14ac:dyDescent="0.25">
      <c r="A422" t="s">
        <v>2007</v>
      </c>
      <c r="B422" t="s">
        <v>2008</v>
      </c>
      <c r="C422">
        <v>2020</v>
      </c>
      <c r="D422">
        <v>8001</v>
      </c>
      <c r="E422">
        <v>1</v>
      </c>
      <c r="F422" t="s">
        <v>2009</v>
      </c>
      <c r="G422">
        <v>27088471</v>
      </c>
      <c r="J422">
        <v>812.78</v>
      </c>
      <c r="L422">
        <v>46873668</v>
      </c>
      <c r="M422" s="1">
        <v>44236</v>
      </c>
      <c r="N422" t="str">
        <f>"O210209AB1"</f>
        <v>O210209AB1</v>
      </c>
      <c r="O422" t="s">
        <v>28</v>
      </c>
      <c r="Q422" t="s">
        <v>29</v>
      </c>
      <c r="R422" t="s">
        <v>28</v>
      </c>
      <c r="S422" t="s">
        <v>2010</v>
      </c>
      <c r="T422" t="s">
        <v>2011</v>
      </c>
      <c r="W422" t="s">
        <v>371</v>
      </c>
      <c r="X422" t="s">
        <v>34</v>
      </c>
      <c r="Y422" t="str">
        <f>"774773302"</f>
        <v>774773302</v>
      </c>
    </row>
    <row r="423" spans="1:25" x14ac:dyDescent="0.25">
      <c r="A423" t="s">
        <v>2012</v>
      </c>
      <c r="B423" t="s">
        <v>2013</v>
      </c>
      <c r="C423">
        <v>2020</v>
      </c>
      <c r="D423">
        <v>8001</v>
      </c>
      <c r="E423">
        <v>4</v>
      </c>
      <c r="F423" t="s">
        <v>2014</v>
      </c>
      <c r="G423">
        <v>29575683</v>
      </c>
      <c r="J423">
        <v>350</v>
      </c>
      <c r="L423">
        <v>46987074</v>
      </c>
      <c r="M423" s="1">
        <v>44253</v>
      </c>
      <c r="N423" t="str">
        <f>"EK210226"</f>
        <v>EK210226</v>
      </c>
      <c r="O423" t="s">
        <v>28</v>
      </c>
      <c r="Q423" t="s">
        <v>29</v>
      </c>
      <c r="R423" t="s">
        <v>28</v>
      </c>
      <c r="S423" t="s">
        <v>2015</v>
      </c>
      <c r="T423" t="s">
        <v>2016</v>
      </c>
      <c r="W423" t="s">
        <v>392</v>
      </c>
      <c r="X423" t="s">
        <v>34</v>
      </c>
      <c r="Y423" t="str">
        <f>"77489"</f>
        <v>77489</v>
      </c>
    </row>
    <row r="424" spans="1:25" x14ac:dyDescent="0.25">
      <c r="A424" t="s">
        <v>2017</v>
      </c>
      <c r="B424" t="s">
        <v>2018</v>
      </c>
      <c r="C424">
        <v>2019</v>
      </c>
      <c r="D424">
        <v>8001</v>
      </c>
      <c r="E424">
        <v>1</v>
      </c>
      <c r="F424" t="s">
        <v>2019</v>
      </c>
      <c r="G424">
        <v>0</v>
      </c>
      <c r="J424">
        <v>327.99</v>
      </c>
      <c r="L424">
        <v>42538475</v>
      </c>
      <c r="M424" s="1">
        <v>43830</v>
      </c>
      <c r="N424" t="str">
        <f>"L191231"</f>
        <v>L191231</v>
      </c>
      <c r="O424" t="s">
        <v>28</v>
      </c>
      <c r="Q424" t="s">
        <v>29</v>
      </c>
      <c r="R424" t="s">
        <v>28</v>
      </c>
      <c r="S424" t="s">
        <v>2019</v>
      </c>
      <c r="T424" t="s">
        <v>2020</v>
      </c>
      <c r="U424" t="s">
        <v>60</v>
      </c>
      <c r="V424" t="s">
        <v>60</v>
      </c>
      <c r="W424" t="s">
        <v>219</v>
      </c>
      <c r="X424" t="s">
        <v>34</v>
      </c>
      <c r="Y424" t="str">
        <f>"774791773   "</f>
        <v xml:space="preserve">774791773   </v>
      </c>
    </row>
    <row r="425" spans="1:25" x14ac:dyDescent="0.25">
      <c r="A425" t="s">
        <v>2021</v>
      </c>
      <c r="B425" t="s">
        <v>2022</v>
      </c>
      <c r="C425">
        <v>2019</v>
      </c>
      <c r="D425">
        <v>8001</v>
      </c>
      <c r="E425">
        <v>2</v>
      </c>
      <c r="F425" t="s">
        <v>2023</v>
      </c>
      <c r="G425">
        <v>26676648</v>
      </c>
      <c r="J425">
        <v>100</v>
      </c>
      <c r="L425">
        <v>42026414</v>
      </c>
      <c r="M425" s="1">
        <v>43796</v>
      </c>
      <c r="N425" t="str">
        <f>"J191127K2"</f>
        <v>J191127K2</v>
      </c>
      <c r="O425" t="s">
        <v>28</v>
      </c>
      <c r="Q425" t="s">
        <v>29</v>
      </c>
      <c r="R425" t="s">
        <v>28</v>
      </c>
      <c r="S425" t="s">
        <v>2024</v>
      </c>
      <c r="T425" t="s">
        <v>2025</v>
      </c>
      <c r="W425" t="s">
        <v>40</v>
      </c>
      <c r="X425" t="s">
        <v>34</v>
      </c>
      <c r="Y425" t="str">
        <f>"77479"</f>
        <v>77479</v>
      </c>
    </row>
    <row r="426" spans="1:25" x14ac:dyDescent="0.25">
      <c r="A426" t="s">
        <v>2026</v>
      </c>
      <c r="B426" t="s">
        <v>2027</v>
      </c>
      <c r="C426">
        <v>2021</v>
      </c>
      <c r="D426">
        <v>8001</v>
      </c>
      <c r="E426">
        <v>1</v>
      </c>
      <c r="F426" t="s">
        <v>2028</v>
      </c>
      <c r="G426">
        <v>28176454</v>
      </c>
      <c r="J426">
        <v>553.54999999999995</v>
      </c>
      <c r="L426">
        <v>48747159</v>
      </c>
      <c r="M426" s="1">
        <v>44559</v>
      </c>
      <c r="N426" t="str">
        <f>"O211229AV6"</f>
        <v>O211229AV6</v>
      </c>
      <c r="O426" t="s">
        <v>28</v>
      </c>
      <c r="Q426" t="s">
        <v>29</v>
      </c>
      <c r="R426" t="s">
        <v>28</v>
      </c>
      <c r="S426" t="s">
        <v>2029</v>
      </c>
      <c r="T426" t="s">
        <v>2030</v>
      </c>
      <c r="W426" t="s">
        <v>40</v>
      </c>
      <c r="X426" t="s">
        <v>34</v>
      </c>
      <c r="Y426" t="str">
        <f>"774784217"</f>
        <v>774784217</v>
      </c>
    </row>
    <row r="427" spans="1:25" x14ac:dyDescent="0.25">
      <c r="A427" t="s">
        <v>2031</v>
      </c>
      <c r="B427" t="s">
        <v>2032</v>
      </c>
      <c r="C427">
        <v>2019</v>
      </c>
      <c r="D427">
        <v>8001</v>
      </c>
      <c r="E427">
        <v>2</v>
      </c>
      <c r="F427" t="s">
        <v>2033</v>
      </c>
      <c r="G427">
        <v>28512020</v>
      </c>
      <c r="J427">
        <v>59.9</v>
      </c>
      <c r="L427">
        <v>44277844</v>
      </c>
      <c r="M427" s="1">
        <v>43986</v>
      </c>
      <c r="N427" t="str">
        <f>"CC300604"</f>
        <v>CC300604</v>
      </c>
      <c r="O427" t="s">
        <v>28</v>
      </c>
      <c r="Q427" t="s">
        <v>29</v>
      </c>
      <c r="R427" t="s">
        <v>28</v>
      </c>
      <c r="S427" t="s">
        <v>982</v>
      </c>
      <c r="T427" t="s">
        <v>983</v>
      </c>
      <c r="W427" t="s">
        <v>75</v>
      </c>
      <c r="X427" t="s">
        <v>34</v>
      </c>
      <c r="Y427" t="str">
        <f>"77098"</f>
        <v>77098</v>
      </c>
    </row>
    <row r="428" spans="1:25" x14ac:dyDescent="0.25">
      <c r="A428" t="s">
        <v>2034</v>
      </c>
      <c r="B428" t="s">
        <v>2035</v>
      </c>
      <c r="C428">
        <v>2019</v>
      </c>
      <c r="D428">
        <v>8001</v>
      </c>
      <c r="E428">
        <v>2</v>
      </c>
      <c r="F428" t="s">
        <v>2036</v>
      </c>
      <c r="G428">
        <v>28638225</v>
      </c>
      <c r="J428">
        <v>157.62</v>
      </c>
      <c r="L428">
        <v>44509808</v>
      </c>
      <c r="M428" s="1">
        <v>44070</v>
      </c>
      <c r="N428" t="str">
        <f>"O200827AF1"</f>
        <v>O200827AF1</v>
      </c>
      <c r="O428" t="s">
        <v>28</v>
      </c>
      <c r="Q428" t="s">
        <v>29</v>
      </c>
      <c r="R428" t="s">
        <v>28</v>
      </c>
      <c r="S428" t="s">
        <v>2037</v>
      </c>
      <c r="T428" t="s">
        <v>2038</v>
      </c>
      <c r="W428" t="s">
        <v>75</v>
      </c>
      <c r="X428" t="s">
        <v>34</v>
      </c>
      <c r="Y428" t="str">
        <f>"770424239"</f>
        <v>770424239</v>
      </c>
    </row>
    <row r="429" spans="1:25" x14ac:dyDescent="0.25">
      <c r="A429" t="s">
        <v>2039</v>
      </c>
      <c r="B429" t="s">
        <v>2040</v>
      </c>
      <c r="C429">
        <v>2019</v>
      </c>
      <c r="D429">
        <v>8001</v>
      </c>
      <c r="E429">
        <v>2</v>
      </c>
      <c r="F429" t="s">
        <v>2041</v>
      </c>
      <c r="G429">
        <v>27492633</v>
      </c>
      <c r="J429">
        <v>736.1</v>
      </c>
      <c r="L429">
        <v>44388180</v>
      </c>
      <c r="M429" s="1">
        <v>44025</v>
      </c>
      <c r="N429" t="str">
        <f>"J200713AW1"</f>
        <v>J200713AW1</v>
      </c>
      <c r="O429" t="s">
        <v>28</v>
      </c>
      <c r="Q429" t="s">
        <v>29</v>
      </c>
      <c r="R429" t="s">
        <v>28</v>
      </c>
      <c r="S429" t="s">
        <v>2042</v>
      </c>
      <c r="T429" t="s">
        <v>1685</v>
      </c>
      <c r="U429" t="s">
        <v>562</v>
      </c>
      <c r="W429" t="s">
        <v>563</v>
      </c>
      <c r="X429" t="s">
        <v>34</v>
      </c>
      <c r="Y429" t="str">
        <f>"750630156"</f>
        <v>750630156</v>
      </c>
    </row>
    <row r="430" spans="1:25" x14ac:dyDescent="0.25">
      <c r="A430" t="s">
        <v>2043</v>
      </c>
      <c r="B430" t="s">
        <v>2044</v>
      </c>
      <c r="C430">
        <v>2021</v>
      </c>
      <c r="D430">
        <v>8001</v>
      </c>
      <c r="E430">
        <v>1</v>
      </c>
      <c r="F430" t="s">
        <v>2045</v>
      </c>
      <c r="G430">
        <v>30592794</v>
      </c>
      <c r="J430">
        <v>425.76</v>
      </c>
      <c r="L430">
        <v>48793154</v>
      </c>
      <c r="M430" s="1">
        <v>44560</v>
      </c>
      <c r="N430" t="str">
        <f>"RC220125"</f>
        <v>RC220125</v>
      </c>
      <c r="O430" t="s">
        <v>28</v>
      </c>
      <c r="Q430" t="s">
        <v>29</v>
      </c>
      <c r="R430" t="s">
        <v>28</v>
      </c>
      <c r="S430" t="s">
        <v>2046</v>
      </c>
      <c r="T430" t="s">
        <v>2047</v>
      </c>
      <c r="W430" t="s">
        <v>75</v>
      </c>
      <c r="X430" t="s">
        <v>34</v>
      </c>
      <c r="Y430" t="str">
        <f>"770963307"</f>
        <v>770963307</v>
      </c>
    </row>
    <row r="431" spans="1:25" x14ac:dyDescent="0.25">
      <c r="A431" t="s">
        <v>2048</v>
      </c>
      <c r="B431" t="s">
        <v>2049</v>
      </c>
      <c r="C431">
        <v>2020</v>
      </c>
      <c r="D431">
        <v>8001</v>
      </c>
      <c r="E431">
        <v>2</v>
      </c>
      <c r="F431" t="s">
        <v>2050</v>
      </c>
      <c r="G431">
        <v>30066749</v>
      </c>
      <c r="J431">
        <v>36.93</v>
      </c>
      <c r="L431">
        <v>47789419</v>
      </c>
      <c r="M431" s="1">
        <v>44480</v>
      </c>
      <c r="N431" t="str">
        <f>"RC211105"</f>
        <v>RC211105</v>
      </c>
      <c r="O431" t="s">
        <v>28</v>
      </c>
      <c r="Q431" t="s">
        <v>29</v>
      </c>
      <c r="R431" t="s">
        <v>28</v>
      </c>
      <c r="S431" t="s">
        <v>2051</v>
      </c>
      <c r="T431" t="s">
        <v>2052</v>
      </c>
      <c r="W431" t="s">
        <v>2053</v>
      </c>
      <c r="X431" t="s">
        <v>162</v>
      </c>
      <c r="Y431" t="str">
        <f>"08054-5452"</f>
        <v>08054-5452</v>
      </c>
    </row>
    <row r="432" spans="1:25" x14ac:dyDescent="0.25">
      <c r="A432" t="s">
        <v>2054</v>
      </c>
      <c r="B432" t="s">
        <v>2055</v>
      </c>
      <c r="C432">
        <v>2020</v>
      </c>
      <c r="D432">
        <v>8001</v>
      </c>
      <c r="E432">
        <v>1</v>
      </c>
      <c r="F432" t="s">
        <v>2056</v>
      </c>
      <c r="G432">
        <v>29489518</v>
      </c>
      <c r="J432">
        <v>575.77</v>
      </c>
      <c r="L432">
        <v>46782217</v>
      </c>
      <c r="M432" s="1">
        <v>44231</v>
      </c>
      <c r="N432" t="str">
        <f>"CC210204"</f>
        <v>CC210204</v>
      </c>
      <c r="O432" t="s">
        <v>28</v>
      </c>
      <c r="Q432" t="s">
        <v>29</v>
      </c>
      <c r="R432" t="s">
        <v>28</v>
      </c>
      <c r="S432" t="s">
        <v>2057</v>
      </c>
      <c r="T432" t="s">
        <v>2058</v>
      </c>
      <c r="W432" t="s">
        <v>40</v>
      </c>
      <c r="X432" t="s">
        <v>34</v>
      </c>
      <c r="Y432" t="str">
        <f>"77498"</f>
        <v>77498</v>
      </c>
    </row>
    <row r="433" spans="1:25" x14ac:dyDescent="0.25">
      <c r="A433" t="s">
        <v>2059</v>
      </c>
      <c r="B433" t="s">
        <v>2060</v>
      </c>
      <c r="C433">
        <v>2020</v>
      </c>
      <c r="D433">
        <v>8001</v>
      </c>
      <c r="E433">
        <v>4</v>
      </c>
      <c r="F433" t="s">
        <v>2061</v>
      </c>
      <c r="G433">
        <v>0</v>
      </c>
      <c r="J433">
        <v>21.07</v>
      </c>
      <c r="L433">
        <v>47595088</v>
      </c>
      <c r="M433" s="1">
        <v>44386</v>
      </c>
      <c r="N433" t="str">
        <f>"J210709BW3"</f>
        <v>J210709BW3</v>
      </c>
      <c r="O433" t="s">
        <v>28</v>
      </c>
      <c r="Q433" t="s">
        <v>29</v>
      </c>
      <c r="R433" t="s">
        <v>28</v>
      </c>
      <c r="S433" t="s">
        <v>2061</v>
      </c>
      <c r="T433" t="s">
        <v>2062</v>
      </c>
      <c r="U433" t="s">
        <v>60</v>
      </c>
      <c r="V433" t="s">
        <v>60</v>
      </c>
      <c r="W433" t="s">
        <v>1333</v>
      </c>
      <c r="X433" t="s">
        <v>34</v>
      </c>
      <c r="Y433" t="str">
        <f>"774893957   "</f>
        <v xml:space="preserve">774893957   </v>
      </c>
    </row>
    <row r="434" spans="1:25" x14ac:dyDescent="0.25">
      <c r="A434" t="s">
        <v>2063</v>
      </c>
      <c r="B434" t="s">
        <v>2064</v>
      </c>
      <c r="C434">
        <v>2021</v>
      </c>
      <c r="D434">
        <v>8001</v>
      </c>
      <c r="E434">
        <v>1</v>
      </c>
      <c r="F434" t="s">
        <v>2065</v>
      </c>
      <c r="G434">
        <v>0</v>
      </c>
      <c r="J434">
        <v>389.24</v>
      </c>
      <c r="L434">
        <v>48435030</v>
      </c>
      <c r="M434" s="1">
        <v>44543</v>
      </c>
      <c r="N434" t="str">
        <f>"L211213"</f>
        <v>L211213</v>
      </c>
      <c r="O434" t="s">
        <v>28</v>
      </c>
      <c r="Q434" t="s">
        <v>29</v>
      </c>
      <c r="R434" t="s">
        <v>28</v>
      </c>
      <c r="S434" t="s">
        <v>2065</v>
      </c>
      <c r="T434" t="s">
        <v>2066</v>
      </c>
      <c r="U434" t="s">
        <v>60</v>
      </c>
      <c r="V434" t="s">
        <v>60</v>
      </c>
      <c r="W434" t="s">
        <v>219</v>
      </c>
      <c r="X434" t="s">
        <v>34</v>
      </c>
      <c r="Y434" t="str">
        <f>"774791533   "</f>
        <v xml:space="preserve">774791533   </v>
      </c>
    </row>
    <row r="435" spans="1:25" x14ac:dyDescent="0.25">
      <c r="A435" t="s">
        <v>2067</v>
      </c>
      <c r="B435" t="s">
        <v>2068</v>
      </c>
      <c r="C435">
        <v>2019</v>
      </c>
      <c r="D435">
        <v>8001</v>
      </c>
      <c r="E435">
        <v>2</v>
      </c>
      <c r="F435" t="s">
        <v>2069</v>
      </c>
      <c r="G435">
        <v>21532327</v>
      </c>
      <c r="J435">
        <v>56.73</v>
      </c>
      <c r="L435">
        <v>43909361</v>
      </c>
      <c r="M435" s="1">
        <v>43899</v>
      </c>
      <c r="N435" t="str">
        <f>"J200309AW5"</f>
        <v>J200309AW5</v>
      </c>
      <c r="O435" t="s">
        <v>28</v>
      </c>
      <c r="Q435" t="s">
        <v>29</v>
      </c>
      <c r="R435" t="s">
        <v>28</v>
      </c>
      <c r="S435" t="s">
        <v>904</v>
      </c>
      <c r="T435" t="s">
        <v>243</v>
      </c>
      <c r="W435" t="s">
        <v>244</v>
      </c>
      <c r="X435" t="s">
        <v>245</v>
      </c>
      <c r="Y435" t="str">
        <f>"48226"</f>
        <v>48226</v>
      </c>
    </row>
    <row r="436" spans="1:25" x14ac:dyDescent="0.25">
      <c r="A436" t="s">
        <v>2070</v>
      </c>
      <c r="B436" t="s">
        <v>2071</v>
      </c>
      <c r="C436">
        <v>2019</v>
      </c>
      <c r="D436">
        <v>8001</v>
      </c>
      <c r="E436">
        <v>1</v>
      </c>
      <c r="F436" t="s">
        <v>2072</v>
      </c>
      <c r="G436">
        <v>0</v>
      </c>
      <c r="J436">
        <v>640.94000000000005</v>
      </c>
      <c r="L436">
        <v>42336286</v>
      </c>
      <c r="M436" s="1">
        <v>43818</v>
      </c>
      <c r="N436" t="str">
        <f>"L191219"</f>
        <v>L191219</v>
      </c>
      <c r="O436" t="s">
        <v>28</v>
      </c>
      <c r="Q436" t="s">
        <v>29</v>
      </c>
      <c r="R436" t="s">
        <v>28</v>
      </c>
      <c r="S436" t="s">
        <v>2072</v>
      </c>
      <c r="T436" t="s">
        <v>2073</v>
      </c>
      <c r="U436" t="s">
        <v>60</v>
      </c>
      <c r="V436" t="s">
        <v>60</v>
      </c>
      <c r="W436" t="s">
        <v>219</v>
      </c>
      <c r="X436" t="s">
        <v>34</v>
      </c>
      <c r="Y436" t="str">
        <f>"774792414   "</f>
        <v xml:space="preserve">774792414   </v>
      </c>
    </row>
    <row r="437" spans="1:25" x14ac:dyDescent="0.25">
      <c r="A437" t="s">
        <v>2074</v>
      </c>
      <c r="B437" t="s">
        <v>2075</v>
      </c>
      <c r="C437">
        <v>2018</v>
      </c>
      <c r="D437">
        <v>8001</v>
      </c>
      <c r="E437">
        <v>7</v>
      </c>
      <c r="F437" t="s">
        <v>2076</v>
      </c>
      <c r="G437">
        <v>0</v>
      </c>
      <c r="J437">
        <v>30</v>
      </c>
      <c r="L437">
        <v>41466968</v>
      </c>
      <c r="M437" s="1">
        <v>43679</v>
      </c>
      <c r="N437" t="str">
        <f>"J190802AW4"</f>
        <v>J190802AW4</v>
      </c>
      <c r="O437" t="s">
        <v>28</v>
      </c>
      <c r="Q437" t="s">
        <v>29</v>
      </c>
      <c r="R437" t="s">
        <v>28</v>
      </c>
      <c r="S437" t="s">
        <v>2076</v>
      </c>
      <c r="T437" t="s">
        <v>2077</v>
      </c>
      <c r="U437" t="s">
        <v>60</v>
      </c>
      <c r="V437" t="s">
        <v>60</v>
      </c>
      <c r="W437" t="s">
        <v>219</v>
      </c>
      <c r="X437" t="s">
        <v>34</v>
      </c>
      <c r="Y437" t="str">
        <f>"774982453   "</f>
        <v xml:space="preserve">774982453   </v>
      </c>
    </row>
    <row r="438" spans="1:25" x14ac:dyDescent="0.25">
      <c r="A438" t="s">
        <v>2074</v>
      </c>
      <c r="B438" t="s">
        <v>2075</v>
      </c>
      <c r="C438">
        <v>2019</v>
      </c>
      <c r="D438">
        <v>8001</v>
      </c>
      <c r="E438">
        <v>6</v>
      </c>
      <c r="F438" t="s">
        <v>2076</v>
      </c>
      <c r="G438">
        <v>0</v>
      </c>
      <c r="J438">
        <v>32.33</v>
      </c>
      <c r="L438">
        <v>44468920</v>
      </c>
      <c r="M438" s="1">
        <v>44048</v>
      </c>
      <c r="N438" t="str">
        <f>"J200805K5"</f>
        <v>J200805K5</v>
      </c>
      <c r="O438" t="s">
        <v>28</v>
      </c>
      <c r="Q438" t="s">
        <v>29</v>
      </c>
      <c r="R438" t="s">
        <v>28</v>
      </c>
      <c r="S438" t="s">
        <v>2076</v>
      </c>
      <c r="T438" t="s">
        <v>2077</v>
      </c>
      <c r="U438" t="s">
        <v>60</v>
      </c>
      <c r="V438" t="s">
        <v>60</v>
      </c>
      <c r="W438" t="s">
        <v>219</v>
      </c>
      <c r="X438" t="s">
        <v>34</v>
      </c>
      <c r="Y438" t="str">
        <f>"774982453   "</f>
        <v xml:space="preserve">774982453   </v>
      </c>
    </row>
    <row r="439" spans="1:25" x14ac:dyDescent="0.25">
      <c r="A439" t="s">
        <v>2074</v>
      </c>
      <c r="B439" t="s">
        <v>2075</v>
      </c>
      <c r="C439">
        <v>2020</v>
      </c>
      <c r="D439">
        <v>8001</v>
      </c>
      <c r="E439">
        <v>5</v>
      </c>
      <c r="F439" t="s">
        <v>2076</v>
      </c>
      <c r="G439">
        <v>27383744</v>
      </c>
      <c r="J439">
        <v>9</v>
      </c>
      <c r="L439">
        <v>47681257</v>
      </c>
      <c r="M439" s="1">
        <v>44413</v>
      </c>
      <c r="N439" t="str">
        <f>"RC210810"</f>
        <v>RC210810</v>
      </c>
      <c r="O439" t="s">
        <v>28</v>
      </c>
      <c r="Q439" t="s">
        <v>29</v>
      </c>
      <c r="R439" t="s">
        <v>28</v>
      </c>
      <c r="S439" t="s">
        <v>2078</v>
      </c>
      <c r="T439" t="s">
        <v>2079</v>
      </c>
      <c r="U439" t="s">
        <v>2080</v>
      </c>
      <c r="W439" t="s">
        <v>40</v>
      </c>
      <c r="X439" t="s">
        <v>34</v>
      </c>
      <c r="Y439" t="str">
        <f>"774982453"</f>
        <v>774982453</v>
      </c>
    </row>
    <row r="440" spans="1:25" x14ac:dyDescent="0.25">
      <c r="A440" t="s">
        <v>2081</v>
      </c>
      <c r="B440" t="s">
        <v>2082</v>
      </c>
      <c r="C440">
        <v>2021</v>
      </c>
      <c r="D440">
        <v>8001</v>
      </c>
      <c r="E440">
        <v>1</v>
      </c>
      <c r="F440" t="s">
        <v>2083</v>
      </c>
      <c r="G440">
        <v>30101591</v>
      </c>
      <c r="J440">
        <v>33.17</v>
      </c>
      <c r="L440">
        <v>49113365</v>
      </c>
      <c r="M440" s="1">
        <v>44572</v>
      </c>
      <c r="N440" t="str">
        <f>"RC220221"</f>
        <v>RC220221</v>
      </c>
      <c r="O440" t="s">
        <v>28</v>
      </c>
      <c r="Q440" t="s">
        <v>29</v>
      </c>
      <c r="R440" t="s">
        <v>28</v>
      </c>
      <c r="S440" t="s">
        <v>380</v>
      </c>
      <c r="T440" t="s">
        <v>1903</v>
      </c>
      <c r="U440" t="s">
        <v>1904</v>
      </c>
      <c r="V440" t="s">
        <v>1905</v>
      </c>
      <c r="W440" t="s">
        <v>75</v>
      </c>
      <c r="X440" t="s">
        <v>34</v>
      </c>
      <c r="Y440" t="str">
        <f>"770426040"</f>
        <v>770426040</v>
      </c>
    </row>
    <row r="441" spans="1:25" x14ac:dyDescent="0.25">
      <c r="A441" t="s">
        <v>2084</v>
      </c>
      <c r="B441" t="s">
        <v>2085</v>
      </c>
      <c r="C441">
        <v>2020</v>
      </c>
      <c r="D441">
        <v>8001</v>
      </c>
      <c r="E441">
        <v>1</v>
      </c>
      <c r="F441" t="s">
        <v>2086</v>
      </c>
      <c r="G441">
        <v>23291446</v>
      </c>
      <c r="J441">
        <v>254.71</v>
      </c>
      <c r="L441">
        <v>46640568</v>
      </c>
      <c r="M441" s="1">
        <v>44229</v>
      </c>
      <c r="N441" t="str">
        <f>"RC210301"</f>
        <v>RC210301</v>
      </c>
      <c r="O441" t="s">
        <v>28</v>
      </c>
      <c r="Q441" t="s">
        <v>29</v>
      </c>
      <c r="R441" t="s">
        <v>28</v>
      </c>
      <c r="S441" t="s">
        <v>2087</v>
      </c>
      <c r="T441" t="s">
        <v>2088</v>
      </c>
      <c r="W441" t="s">
        <v>2089</v>
      </c>
      <c r="X441" t="s">
        <v>34</v>
      </c>
      <c r="Y441" t="str">
        <f>"775984394"</f>
        <v>775984394</v>
      </c>
    </row>
    <row r="442" spans="1:25" x14ac:dyDescent="0.25">
      <c r="A442" t="s">
        <v>2090</v>
      </c>
      <c r="B442" t="s">
        <v>2091</v>
      </c>
      <c r="C442">
        <v>2020</v>
      </c>
      <c r="D442">
        <v>8001</v>
      </c>
      <c r="E442">
        <v>2</v>
      </c>
      <c r="F442" t="s">
        <v>2092</v>
      </c>
      <c r="G442">
        <v>0</v>
      </c>
      <c r="J442">
        <v>8.3699999999999992</v>
      </c>
      <c r="L442">
        <v>47733697</v>
      </c>
      <c r="M442" s="1">
        <v>44442</v>
      </c>
      <c r="N442" t="str">
        <f>"J210903BW3"</f>
        <v>J210903BW3</v>
      </c>
      <c r="O442" t="s">
        <v>28</v>
      </c>
      <c r="Q442" t="s">
        <v>29</v>
      </c>
      <c r="R442" t="s">
        <v>28</v>
      </c>
      <c r="S442" t="s">
        <v>2092</v>
      </c>
      <c r="T442" t="s">
        <v>2093</v>
      </c>
      <c r="U442" t="s">
        <v>60</v>
      </c>
      <c r="V442" t="s">
        <v>60</v>
      </c>
      <c r="W442" t="s">
        <v>219</v>
      </c>
      <c r="X442" t="s">
        <v>34</v>
      </c>
      <c r="Y442" t="str">
        <f>"774982449   "</f>
        <v xml:space="preserve">774982449   </v>
      </c>
    </row>
    <row r="443" spans="1:25" x14ac:dyDescent="0.25">
      <c r="A443" t="s">
        <v>2094</v>
      </c>
      <c r="B443" t="s">
        <v>2095</v>
      </c>
      <c r="C443">
        <v>2021</v>
      </c>
      <c r="D443">
        <v>8001</v>
      </c>
      <c r="E443">
        <v>1</v>
      </c>
      <c r="F443" t="s">
        <v>2096</v>
      </c>
      <c r="G443">
        <v>0</v>
      </c>
      <c r="J443" s="2">
        <v>1513.63</v>
      </c>
      <c r="L443">
        <v>50199705</v>
      </c>
      <c r="M443" s="1">
        <v>44613</v>
      </c>
      <c r="N443" t="str">
        <f>"O220221AO1"</f>
        <v>O220221AO1</v>
      </c>
      <c r="O443" t="s">
        <v>28</v>
      </c>
      <c r="Q443" t="s">
        <v>29</v>
      </c>
      <c r="R443" t="s">
        <v>28</v>
      </c>
      <c r="S443" t="s">
        <v>2096</v>
      </c>
      <c r="T443" t="s">
        <v>2097</v>
      </c>
      <c r="U443" t="s">
        <v>1339</v>
      </c>
      <c r="V443" t="s">
        <v>60</v>
      </c>
      <c r="W443" t="s">
        <v>2098</v>
      </c>
      <c r="X443" t="s">
        <v>34</v>
      </c>
      <c r="Y443" t="str">
        <f>"94104       "</f>
        <v xml:space="preserve">94104       </v>
      </c>
    </row>
    <row r="444" spans="1:25" x14ac:dyDescent="0.25">
      <c r="A444" t="s">
        <v>2099</v>
      </c>
      <c r="B444" t="s">
        <v>2100</v>
      </c>
      <c r="C444">
        <v>2020</v>
      </c>
      <c r="D444">
        <v>8001</v>
      </c>
      <c r="E444">
        <v>1</v>
      </c>
      <c r="F444" t="s">
        <v>2101</v>
      </c>
      <c r="G444">
        <v>22917361</v>
      </c>
      <c r="J444">
        <v>209.26</v>
      </c>
      <c r="L444">
        <v>46673408</v>
      </c>
      <c r="M444" s="1">
        <v>44229</v>
      </c>
      <c r="N444" t="str">
        <f>"RC210301"</f>
        <v>RC210301</v>
      </c>
      <c r="O444" t="s">
        <v>28</v>
      </c>
      <c r="Q444" t="s">
        <v>29</v>
      </c>
      <c r="R444" t="s">
        <v>28</v>
      </c>
      <c r="S444" t="s">
        <v>2102</v>
      </c>
      <c r="T444" t="s">
        <v>2103</v>
      </c>
      <c r="W444" t="s">
        <v>75</v>
      </c>
      <c r="X444" t="s">
        <v>34</v>
      </c>
      <c r="Y444" t="str">
        <f>"770775722"</f>
        <v>770775722</v>
      </c>
    </row>
    <row r="445" spans="1:25" x14ac:dyDescent="0.25">
      <c r="A445" t="s">
        <v>2104</v>
      </c>
      <c r="B445" t="s">
        <v>2105</v>
      </c>
      <c r="C445">
        <v>2020</v>
      </c>
      <c r="D445">
        <v>8001</v>
      </c>
      <c r="E445">
        <v>3</v>
      </c>
      <c r="F445" t="s">
        <v>2106</v>
      </c>
      <c r="G445">
        <v>29952441</v>
      </c>
      <c r="J445">
        <v>520</v>
      </c>
      <c r="L445">
        <v>47673211</v>
      </c>
      <c r="M445" s="1">
        <v>44411</v>
      </c>
      <c r="N445" t="str">
        <f>"EK310803"</f>
        <v>EK310803</v>
      </c>
      <c r="O445" t="s">
        <v>28</v>
      </c>
      <c r="Q445" t="s">
        <v>29</v>
      </c>
      <c r="R445" t="s">
        <v>28</v>
      </c>
      <c r="S445" t="s">
        <v>2107</v>
      </c>
      <c r="T445" t="s">
        <v>2108</v>
      </c>
      <c r="W445" t="s">
        <v>75</v>
      </c>
      <c r="X445" t="s">
        <v>34</v>
      </c>
      <c r="Y445" t="str">
        <f>"77063"</f>
        <v>77063</v>
      </c>
    </row>
    <row r="446" spans="1:25" x14ac:dyDescent="0.25">
      <c r="A446" t="s">
        <v>2109</v>
      </c>
      <c r="B446" t="s">
        <v>2110</v>
      </c>
      <c r="C446">
        <v>2020</v>
      </c>
      <c r="D446">
        <v>8001</v>
      </c>
      <c r="E446">
        <v>1</v>
      </c>
      <c r="F446" t="s">
        <v>2111</v>
      </c>
      <c r="G446">
        <v>29037699</v>
      </c>
      <c r="J446">
        <v>677.99</v>
      </c>
      <c r="L446">
        <v>45255397</v>
      </c>
      <c r="M446" s="1">
        <v>44179</v>
      </c>
      <c r="N446" t="str">
        <f>"RC210107"</f>
        <v>RC210107</v>
      </c>
      <c r="O446" t="s">
        <v>28</v>
      </c>
      <c r="Q446" t="s">
        <v>29</v>
      </c>
      <c r="R446" t="s">
        <v>28</v>
      </c>
      <c r="S446" t="s">
        <v>2112</v>
      </c>
      <c r="T446" t="s">
        <v>2113</v>
      </c>
      <c r="U446" t="s">
        <v>2114</v>
      </c>
      <c r="W446" t="s">
        <v>244</v>
      </c>
      <c r="X446" t="s">
        <v>245</v>
      </c>
      <c r="Y446" t="str">
        <f>"48226"</f>
        <v>48226</v>
      </c>
    </row>
    <row r="447" spans="1:25" x14ac:dyDescent="0.25">
      <c r="A447" t="s">
        <v>2115</v>
      </c>
      <c r="B447" t="s">
        <v>2116</v>
      </c>
      <c r="C447">
        <v>2020</v>
      </c>
      <c r="D447">
        <v>8001</v>
      </c>
      <c r="E447">
        <v>1</v>
      </c>
      <c r="F447" t="s">
        <v>2117</v>
      </c>
      <c r="G447">
        <v>27822858</v>
      </c>
      <c r="J447">
        <v>116.72</v>
      </c>
      <c r="L447">
        <v>46901963</v>
      </c>
      <c r="M447" s="1">
        <v>44237</v>
      </c>
      <c r="N447" t="str">
        <f>"RC210304"</f>
        <v>RC210304</v>
      </c>
      <c r="O447" t="s">
        <v>28</v>
      </c>
      <c r="Q447" t="s">
        <v>29</v>
      </c>
      <c r="R447" t="s">
        <v>28</v>
      </c>
      <c r="S447" t="s">
        <v>2118</v>
      </c>
      <c r="T447" t="s">
        <v>2119</v>
      </c>
      <c r="W447" t="s">
        <v>107</v>
      </c>
      <c r="X447" t="s">
        <v>34</v>
      </c>
      <c r="Y447" t="str">
        <f>"77494"</f>
        <v>77494</v>
      </c>
    </row>
    <row r="448" spans="1:25" x14ac:dyDescent="0.25">
      <c r="A448" t="s">
        <v>2120</v>
      </c>
      <c r="B448" t="s">
        <v>2121</v>
      </c>
      <c r="C448">
        <v>2020</v>
      </c>
      <c r="D448">
        <v>8001</v>
      </c>
      <c r="E448">
        <v>2</v>
      </c>
      <c r="F448" t="s">
        <v>2122</v>
      </c>
      <c r="G448">
        <v>26582125</v>
      </c>
      <c r="J448">
        <v>197.77</v>
      </c>
      <c r="L448">
        <v>47258303</v>
      </c>
      <c r="M448" s="1">
        <v>44293</v>
      </c>
      <c r="N448" t="str">
        <f>"RC210414"</f>
        <v>RC210414</v>
      </c>
      <c r="O448" t="s">
        <v>28</v>
      </c>
      <c r="Q448" t="s">
        <v>29</v>
      </c>
      <c r="R448" t="s">
        <v>28</v>
      </c>
      <c r="S448" t="s">
        <v>1670</v>
      </c>
      <c r="T448" t="s">
        <v>1015</v>
      </c>
      <c r="W448" t="s">
        <v>563</v>
      </c>
      <c r="X448" t="s">
        <v>34</v>
      </c>
      <c r="Y448" t="str">
        <f>"750630156"</f>
        <v>750630156</v>
      </c>
    </row>
    <row r="449" spans="1:25" x14ac:dyDescent="0.25">
      <c r="A449" t="s">
        <v>2123</v>
      </c>
      <c r="B449" t="s">
        <v>2124</v>
      </c>
      <c r="C449">
        <v>2021</v>
      </c>
      <c r="D449">
        <v>8001</v>
      </c>
      <c r="E449">
        <v>19</v>
      </c>
      <c r="F449" t="s">
        <v>2125</v>
      </c>
      <c r="G449">
        <v>0</v>
      </c>
      <c r="J449">
        <v>99.07</v>
      </c>
      <c r="L449">
        <v>47692765</v>
      </c>
      <c r="M449" s="1">
        <v>44516</v>
      </c>
      <c r="N449" t="str">
        <f>"TE211116"</f>
        <v>TE211116</v>
      </c>
      <c r="O449" t="s">
        <v>28</v>
      </c>
      <c r="Q449" t="s">
        <v>29</v>
      </c>
      <c r="R449" t="s">
        <v>28</v>
      </c>
      <c r="S449" t="s">
        <v>2125</v>
      </c>
      <c r="T449" t="s">
        <v>2126</v>
      </c>
      <c r="U449" t="s">
        <v>60</v>
      </c>
      <c r="V449" t="s">
        <v>60</v>
      </c>
      <c r="W449" t="s">
        <v>273</v>
      </c>
      <c r="X449" t="s">
        <v>34</v>
      </c>
      <c r="Y449" t="str">
        <f>"774411830   "</f>
        <v xml:space="preserve">774411830   </v>
      </c>
    </row>
    <row r="450" spans="1:25" x14ac:dyDescent="0.25">
      <c r="A450" t="s">
        <v>2127</v>
      </c>
      <c r="B450" t="s">
        <v>2128</v>
      </c>
      <c r="C450">
        <v>2021</v>
      </c>
      <c r="D450">
        <v>8001</v>
      </c>
      <c r="E450">
        <v>1</v>
      </c>
      <c r="F450" t="s">
        <v>2129</v>
      </c>
      <c r="G450">
        <v>30592802</v>
      </c>
      <c r="J450">
        <v>38.82</v>
      </c>
      <c r="L450">
        <v>48727905</v>
      </c>
      <c r="M450" s="1">
        <v>44558</v>
      </c>
      <c r="N450" t="str">
        <f>"RC220125"</f>
        <v>RC220125</v>
      </c>
      <c r="O450" t="s">
        <v>28</v>
      </c>
      <c r="Q450" t="s">
        <v>29</v>
      </c>
      <c r="R450" t="s">
        <v>28</v>
      </c>
      <c r="S450" t="s">
        <v>2130</v>
      </c>
      <c r="T450" t="s">
        <v>2131</v>
      </c>
      <c r="W450" t="s">
        <v>81</v>
      </c>
      <c r="X450" t="s">
        <v>34</v>
      </c>
      <c r="Y450" t="str">
        <f>"77469-2093"</f>
        <v>77469-2093</v>
      </c>
    </row>
    <row r="451" spans="1:25" x14ac:dyDescent="0.25">
      <c r="A451" t="s">
        <v>2132</v>
      </c>
      <c r="B451" t="s">
        <v>2133</v>
      </c>
      <c r="C451">
        <v>2020</v>
      </c>
      <c r="D451">
        <v>8001</v>
      </c>
      <c r="E451">
        <v>1</v>
      </c>
      <c r="F451" t="s">
        <v>2134</v>
      </c>
      <c r="G451">
        <v>0</v>
      </c>
      <c r="J451">
        <v>36.11</v>
      </c>
      <c r="L451">
        <v>45233804</v>
      </c>
      <c r="M451" s="1">
        <v>44176</v>
      </c>
      <c r="N451" t="str">
        <f>"J201211K3"</f>
        <v>J201211K3</v>
      </c>
      <c r="O451" t="s">
        <v>28</v>
      </c>
      <c r="Q451" t="s">
        <v>29</v>
      </c>
      <c r="R451" t="s">
        <v>28</v>
      </c>
      <c r="S451" t="s">
        <v>2134</v>
      </c>
      <c r="T451" t="s">
        <v>2135</v>
      </c>
      <c r="U451" t="s">
        <v>60</v>
      </c>
      <c r="V451" t="s">
        <v>60</v>
      </c>
      <c r="W451" t="s">
        <v>214</v>
      </c>
      <c r="X451" t="s">
        <v>34</v>
      </c>
      <c r="Y451" t="str">
        <f>"774692049   "</f>
        <v xml:space="preserve">774692049   </v>
      </c>
    </row>
    <row r="452" spans="1:25" x14ac:dyDescent="0.25">
      <c r="A452" t="s">
        <v>2136</v>
      </c>
      <c r="B452" t="s">
        <v>2137</v>
      </c>
      <c r="C452">
        <v>2021</v>
      </c>
      <c r="D452">
        <v>8001</v>
      </c>
      <c r="E452">
        <v>1</v>
      </c>
      <c r="F452" t="s">
        <v>2138</v>
      </c>
      <c r="G452">
        <v>0</v>
      </c>
      <c r="J452">
        <v>278.52999999999997</v>
      </c>
      <c r="L452">
        <v>48713548</v>
      </c>
      <c r="M452" s="1">
        <v>44558</v>
      </c>
      <c r="N452" t="str">
        <f>"L211228"</f>
        <v>L211228</v>
      </c>
      <c r="O452" t="s">
        <v>28</v>
      </c>
      <c r="Q452" t="s">
        <v>29</v>
      </c>
      <c r="R452" t="s">
        <v>28</v>
      </c>
      <c r="S452" t="s">
        <v>2138</v>
      </c>
      <c r="T452" t="s">
        <v>2139</v>
      </c>
      <c r="U452" t="s">
        <v>60</v>
      </c>
      <c r="V452" t="s">
        <v>60</v>
      </c>
      <c r="W452" t="s">
        <v>214</v>
      </c>
      <c r="X452" t="s">
        <v>34</v>
      </c>
      <c r="Y452" t="str">
        <f>"774692018   "</f>
        <v xml:space="preserve">774692018   </v>
      </c>
    </row>
    <row r="453" spans="1:25" x14ac:dyDescent="0.25">
      <c r="A453" t="s">
        <v>2140</v>
      </c>
      <c r="B453" t="s">
        <v>2141</v>
      </c>
      <c r="C453">
        <v>2020</v>
      </c>
      <c r="D453">
        <v>8001</v>
      </c>
      <c r="E453">
        <v>1</v>
      </c>
      <c r="F453" t="s">
        <v>2142</v>
      </c>
      <c r="G453">
        <v>0</v>
      </c>
      <c r="J453">
        <v>540</v>
      </c>
      <c r="L453">
        <v>45927963</v>
      </c>
      <c r="M453" s="1">
        <v>44209</v>
      </c>
      <c r="N453" t="str">
        <f>"J210113K1"</f>
        <v>J210113K1</v>
      </c>
      <c r="O453" t="s">
        <v>28</v>
      </c>
      <c r="Q453" t="s">
        <v>29</v>
      </c>
      <c r="R453" t="s">
        <v>28</v>
      </c>
      <c r="S453" t="s">
        <v>2142</v>
      </c>
      <c r="T453" t="s">
        <v>2143</v>
      </c>
      <c r="U453" t="s">
        <v>60</v>
      </c>
      <c r="V453" t="s">
        <v>60</v>
      </c>
      <c r="W453" t="s">
        <v>219</v>
      </c>
      <c r="X453" t="s">
        <v>34</v>
      </c>
      <c r="Y453" t="str">
        <f>"774793101   "</f>
        <v xml:space="preserve">774793101   </v>
      </c>
    </row>
    <row r="454" spans="1:25" x14ac:dyDescent="0.25">
      <c r="A454" t="s">
        <v>2144</v>
      </c>
      <c r="B454" t="s">
        <v>2145</v>
      </c>
      <c r="C454">
        <v>2021</v>
      </c>
      <c r="D454">
        <v>8001</v>
      </c>
      <c r="E454">
        <v>1</v>
      </c>
      <c r="F454" t="s">
        <v>2146</v>
      </c>
      <c r="G454">
        <v>0</v>
      </c>
      <c r="J454">
        <v>22.09</v>
      </c>
      <c r="L454">
        <v>48704988</v>
      </c>
      <c r="M454" s="1">
        <v>44558</v>
      </c>
      <c r="N454" t="str">
        <f>"J211228BW8"</f>
        <v>J211228BW8</v>
      </c>
      <c r="O454" t="s">
        <v>28</v>
      </c>
      <c r="Q454" t="s">
        <v>29</v>
      </c>
      <c r="R454" t="s">
        <v>28</v>
      </c>
      <c r="S454" t="s">
        <v>2146</v>
      </c>
      <c r="T454" t="s">
        <v>2147</v>
      </c>
      <c r="U454" t="s">
        <v>2148</v>
      </c>
      <c r="V454" t="s">
        <v>2149</v>
      </c>
      <c r="W454" t="s">
        <v>214</v>
      </c>
      <c r="X454" t="s">
        <v>34</v>
      </c>
      <c r="Y454" t="str">
        <f>"782321443   "</f>
        <v xml:space="preserve">782321443   </v>
      </c>
    </row>
    <row r="455" spans="1:25" x14ac:dyDescent="0.25">
      <c r="A455" t="s">
        <v>2150</v>
      </c>
      <c r="B455" t="s">
        <v>2151</v>
      </c>
      <c r="C455">
        <v>2020</v>
      </c>
      <c r="D455">
        <v>8001</v>
      </c>
      <c r="E455">
        <v>1</v>
      </c>
      <c r="F455" t="s">
        <v>2152</v>
      </c>
      <c r="G455">
        <v>29491482</v>
      </c>
      <c r="J455" s="2">
        <v>9998.98</v>
      </c>
      <c r="L455">
        <v>46793029</v>
      </c>
      <c r="M455" s="1">
        <v>44232</v>
      </c>
      <c r="N455" t="str">
        <f>"T210205BO2"</f>
        <v>T210205BO2</v>
      </c>
      <c r="O455" t="s">
        <v>28</v>
      </c>
      <c r="Q455" t="s">
        <v>29</v>
      </c>
      <c r="R455" t="s">
        <v>28</v>
      </c>
      <c r="S455" t="s">
        <v>2037</v>
      </c>
      <c r="T455" t="s">
        <v>2153</v>
      </c>
      <c r="W455" t="s">
        <v>2154</v>
      </c>
      <c r="X455" t="s">
        <v>227</v>
      </c>
      <c r="Y455" t="str">
        <f>"852603966"</f>
        <v>852603966</v>
      </c>
    </row>
    <row r="456" spans="1:25" x14ac:dyDescent="0.25">
      <c r="A456" t="s">
        <v>2155</v>
      </c>
      <c r="B456" t="s">
        <v>2156</v>
      </c>
      <c r="C456">
        <v>2020</v>
      </c>
      <c r="D456">
        <v>8001</v>
      </c>
      <c r="E456">
        <v>1</v>
      </c>
      <c r="F456" t="s">
        <v>2157</v>
      </c>
      <c r="G456">
        <v>29491482</v>
      </c>
      <c r="J456">
        <v>5</v>
      </c>
      <c r="L456">
        <v>46793029</v>
      </c>
      <c r="M456" s="1">
        <v>44232</v>
      </c>
      <c r="N456" t="str">
        <f>"T210205BO2"</f>
        <v>T210205BO2</v>
      </c>
      <c r="O456" t="s">
        <v>28</v>
      </c>
      <c r="Q456" t="s">
        <v>29</v>
      </c>
      <c r="R456" t="s">
        <v>28</v>
      </c>
      <c r="S456" t="s">
        <v>2037</v>
      </c>
      <c r="T456" t="s">
        <v>2153</v>
      </c>
      <c r="W456" t="s">
        <v>2154</v>
      </c>
      <c r="X456" t="s">
        <v>227</v>
      </c>
      <c r="Y456" t="str">
        <f>"852603966"</f>
        <v>852603966</v>
      </c>
    </row>
    <row r="457" spans="1:25" x14ac:dyDescent="0.25">
      <c r="A457" t="s">
        <v>2158</v>
      </c>
      <c r="B457" t="s">
        <v>2159</v>
      </c>
      <c r="C457">
        <v>2020</v>
      </c>
      <c r="D457">
        <v>8001</v>
      </c>
      <c r="E457">
        <v>1</v>
      </c>
      <c r="F457" t="s">
        <v>2160</v>
      </c>
      <c r="G457">
        <v>0</v>
      </c>
      <c r="J457">
        <v>280.37</v>
      </c>
      <c r="L457">
        <v>46026839</v>
      </c>
      <c r="M457" s="1">
        <v>44211</v>
      </c>
      <c r="N457" t="str">
        <f>"L210115"</f>
        <v>L210115</v>
      </c>
      <c r="O457" t="s">
        <v>28</v>
      </c>
      <c r="Q457" t="s">
        <v>29</v>
      </c>
      <c r="R457" t="s">
        <v>28</v>
      </c>
      <c r="S457" t="s">
        <v>2160</v>
      </c>
      <c r="T457" t="s">
        <v>2161</v>
      </c>
      <c r="U457" t="s">
        <v>60</v>
      </c>
      <c r="V457" t="s">
        <v>60</v>
      </c>
      <c r="W457" t="s">
        <v>219</v>
      </c>
      <c r="X457" t="s">
        <v>34</v>
      </c>
      <c r="Y457" t="str">
        <f>"774982526   "</f>
        <v xml:space="preserve">774982526   </v>
      </c>
    </row>
    <row r="458" spans="1:25" x14ac:dyDescent="0.25">
      <c r="A458" t="s">
        <v>2162</v>
      </c>
      <c r="B458" t="s">
        <v>2163</v>
      </c>
      <c r="C458">
        <v>2021</v>
      </c>
      <c r="D458">
        <v>8001</v>
      </c>
      <c r="E458">
        <v>11</v>
      </c>
      <c r="F458" t="s">
        <v>2164</v>
      </c>
      <c r="G458">
        <v>29647308</v>
      </c>
      <c r="J458">
        <v>305.07</v>
      </c>
      <c r="L458">
        <v>47743779</v>
      </c>
      <c r="M458" s="1">
        <v>44516</v>
      </c>
      <c r="N458" t="str">
        <f>"TE211116"</f>
        <v>TE211116</v>
      </c>
      <c r="O458" t="s">
        <v>28</v>
      </c>
      <c r="Q458" t="s">
        <v>29</v>
      </c>
      <c r="R458" t="s">
        <v>28</v>
      </c>
      <c r="S458" t="s">
        <v>2165</v>
      </c>
      <c r="T458" t="s">
        <v>2166</v>
      </c>
      <c r="W458" t="s">
        <v>75</v>
      </c>
      <c r="X458" t="s">
        <v>34</v>
      </c>
      <c r="Y458" t="str">
        <f>"770943413"</f>
        <v>770943413</v>
      </c>
    </row>
    <row r="459" spans="1:25" x14ac:dyDescent="0.25">
      <c r="A459" t="s">
        <v>2162</v>
      </c>
      <c r="B459" t="s">
        <v>2163</v>
      </c>
      <c r="C459">
        <v>2021</v>
      </c>
      <c r="D459">
        <v>8001</v>
      </c>
      <c r="E459">
        <v>11</v>
      </c>
      <c r="F459" t="s">
        <v>2164</v>
      </c>
      <c r="G459">
        <v>27705767</v>
      </c>
      <c r="J459">
        <v>778.33</v>
      </c>
      <c r="L459">
        <v>47806289</v>
      </c>
      <c r="M459" s="1">
        <v>44516</v>
      </c>
      <c r="N459" t="str">
        <f>"TE211116"</f>
        <v>TE211116</v>
      </c>
      <c r="O459" t="s">
        <v>28</v>
      </c>
      <c r="Q459" t="s">
        <v>29</v>
      </c>
      <c r="R459" t="s">
        <v>28</v>
      </c>
      <c r="S459" t="s">
        <v>2167</v>
      </c>
      <c r="T459" t="s">
        <v>2168</v>
      </c>
      <c r="W459" t="s">
        <v>75</v>
      </c>
      <c r="X459" t="s">
        <v>34</v>
      </c>
      <c r="Y459" t="str">
        <f>"770943413"</f>
        <v>770943413</v>
      </c>
    </row>
    <row r="460" spans="1:25" x14ac:dyDescent="0.25">
      <c r="A460" t="s">
        <v>2162</v>
      </c>
      <c r="B460" t="s">
        <v>2163</v>
      </c>
      <c r="C460">
        <v>2021</v>
      </c>
      <c r="D460">
        <v>8001</v>
      </c>
      <c r="E460">
        <v>11</v>
      </c>
      <c r="F460" t="s">
        <v>2164</v>
      </c>
      <c r="G460">
        <v>29647308</v>
      </c>
      <c r="J460">
        <v>778.33</v>
      </c>
      <c r="L460">
        <v>48080850</v>
      </c>
      <c r="M460" s="1">
        <v>44516</v>
      </c>
      <c r="N460" t="str">
        <f>"TE211116"</f>
        <v>TE211116</v>
      </c>
      <c r="O460" t="s">
        <v>28</v>
      </c>
      <c r="Q460" t="s">
        <v>29</v>
      </c>
      <c r="R460" t="s">
        <v>28</v>
      </c>
      <c r="S460" t="s">
        <v>2165</v>
      </c>
      <c r="T460" t="s">
        <v>2166</v>
      </c>
      <c r="W460" t="s">
        <v>75</v>
      </c>
      <c r="X460" t="s">
        <v>34</v>
      </c>
      <c r="Y460" t="str">
        <f>"770943413"</f>
        <v>770943413</v>
      </c>
    </row>
    <row r="461" spans="1:25" x14ac:dyDescent="0.25">
      <c r="A461" t="s">
        <v>2169</v>
      </c>
      <c r="B461" t="s">
        <v>2170</v>
      </c>
      <c r="C461">
        <v>2021</v>
      </c>
      <c r="D461">
        <v>8001</v>
      </c>
      <c r="E461">
        <v>1</v>
      </c>
      <c r="F461" t="s">
        <v>2171</v>
      </c>
      <c r="G461">
        <v>22888334</v>
      </c>
      <c r="J461" s="2">
        <v>13331.5</v>
      </c>
      <c r="L461">
        <v>49154664</v>
      </c>
      <c r="M461" s="1">
        <v>44573</v>
      </c>
      <c r="N461" t="str">
        <f>"RC220221"</f>
        <v>RC220221</v>
      </c>
      <c r="O461" t="s">
        <v>28</v>
      </c>
      <c r="Q461" t="s">
        <v>29</v>
      </c>
      <c r="R461" t="s">
        <v>28</v>
      </c>
      <c r="S461" t="s">
        <v>2172</v>
      </c>
      <c r="T461" t="s">
        <v>2173</v>
      </c>
      <c r="W461" t="s">
        <v>2174</v>
      </c>
      <c r="X461" t="s">
        <v>2175</v>
      </c>
      <c r="Y461" t="str">
        <f>"281178520"</f>
        <v>281178520</v>
      </c>
    </row>
    <row r="462" spans="1:25" x14ac:dyDescent="0.25">
      <c r="A462" t="s">
        <v>2176</v>
      </c>
      <c r="B462" t="s">
        <v>2177</v>
      </c>
      <c r="C462">
        <v>2019</v>
      </c>
      <c r="D462">
        <v>8001</v>
      </c>
      <c r="E462">
        <v>1</v>
      </c>
      <c r="F462" t="s">
        <v>2178</v>
      </c>
      <c r="G462">
        <v>0</v>
      </c>
      <c r="J462">
        <v>200</v>
      </c>
      <c r="L462">
        <v>44500438</v>
      </c>
      <c r="M462" s="1">
        <v>44063</v>
      </c>
      <c r="N462" t="str">
        <f>"O200820BZ1"</f>
        <v>O200820BZ1</v>
      </c>
      <c r="O462" t="s">
        <v>28</v>
      </c>
      <c r="Q462" t="s">
        <v>29</v>
      </c>
      <c r="R462" t="s">
        <v>28</v>
      </c>
      <c r="S462" t="s">
        <v>2178</v>
      </c>
      <c r="T462" t="s">
        <v>2179</v>
      </c>
      <c r="U462" t="s">
        <v>60</v>
      </c>
      <c r="V462" t="s">
        <v>60</v>
      </c>
      <c r="W462" t="s">
        <v>214</v>
      </c>
      <c r="X462" t="s">
        <v>34</v>
      </c>
      <c r="Y462" t="str">
        <f>"774698956   "</f>
        <v xml:space="preserve">774698956   </v>
      </c>
    </row>
    <row r="463" spans="1:25" x14ac:dyDescent="0.25">
      <c r="A463" t="s">
        <v>2180</v>
      </c>
      <c r="B463" t="s">
        <v>2181</v>
      </c>
      <c r="C463">
        <v>2020</v>
      </c>
      <c r="D463">
        <v>8001</v>
      </c>
      <c r="E463">
        <v>1</v>
      </c>
      <c r="F463" t="s">
        <v>2182</v>
      </c>
      <c r="G463">
        <v>28593430</v>
      </c>
      <c r="J463">
        <v>23.15</v>
      </c>
      <c r="L463">
        <v>44431413</v>
      </c>
      <c r="M463" s="1">
        <v>44147</v>
      </c>
      <c r="N463" t="str">
        <f>"TE201112"</f>
        <v>TE201112</v>
      </c>
      <c r="O463" t="s">
        <v>28</v>
      </c>
      <c r="Q463" t="s">
        <v>29</v>
      </c>
      <c r="R463" t="s">
        <v>28</v>
      </c>
      <c r="S463" t="s">
        <v>2183</v>
      </c>
      <c r="T463" t="s">
        <v>2184</v>
      </c>
      <c r="W463" t="s">
        <v>2185</v>
      </c>
      <c r="X463" t="s">
        <v>34</v>
      </c>
      <c r="Y463" t="str">
        <f>"78612"</f>
        <v>78612</v>
      </c>
    </row>
    <row r="464" spans="1:25" x14ac:dyDescent="0.25">
      <c r="A464" t="s">
        <v>2186</v>
      </c>
      <c r="B464" t="s">
        <v>2187</v>
      </c>
      <c r="C464">
        <v>2019</v>
      </c>
      <c r="D464">
        <v>8001</v>
      </c>
      <c r="E464">
        <v>2</v>
      </c>
      <c r="F464" t="s">
        <v>2188</v>
      </c>
      <c r="G464">
        <v>0</v>
      </c>
      <c r="J464">
        <v>26.88</v>
      </c>
      <c r="L464">
        <v>42844150</v>
      </c>
      <c r="M464" s="1">
        <v>43843</v>
      </c>
      <c r="N464" t="str">
        <f>"O200113E1"</f>
        <v>O200113E1</v>
      </c>
      <c r="O464" t="s">
        <v>28</v>
      </c>
      <c r="Q464" t="s">
        <v>29</v>
      </c>
      <c r="R464" t="s">
        <v>28</v>
      </c>
      <c r="S464" t="s">
        <v>2188</v>
      </c>
      <c r="T464" t="s">
        <v>2189</v>
      </c>
      <c r="U464" t="s">
        <v>60</v>
      </c>
      <c r="V464" t="s">
        <v>60</v>
      </c>
      <c r="W464" t="s">
        <v>649</v>
      </c>
      <c r="X464" t="s">
        <v>34</v>
      </c>
      <c r="Y464" t="str">
        <f>"774719768   "</f>
        <v xml:space="preserve">774719768   </v>
      </c>
    </row>
    <row r="465" spans="1:25" x14ac:dyDescent="0.25">
      <c r="A465" t="s">
        <v>2190</v>
      </c>
      <c r="B465" t="s">
        <v>2191</v>
      </c>
      <c r="C465">
        <v>2020</v>
      </c>
      <c r="D465">
        <v>8001</v>
      </c>
      <c r="E465">
        <v>2</v>
      </c>
      <c r="F465" t="s">
        <v>2192</v>
      </c>
      <c r="G465">
        <v>0</v>
      </c>
      <c r="J465">
        <v>53.75</v>
      </c>
      <c r="L465">
        <v>46942627</v>
      </c>
      <c r="M465" s="1">
        <v>44249</v>
      </c>
      <c r="N465" t="str">
        <f>"EL210222"</f>
        <v>EL210222</v>
      </c>
      <c r="O465" t="s">
        <v>28</v>
      </c>
      <c r="Q465" t="s">
        <v>29</v>
      </c>
      <c r="R465" t="s">
        <v>28</v>
      </c>
      <c r="S465" t="s">
        <v>2192</v>
      </c>
      <c r="T465" t="s">
        <v>2193</v>
      </c>
      <c r="U465" t="s">
        <v>60</v>
      </c>
      <c r="V465" t="s">
        <v>60</v>
      </c>
      <c r="W465" t="s">
        <v>376</v>
      </c>
      <c r="X465" t="s">
        <v>34</v>
      </c>
      <c r="Y465" t="str">
        <f>"774776011   "</f>
        <v xml:space="preserve">774776011   </v>
      </c>
    </row>
    <row r="466" spans="1:25" x14ac:dyDescent="0.25">
      <c r="A466" t="s">
        <v>2194</v>
      </c>
      <c r="B466" t="s">
        <v>2195</v>
      </c>
      <c r="C466">
        <v>2019</v>
      </c>
      <c r="D466">
        <v>8001</v>
      </c>
      <c r="E466">
        <v>2</v>
      </c>
      <c r="F466" t="s">
        <v>2196</v>
      </c>
      <c r="G466">
        <v>28569696</v>
      </c>
      <c r="J466">
        <v>16.989999999999998</v>
      </c>
      <c r="L466">
        <v>44386530</v>
      </c>
      <c r="M466" s="1">
        <v>44022</v>
      </c>
      <c r="N466" t="str">
        <f>"J200710K4"</f>
        <v>J200710K4</v>
      </c>
      <c r="O466" t="s">
        <v>28</v>
      </c>
      <c r="Q466" t="s">
        <v>29</v>
      </c>
      <c r="R466" t="s">
        <v>28</v>
      </c>
      <c r="S466" t="s">
        <v>380</v>
      </c>
      <c r="T466" t="s">
        <v>2197</v>
      </c>
      <c r="U466" t="s">
        <v>2198</v>
      </c>
      <c r="V466" t="s">
        <v>2199</v>
      </c>
      <c r="W466" t="s">
        <v>75</v>
      </c>
      <c r="X466" t="s">
        <v>34</v>
      </c>
      <c r="Y466" t="str">
        <f>"77024"</f>
        <v>77024</v>
      </c>
    </row>
    <row r="467" spans="1:25" x14ac:dyDescent="0.25">
      <c r="A467" t="s">
        <v>2200</v>
      </c>
      <c r="B467" t="s">
        <v>2201</v>
      </c>
      <c r="C467">
        <v>2018</v>
      </c>
      <c r="D467">
        <v>8001</v>
      </c>
      <c r="E467">
        <v>1</v>
      </c>
      <c r="F467" t="s">
        <v>2202</v>
      </c>
      <c r="G467">
        <v>27328764</v>
      </c>
      <c r="J467">
        <v>42.8</v>
      </c>
      <c r="L467">
        <v>41063805</v>
      </c>
      <c r="M467" s="1">
        <v>43558</v>
      </c>
      <c r="N467" t="str">
        <f>"EK190403"</f>
        <v>EK190403</v>
      </c>
      <c r="O467" t="s">
        <v>28</v>
      </c>
      <c r="Q467" t="s">
        <v>29</v>
      </c>
      <c r="R467" t="s">
        <v>28</v>
      </c>
      <c r="S467" t="s">
        <v>2203</v>
      </c>
      <c r="T467" t="s">
        <v>2204</v>
      </c>
      <c r="W467" t="s">
        <v>2205</v>
      </c>
      <c r="X467" t="s">
        <v>34</v>
      </c>
      <c r="Y467" t="str">
        <f>"77354"</f>
        <v>77354</v>
      </c>
    </row>
    <row r="468" spans="1:25" x14ac:dyDescent="0.25">
      <c r="A468" t="s">
        <v>2206</v>
      </c>
      <c r="B468" t="s">
        <v>2207</v>
      </c>
      <c r="C468">
        <v>2020</v>
      </c>
      <c r="D468">
        <v>8001</v>
      </c>
      <c r="E468">
        <v>2</v>
      </c>
      <c r="F468" t="s">
        <v>2208</v>
      </c>
      <c r="G468">
        <v>29742328</v>
      </c>
      <c r="J468">
        <v>120.25</v>
      </c>
      <c r="L468">
        <v>47258308</v>
      </c>
      <c r="M468" s="1">
        <v>44293</v>
      </c>
      <c r="N468" t="str">
        <f>"RC210414"</f>
        <v>RC210414</v>
      </c>
      <c r="O468" t="s">
        <v>28</v>
      </c>
      <c r="Q468" t="s">
        <v>29</v>
      </c>
      <c r="R468" t="s">
        <v>28</v>
      </c>
      <c r="S468" t="s">
        <v>285</v>
      </c>
      <c r="T468" t="s">
        <v>2209</v>
      </c>
      <c r="W468" t="s">
        <v>75</v>
      </c>
      <c r="X468" t="s">
        <v>34</v>
      </c>
      <c r="Y468" t="str">
        <f>"77042"</f>
        <v>77042</v>
      </c>
    </row>
    <row r="469" spans="1:25" x14ac:dyDescent="0.25">
      <c r="A469" t="s">
        <v>2210</v>
      </c>
      <c r="B469" t="s">
        <v>2211</v>
      </c>
      <c r="C469">
        <v>2019</v>
      </c>
      <c r="D469">
        <v>8001</v>
      </c>
      <c r="E469">
        <v>2</v>
      </c>
      <c r="F469" t="s">
        <v>2212</v>
      </c>
      <c r="G469">
        <v>0</v>
      </c>
      <c r="J469">
        <v>78.58</v>
      </c>
      <c r="L469">
        <v>44028989</v>
      </c>
      <c r="M469" s="1">
        <v>43924</v>
      </c>
      <c r="N469" t="str">
        <f>"J200403K2"</f>
        <v>J200403K2</v>
      </c>
      <c r="O469" t="s">
        <v>28</v>
      </c>
      <c r="Q469" t="s">
        <v>29</v>
      </c>
      <c r="R469" t="s">
        <v>28</v>
      </c>
      <c r="S469" t="s">
        <v>2212</v>
      </c>
      <c r="T469" t="s">
        <v>2213</v>
      </c>
      <c r="U469" t="s">
        <v>60</v>
      </c>
      <c r="V469" t="s">
        <v>60</v>
      </c>
      <c r="W469" t="s">
        <v>135</v>
      </c>
      <c r="X469" t="s">
        <v>34</v>
      </c>
      <c r="Y469" t="str">
        <f>"770681113   "</f>
        <v xml:space="preserve">770681113   </v>
      </c>
    </row>
    <row r="470" spans="1:25" x14ac:dyDescent="0.25">
      <c r="A470" t="s">
        <v>2214</v>
      </c>
      <c r="B470" t="s">
        <v>2215</v>
      </c>
      <c r="C470">
        <v>2019</v>
      </c>
      <c r="D470">
        <v>8001</v>
      </c>
      <c r="E470">
        <v>1</v>
      </c>
      <c r="F470" t="s">
        <v>2216</v>
      </c>
      <c r="G470">
        <v>0</v>
      </c>
      <c r="J470">
        <v>36.06</v>
      </c>
      <c r="L470">
        <v>39825982</v>
      </c>
      <c r="M470" s="1">
        <v>43766</v>
      </c>
      <c r="N470" t="str">
        <f>"TE191028"</f>
        <v>TE191028</v>
      </c>
      <c r="O470" t="s">
        <v>28</v>
      </c>
      <c r="Q470" t="s">
        <v>29</v>
      </c>
      <c r="R470" t="s">
        <v>28</v>
      </c>
      <c r="S470" t="s">
        <v>2216</v>
      </c>
      <c r="T470" t="s">
        <v>2217</v>
      </c>
      <c r="U470" t="s">
        <v>2218</v>
      </c>
      <c r="V470" t="s">
        <v>60</v>
      </c>
      <c r="W470" t="s">
        <v>135</v>
      </c>
      <c r="X470" t="s">
        <v>34</v>
      </c>
      <c r="Y470" t="str">
        <f>"770643528   "</f>
        <v xml:space="preserve">770643528   </v>
      </c>
    </row>
    <row r="471" spans="1:25" x14ac:dyDescent="0.25">
      <c r="A471" t="s">
        <v>2219</v>
      </c>
      <c r="B471" t="s">
        <v>2220</v>
      </c>
      <c r="C471">
        <v>2020</v>
      </c>
      <c r="D471">
        <v>8001</v>
      </c>
      <c r="E471">
        <v>1</v>
      </c>
      <c r="F471" t="s">
        <v>2221</v>
      </c>
      <c r="G471">
        <v>29576655</v>
      </c>
      <c r="J471">
        <v>420.24</v>
      </c>
      <c r="L471">
        <v>46785757</v>
      </c>
      <c r="M471" s="1">
        <v>44231</v>
      </c>
      <c r="N471" t="str">
        <f>"RC210301"</f>
        <v>RC210301</v>
      </c>
      <c r="O471" t="s">
        <v>28</v>
      </c>
      <c r="Q471" t="s">
        <v>29</v>
      </c>
      <c r="R471" t="s">
        <v>28</v>
      </c>
      <c r="S471" t="s">
        <v>2222</v>
      </c>
      <c r="T471" t="s">
        <v>2223</v>
      </c>
      <c r="W471" t="s">
        <v>40</v>
      </c>
      <c r="X471" t="s">
        <v>34</v>
      </c>
      <c r="Y471" t="str">
        <f>"774784473"</f>
        <v>774784473</v>
      </c>
    </row>
    <row r="472" spans="1:25" x14ac:dyDescent="0.25">
      <c r="A472" t="s">
        <v>2224</v>
      </c>
      <c r="B472" t="s">
        <v>2225</v>
      </c>
      <c r="C472">
        <v>2020</v>
      </c>
      <c r="D472">
        <v>8001</v>
      </c>
      <c r="E472">
        <v>1</v>
      </c>
      <c r="F472" t="s">
        <v>2226</v>
      </c>
      <c r="G472">
        <v>0</v>
      </c>
      <c r="J472">
        <v>121.36</v>
      </c>
      <c r="L472">
        <v>47323528</v>
      </c>
      <c r="M472" s="1">
        <v>44308</v>
      </c>
      <c r="N472" t="str">
        <f>"J210422K4"</f>
        <v>J210422K4</v>
      </c>
      <c r="O472" t="s">
        <v>28</v>
      </c>
      <c r="Q472" t="s">
        <v>29</v>
      </c>
      <c r="R472" t="s">
        <v>28</v>
      </c>
      <c r="S472" t="s">
        <v>2227</v>
      </c>
      <c r="T472" t="s">
        <v>2228</v>
      </c>
      <c r="U472" t="s">
        <v>60</v>
      </c>
      <c r="V472" t="s">
        <v>60</v>
      </c>
      <c r="W472" t="s">
        <v>219</v>
      </c>
      <c r="X472" t="s">
        <v>34</v>
      </c>
      <c r="Y472" t="str">
        <f>"774784450   "</f>
        <v xml:space="preserve">774784450   </v>
      </c>
    </row>
    <row r="473" spans="1:25" x14ac:dyDescent="0.25">
      <c r="A473" t="s">
        <v>2229</v>
      </c>
      <c r="B473" t="s">
        <v>2230</v>
      </c>
      <c r="C473">
        <v>2019</v>
      </c>
      <c r="D473">
        <v>8001</v>
      </c>
      <c r="E473">
        <v>1</v>
      </c>
      <c r="F473" t="s">
        <v>212</v>
      </c>
      <c r="G473">
        <v>0</v>
      </c>
      <c r="J473">
        <v>262.58999999999997</v>
      </c>
      <c r="L473">
        <v>42618474</v>
      </c>
      <c r="M473" s="1">
        <v>43833</v>
      </c>
      <c r="N473" t="str">
        <f>"L200103"</f>
        <v>L200103</v>
      </c>
      <c r="O473" t="s">
        <v>28</v>
      </c>
      <c r="Q473" t="s">
        <v>29</v>
      </c>
      <c r="R473" t="s">
        <v>28</v>
      </c>
      <c r="S473" t="s">
        <v>212</v>
      </c>
      <c r="T473" t="s">
        <v>2231</v>
      </c>
      <c r="U473" t="s">
        <v>60</v>
      </c>
      <c r="V473" t="s">
        <v>60</v>
      </c>
      <c r="W473" t="s">
        <v>214</v>
      </c>
      <c r="X473" t="s">
        <v>34</v>
      </c>
      <c r="Y473" t="str">
        <f>"774063707   "</f>
        <v xml:space="preserve">774063707   </v>
      </c>
    </row>
    <row r="474" spans="1:25" x14ac:dyDescent="0.25">
      <c r="A474" t="s">
        <v>2232</v>
      </c>
      <c r="B474" t="s">
        <v>2233</v>
      </c>
      <c r="C474">
        <v>2021</v>
      </c>
      <c r="D474">
        <v>8001</v>
      </c>
      <c r="E474">
        <v>2</v>
      </c>
      <c r="F474" t="s">
        <v>2234</v>
      </c>
      <c r="G474">
        <v>30761584</v>
      </c>
      <c r="J474">
        <v>30</v>
      </c>
      <c r="L474">
        <v>49670292</v>
      </c>
      <c r="M474" s="1">
        <v>44589</v>
      </c>
      <c r="N474" t="str">
        <f>"O220128F1"</f>
        <v>O220128F1</v>
      </c>
      <c r="O474" t="s">
        <v>28</v>
      </c>
      <c r="Q474" t="s">
        <v>29</v>
      </c>
      <c r="R474" t="s">
        <v>28</v>
      </c>
      <c r="S474" t="s">
        <v>2235</v>
      </c>
      <c r="T474" t="s">
        <v>2236</v>
      </c>
      <c r="W474" t="s">
        <v>81</v>
      </c>
      <c r="X474" t="s">
        <v>34</v>
      </c>
      <c r="Y474" t="str">
        <f>"774063708"</f>
        <v>774063708</v>
      </c>
    </row>
    <row r="475" spans="1:25" x14ac:dyDescent="0.25">
      <c r="A475" t="s">
        <v>2237</v>
      </c>
      <c r="B475" t="s">
        <v>2238</v>
      </c>
      <c r="C475">
        <v>2021</v>
      </c>
      <c r="D475">
        <v>8001</v>
      </c>
      <c r="E475">
        <v>1</v>
      </c>
      <c r="F475" t="s">
        <v>2239</v>
      </c>
      <c r="G475">
        <v>25607113</v>
      </c>
      <c r="J475">
        <v>6.46</v>
      </c>
      <c r="L475">
        <v>47704755</v>
      </c>
      <c r="M475" s="1">
        <v>44516</v>
      </c>
      <c r="N475" t="str">
        <f>"TE211116"</f>
        <v>TE211116</v>
      </c>
      <c r="O475" t="s">
        <v>28</v>
      </c>
      <c r="Q475" t="s">
        <v>29</v>
      </c>
      <c r="R475" t="s">
        <v>28</v>
      </c>
      <c r="S475" t="s">
        <v>79</v>
      </c>
      <c r="T475" t="s">
        <v>80</v>
      </c>
      <c r="W475" t="s">
        <v>81</v>
      </c>
      <c r="X475" t="s">
        <v>34</v>
      </c>
      <c r="Y475" t="str">
        <f>"774069802"</f>
        <v>774069802</v>
      </c>
    </row>
    <row r="476" spans="1:25" x14ac:dyDescent="0.25">
      <c r="A476" t="s">
        <v>2240</v>
      </c>
      <c r="B476" t="s">
        <v>2241</v>
      </c>
      <c r="C476">
        <v>2018</v>
      </c>
      <c r="D476">
        <v>8001</v>
      </c>
      <c r="E476">
        <v>3</v>
      </c>
      <c r="F476" t="s">
        <v>2242</v>
      </c>
      <c r="G476">
        <v>27259104</v>
      </c>
      <c r="J476">
        <v>153.53</v>
      </c>
      <c r="L476">
        <v>40895436</v>
      </c>
      <c r="M476" s="1">
        <v>43529</v>
      </c>
      <c r="N476" t="str">
        <f>"EK390305"</f>
        <v>EK390305</v>
      </c>
      <c r="O476" t="s">
        <v>28</v>
      </c>
      <c r="Q476" t="s">
        <v>29</v>
      </c>
      <c r="R476" t="s">
        <v>28</v>
      </c>
      <c r="S476" t="s">
        <v>2243</v>
      </c>
      <c r="T476" t="s">
        <v>2244</v>
      </c>
      <c r="W476" t="s">
        <v>112</v>
      </c>
      <c r="X476" t="s">
        <v>34</v>
      </c>
      <c r="Y476" t="str">
        <f>"77479"</f>
        <v>77479</v>
      </c>
    </row>
    <row r="477" spans="1:25" x14ac:dyDescent="0.25">
      <c r="A477" t="s">
        <v>2245</v>
      </c>
      <c r="B477" t="s">
        <v>2246</v>
      </c>
      <c r="C477">
        <v>2020</v>
      </c>
      <c r="D477">
        <v>8001</v>
      </c>
      <c r="E477">
        <v>3</v>
      </c>
      <c r="F477" t="s">
        <v>2247</v>
      </c>
      <c r="G477">
        <v>29575259</v>
      </c>
      <c r="J477">
        <v>30</v>
      </c>
      <c r="L477">
        <v>46989655</v>
      </c>
      <c r="M477" s="1">
        <v>44253</v>
      </c>
      <c r="N477" t="str">
        <f>"O210226U1"</f>
        <v>O210226U1</v>
      </c>
      <c r="O477" t="s">
        <v>28</v>
      </c>
      <c r="Q477" t="s">
        <v>29</v>
      </c>
      <c r="R477" t="s">
        <v>28</v>
      </c>
      <c r="S477" t="s">
        <v>2248</v>
      </c>
      <c r="T477" t="s">
        <v>2249</v>
      </c>
      <c r="W477" t="s">
        <v>40</v>
      </c>
      <c r="X477" t="s">
        <v>34</v>
      </c>
      <c r="Y477" t="str">
        <f>"774782789"</f>
        <v>774782789</v>
      </c>
    </row>
    <row r="478" spans="1:25" x14ac:dyDescent="0.25">
      <c r="A478" t="s">
        <v>2255</v>
      </c>
      <c r="B478" t="s">
        <v>2256</v>
      </c>
      <c r="C478">
        <v>2020</v>
      </c>
      <c r="D478">
        <v>8001</v>
      </c>
      <c r="E478">
        <v>1</v>
      </c>
      <c r="F478" t="s">
        <v>2257</v>
      </c>
      <c r="G478">
        <v>29584671</v>
      </c>
      <c r="J478">
        <v>379.63</v>
      </c>
      <c r="L478">
        <v>46875289</v>
      </c>
      <c r="M478" s="1">
        <v>44236</v>
      </c>
      <c r="N478" t="str">
        <f>"RC210304"</f>
        <v>RC210304</v>
      </c>
      <c r="O478" t="s">
        <v>28</v>
      </c>
      <c r="Q478" t="s">
        <v>29</v>
      </c>
      <c r="R478" t="s">
        <v>28</v>
      </c>
      <c r="S478" t="s">
        <v>2258</v>
      </c>
      <c r="T478" t="s">
        <v>2259</v>
      </c>
      <c r="W478" t="s">
        <v>75</v>
      </c>
      <c r="X478" t="s">
        <v>34</v>
      </c>
      <c r="Y478" t="str">
        <f>"77042"</f>
        <v>77042</v>
      </c>
    </row>
    <row r="479" spans="1:25" x14ac:dyDescent="0.25">
      <c r="A479" t="s">
        <v>2260</v>
      </c>
      <c r="B479" t="s">
        <v>2261</v>
      </c>
      <c r="C479">
        <v>2019</v>
      </c>
      <c r="D479">
        <v>8001</v>
      </c>
      <c r="E479">
        <v>2</v>
      </c>
      <c r="F479" t="s">
        <v>2262</v>
      </c>
      <c r="G479">
        <v>0</v>
      </c>
      <c r="J479">
        <v>385.11</v>
      </c>
      <c r="L479">
        <v>43974889</v>
      </c>
      <c r="M479" s="1">
        <v>43914</v>
      </c>
      <c r="N479" t="str">
        <f>"O200324BL1"</f>
        <v>O200324BL1</v>
      </c>
      <c r="O479" t="s">
        <v>28</v>
      </c>
      <c r="Q479" t="s">
        <v>29</v>
      </c>
      <c r="R479" t="s">
        <v>28</v>
      </c>
      <c r="S479" t="s">
        <v>2262</v>
      </c>
      <c r="T479" t="s">
        <v>2263</v>
      </c>
      <c r="U479" t="s">
        <v>60</v>
      </c>
      <c r="V479" t="s">
        <v>60</v>
      </c>
      <c r="W479" t="s">
        <v>219</v>
      </c>
      <c r="X479" t="s">
        <v>34</v>
      </c>
      <c r="Y479" t="str">
        <f>"774982265   "</f>
        <v xml:space="preserve">774982265   </v>
      </c>
    </row>
    <row r="480" spans="1:25" x14ac:dyDescent="0.25">
      <c r="A480" t="s">
        <v>2264</v>
      </c>
      <c r="B480" t="s">
        <v>2265</v>
      </c>
      <c r="C480">
        <v>2020</v>
      </c>
      <c r="D480">
        <v>8001</v>
      </c>
      <c r="E480">
        <v>3</v>
      </c>
      <c r="F480" t="s">
        <v>2266</v>
      </c>
      <c r="G480">
        <v>29576657</v>
      </c>
      <c r="J480">
        <v>33.56</v>
      </c>
      <c r="L480">
        <v>46739482</v>
      </c>
      <c r="M480" s="1">
        <v>44230</v>
      </c>
      <c r="N480" t="str">
        <f>"RC210301"</f>
        <v>RC210301</v>
      </c>
      <c r="O480" t="s">
        <v>28</v>
      </c>
      <c r="Q480" t="s">
        <v>29</v>
      </c>
      <c r="R480" t="s">
        <v>28</v>
      </c>
      <c r="S480" t="s">
        <v>2267</v>
      </c>
      <c r="T480" t="s">
        <v>2268</v>
      </c>
      <c r="U480" t="s">
        <v>2269</v>
      </c>
      <c r="W480" t="s">
        <v>392</v>
      </c>
      <c r="X480" t="s">
        <v>34</v>
      </c>
      <c r="Y480" t="str">
        <f>"774591840"</f>
        <v>774591840</v>
      </c>
    </row>
    <row r="481" spans="1:25" x14ac:dyDescent="0.25">
      <c r="A481" t="s">
        <v>2270</v>
      </c>
      <c r="B481" t="s">
        <v>2271</v>
      </c>
      <c r="C481">
        <v>2020</v>
      </c>
      <c r="D481">
        <v>8001</v>
      </c>
      <c r="E481">
        <v>3</v>
      </c>
      <c r="F481" t="s">
        <v>2266</v>
      </c>
      <c r="G481">
        <v>29576657</v>
      </c>
      <c r="J481">
        <v>5.26</v>
      </c>
      <c r="L481">
        <v>46674310</v>
      </c>
      <c r="M481" s="1">
        <v>44229</v>
      </c>
      <c r="N481" t="str">
        <f>"RC210301"</f>
        <v>RC210301</v>
      </c>
      <c r="O481" t="s">
        <v>28</v>
      </c>
      <c r="Q481" t="s">
        <v>29</v>
      </c>
      <c r="R481" t="s">
        <v>28</v>
      </c>
      <c r="S481" t="s">
        <v>2267</v>
      </c>
      <c r="T481" t="s">
        <v>2268</v>
      </c>
      <c r="U481" t="s">
        <v>2269</v>
      </c>
      <c r="W481" t="s">
        <v>392</v>
      </c>
      <c r="X481" t="s">
        <v>34</v>
      </c>
      <c r="Y481" t="str">
        <f>"774591840"</f>
        <v>774591840</v>
      </c>
    </row>
    <row r="482" spans="1:25" x14ac:dyDescent="0.25">
      <c r="A482" t="s">
        <v>2270</v>
      </c>
      <c r="B482" t="s">
        <v>2271</v>
      </c>
      <c r="C482">
        <v>2020</v>
      </c>
      <c r="D482">
        <v>8001</v>
      </c>
      <c r="E482">
        <v>3</v>
      </c>
      <c r="F482" t="s">
        <v>2266</v>
      </c>
      <c r="G482">
        <v>29576657</v>
      </c>
      <c r="J482">
        <v>5.26</v>
      </c>
      <c r="L482">
        <v>46785793</v>
      </c>
      <c r="M482" s="1">
        <v>44231</v>
      </c>
      <c r="N482" t="str">
        <f>"RC210301"</f>
        <v>RC210301</v>
      </c>
      <c r="O482" t="s">
        <v>28</v>
      </c>
      <c r="Q482" t="s">
        <v>29</v>
      </c>
      <c r="R482" t="s">
        <v>28</v>
      </c>
      <c r="S482" t="s">
        <v>2267</v>
      </c>
      <c r="T482" t="s">
        <v>2268</v>
      </c>
      <c r="U482" t="s">
        <v>2269</v>
      </c>
      <c r="W482" t="s">
        <v>392</v>
      </c>
      <c r="X482" t="s">
        <v>34</v>
      </c>
      <c r="Y482" t="str">
        <f>"774591840"</f>
        <v>774591840</v>
      </c>
    </row>
    <row r="483" spans="1:25" x14ac:dyDescent="0.25">
      <c r="A483" t="s">
        <v>2272</v>
      </c>
      <c r="B483" t="s">
        <v>2273</v>
      </c>
      <c r="C483">
        <v>2021</v>
      </c>
      <c r="D483">
        <v>8001</v>
      </c>
      <c r="E483">
        <v>13</v>
      </c>
      <c r="F483" t="s">
        <v>2274</v>
      </c>
      <c r="G483">
        <v>0</v>
      </c>
      <c r="J483">
        <v>380.15</v>
      </c>
      <c r="L483">
        <v>47756905</v>
      </c>
      <c r="M483" s="1">
        <v>44516</v>
      </c>
      <c r="N483" t="str">
        <f>"TE211116"</f>
        <v>TE211116</v>
      </c>
      <c r="O483" t="s">
        <v>28</v>
      </c>
      <c r="Q483" t="s">
        <v>29</v>
      </c>
      <c r="R483" t="s">
        <v>28</v>
      </c>
      <c r="S483" t="s">
        <v>2274</v>
      </c>
      <c r="T483" t="s">
        <v>2275</v>
      </c>
      <c r="U483" t="s">
        <v>60</v>
      </c>
      <c r="V483" t="s">
        <v>60</v>
      </c>
      <c r="W483" t="s">
        <v>649</v>
      </c>
      <c r="X483" t="s">
        <v>34</v>
      </c>
      <c r="Y483" t="str">
        <f>"774716704   "</f>
        <v xml:space="preserve">774716704   </v>
      </c>
    </row>
    <row r="484" spans="1:25" x14ac:dyDescent="0.25">
      <c r="A484" t="s">
        <v>2276</v>
      </c>
      <c r="B484" t="s">
        <v>2277</v>
      </c>
      <c r="C484">
        <v>2020</v>
      </c>
      <c r="D484">
        <v>8001</v>
      </c>
      <c r="E484">
        <v>2</v>
      </c>
      <c r="F484" t="s">
        <v>2278</v>
      </c>
      <c r="G484">
        <v>28692840</v>
      </c>
      <c r="J484">
        <v>25.4</v>
      </c>
      <c r="L484">
        <v>47256486</v>
      </c>
      <c r="M484" s="1">
        <v>44292</v>
      </c>
      <c r="N484" t="str">
        <f>"RC210414"</f>
        <v>RC210414</v>
      </c>
      <c r="O484" t="s">
        <v>28</v>
      </c>
      <c r="Q484" t="s">
        <v>29</v>
      </c>
      <c r="R484" t="s">
        <v>28</v>
      </c>
      <c r="S484" t="s">
        <v>1019</v>
      </c>
      <c r="T484" t="s">
        <v>562</v>
      </c>
      <c r="W484" t="s">
        <v>563</v>
      </c>
      <c r="X484" t="s">
        <v>34</v>
      </c>
      <c r="Y484" t="str">
        <f>"750630156"</f>
        <v>750630156</v>
      </c>
    </row>
    <row r="485" spans="1:25" x14ac:dyDescent="0.25">
      <c r="A485" t="s">
        <v>2279</v>
      </c>
      <c r="B485" t="s">
        <v>2280</v>
      </c>
      <c r="C485">
        <v>2020</v>
      </c>
      <c r="D485">
        <v>8001</v>
      </c>
      <c r="E485">
        <v>1</v>
      </c>
      <c r="F485" t="s">
        <v>2281</v>
      </c>
      <c r="G485">
        <v>29576658</v>
      </c>
      <c r="J485">
        <v>142.4</v>
      </c>
      <c r="L485">
        <v>46755716</v>
      </c>
      <c r="M485" s="1">
        <v>44231</v>
      </c>
      <c r="N485" t="str">
        <f>"RC210301"</f>
        <v>RC210301</v>
      </c>
      <c r="O485" t="s">
        <v>28</v>
      </c>
      <c r="Q485" t="s">
        <v>29</v>
      </c>
      <c r="R485" t="s">
        <v>28</v>
      </c>
      <c r="S485" t="s">
        <v>2282</v>
      </c>
      <c r="T485" t="s">
        <v>2283</v>
      </c>
      <c r="W485" t="s">
        <v>107</v>
      </c>
      <c r="X485" t="s">
        <v>34</v>
      </c>
      <c r="Y485" t="str">
        <f>"774946620"</f>
        <v>774946620</v>
      </c>
    </row>
    <row r="486" spans="1:25" x14ac:dyDescent="0.25">
      <c r="A486" t="s">
        <v>2284</v>
      </c>
      <c r="B486" t="s">
        <v>2285</v>
      </c>
      <c r="C486">
        <v>2018</v>
      </c>
      <c r="D486">
        <v>8001</v>
      </c>
      <c r="E486">
        <v>1</v>
      </c>
      <c r="F486" t="s">
        <v>2286</v>
      </c>
      <c r="G486">
        <v>27352318</v>
      </c>
      <c r="J486">
        <v>12.59</v>
      </c>
      <c r="L486">
        <v>41112460</v>
      </c>
      <c r="M486" s="1">
        <v>43571</v>
      </c>
      <c r="N486" t="str">
        <f>"J190416K7"</f>
        <v>J190416K7</v>
      </c>
      <c r="O486" t="s">
        <v>28</v>
      </c>
      <c r="Q486" t="s">
        <v>29</v>
      </c>
      <c r="R486" t="s">
        <v>28</v>
      </c>
      <c r="S486" t="s">
        <v>2118</v>
      </c>
      <c r="T486" t="s">
        <v>2287</v>
      </c>
      <c r="U486" t="s">
        <v>2288</v>
      </c>
      <c r="V486" t="s">
        <v>2289</v>
      </c>
      <c r="W486" t="s">
        <v>75</v>
      </c>
      <c r="X486" t="s">
        <v>34</v>
      </c>
      <c r="Y486" t="str">
        <f>"770435268"</f>
        <v>770435268</v>
      </c>
    </row>
    <row r="487" spans="1:25" x14ac:dyDescent="0.25">
      <c r="A487" t="s">
        <v>2290</v>
      </c>
      <c r="B487" t="s">
        <v>2291</v>
      </c>
      <c r="C487">
        <v>2020</v>
      </c>
      <c r="D487">
        <v>8001</v>
      </c>
      <c r="E487">
        <v>2</v>
      </c>
      <c r="F487" t="s">
        <v>2292</v>
      </c>
      <c r="G487">
        <v>21548035</v>
      </c>
      <c r="J487" s="2">
        <v>6444.45</v>
      </c>
      <c r="L487">
        <v>45561282</v>
      </c>
      <c r="M487" s="1">
        <v>44195</v>
      </c>
      <c r="N487" t="str">
        <f>"P201230E1"</f>
        <v>P201230E1</v>
      </c>
      <c r="O487" t="s">
        <v>28</v>
      </c>
      <c r="Q487" t="s">
        <v>29</v>
      </c>
      <c r="R487" t="s">
        <v>28</v>
      </c>
      <c r="S487" t="s">
        <v>2293</v>
      </c>
      <c r="T487" t="s">
        <v>2294</v>
      </c>
      <c r="W487" t="s">
        <v>2295</v>
      </c>
      <c r="X487" t="s">
        <v>34</v>
      </c>
      <c r="Y487" t="str">
        <f>"77840"</f>
        <v>77840</v>
      </c>
    </row>
    <row r="488" spans="1:25" x14ac:dyDescent="0.25">
      <c r="A488" t="s">
        <v>2296</v>
      </c>
      <c r="B488" t="s">
        <v>2297</v>
      </c>
      <c r="C488">
        <v>2019</v>
      </c>
      <c r="D488">
        <v>8001</v>
      </c>
      <c r="E488">
        <v>1</v>
      </c>
      <c r="F488" t="s">
        <v>2298</v>
      </c>
      <c r="G488">
        <v>0</v>
      </c>
      <c r="J488">
        <v>6.95</v>
      </c>
      <c r="L488">
        <v>42883145</v>
      </c>
      <c r="M488" s="1">
        <v>43844</v>
      </c>
      <c r="N488" t="str">
        <f>"J200114K6"</f>
        <v>J200114K6</v>
      </c>
      <c r="O488" t="s">
        <v>28</v>
      </c>
      <c r="Q488" t="s">
        <v>29</v>
      </c>
      <c r="R488" t="s">
        <v>28</v>
      </c>
      <c r="S488" t="s">
        <v>2298</v>
      </c>
      <c r="T488" t="s">
        <v>2299</v>
      </c>
      <c r="U488" t="s">
        <v>60</v>
      </c>
      <c r="V488" t="s">
        <v>60</v>
      </c>
      <c r="W488" t="s">
        <v>2300</v>
      </c>
      <c r="X488" t="s">
        <v>34</v>
      </c>
      <c r="Y488" t="str">
        <f>"774414429   "</f>
        <v xml:space="preserve">774414429   </v>
      </c>
    </row>
    <row r="489" spans="1:25" x14ac:dyDescent="0.25">
      <c r="A489" t="s">
        <v>2301</v>
      </c>
      <c r="B489" t="s">
        <v>2302</v>
      </c>
      <c r="C489">
        <v>2020</v>
      </c>
      <c r="D489">
        <v>8001</v>
      </c>
      <c r="E489">
        <v>1</v>
      </c>
      <c r="F489" t="s">
        <v>2303</v>
      </c>
      <c r="G489">
        <v>29461800</v>
      </c>
      <c r="J489">
        <v>392.68</v>
      </c>
      <c r="L489">
        <v>46728800</v>
      </c>
      <c r="M489" s="1">
        <v>44230</v>
      </c>
      <c r="N489" t="str">
        <f>"EK210203"</f>
        <v>EK210203</v>
      </c>
      <c r="O489" t="s">
        <v>28</v>
      </c>
      <c r="Q489" t="s">
        <v>29</v>
      </c>
      <c r="R489" t="s">
        <v>28</v>
      </c>
      <c r="S489" t="s">
        <v>2304</v>
      </c>
      <c r="T489" t="s">
        <v>2305</v>
      </c>
      <c r="W489" t="s">
        <v>193</v>
      </c>
      <c r="X489" t="s">
        <v>34</v>
      </c>
      <c r="Y489" t="str">
        <f>"77441"</f>
        <v>77441</v>
      </c>
    </row>
    <row r="490" spans="1:25" x14ac:dyDescent="0.25">
      <c r="A490" t="s">
        <v>2306</v>
      </c>
      <c r="B490" t="s">
        <v>2307</v>
      </c>
      <c r="C490">
        <v>2019</v>
      </c>
      <c r="D490">
        <v>8001</v>
      </c>
      <c r="E490">
        <v>2</v>
      </c>
      <c r="F490" t="s">
        <v>2308</v>
      </c>
      <c r="G490">
        <v>0</v>
      </c>
      <c r="J490">
        <v>79.91</v>
      </c>
      <c r="L490">
        <v>42176506</v>
      </c>
      <c r="M490" s="1">
        <v>43809</v>
      </c>
      <c r="N490" t="str">
        <f>"J191210K3"</f>
        <v>J191210K3</v>
      </c>
      <c r="O490" t="s">
        <v>28</v>
      </c>
      <c r="Q490" t="s">
        <v>29</v>
      </c>
      <c r="R490" t="s">
        <v>28</v>
      </c>
      <c r="S490" t="s">
        <v>2308</v>
      </c>
      <c r="T490" t="s">
        <v>2309</v>
      </c>
      <c r="U490" t="s">
        <v>2310</v>
      </c>
      <c r="V490" t="s">
        <v>60</v>
      </c>
      <c r="W490" t="s">
        <v>2311</v>
      </c>
      <c r="X490" t="s">
        <v>34</v>
      </c>
      <c r="Y490" t="str">
        <f>"752650255   "</f>
        <v xml:space="preserve">752650255   </v>
      </c>
    </row>
    <row r="491" spans="1:25" x14ac:dyDescent="0.25">
      <c r="A491" t="s">
        <v>2306</v>
      </c>
      <c r="B491" t="s">
        <v>2307</v>
      </c>
      <c r="C491">
        <v>2019</v>
      </c>
      <c r="D491">
        <v>8001</v>
      </c>
      <c r="E491">
        <v>2</v>
      </c>
      <c r="F491" t="s">
        <v>2308</v>
      </c>
      <c r="G491">
        <v>24800942</v>
      </c>
      <c r="J491">
        <v>8.02</v>
      </c>
      <c r="L491">
        <v>42189329</v>
      </c>
      <c r="M491" s="1">
        <v>43809</v>
      </c>
      <c r="N491" t="str">
        <f>"J191210AW18"</f>
        <v>J191210AW18</v>
      </c>
      <c r="O491" t="s">
        <v>28</v>
      </c>
      <c r="Q491" t="s">
        <v>29</v>
      </c>
      <c r="R491" t="s">
        <v>28</v>
      </c>
      <c r="S491" t="s">
        <v>2312</v>
      </c>
      <c r="T491" t="s">
        <v>2313</v>
      </c>
      <c r="W491" t="s">
        <v>332</v>
      </c>
      <c r="X491" t="s">
        <v>34</v>
      </c>
      <c r="Y491" t="str">
        <f>"752650255"</f>
        <v>752650255</v>
      </c>
    </row>
    <row r="492" spans="1:25" x14ac:dyDescent="0.25">
      <c r="A492" t="s">
        <v>2314</v>
      </c>
      <c r="B492" t="s">
        <v>2315</v>
      </c>
      <c r="C492">
        <v>2020</v>
      </c>
      <c r="D492">
        <v>8001</v>
      </c>
      <c r="E492">
        <v>1</v>
      </c>
      <c r="F492" t="s">
        <v>2316</v>
      </c>
      <c r="G492">
        <v>29873332</v>
      </c>
      <c r="J492">
        <v>126.27</v>
      </c>
      <c r="L492">
        <v>47506481</v>
      </c>
      <c r="M492" s="1">
        <v>44354</v>
      </c>
      <c r="N492" t="str">
        <f>"RC210614"</f>
        <v>RC210614</v>
      </c>
      <c r="O492" t="s">
        <v>28</v>
      </c>
      <c r="Q492" t="s">
        <v>29</v>
      </c>
      <c r="R492" t="s">
        <v>28</v>
      </c>
      <c r="S492" t="s">
        <v>2317</v>
      </c>
      <c r="T492" t="s">
        <v>2318</v>
      </c>
      <c r="W492" t="s">
        <v>40</v>
      </c>
      <c r="X492" t="s">
        <v>34</v>
      </c>
      <c r="Y492" t="str">
        <f>"77479-6215"</f>
        <v>77479-6215</v>
      </c>
    </row>
    <row r="493" spans="1:25" x14ac:dyDescent="0.25">
      <c r="A493" t="s">
        <v>2319</v>
      </c>
      <c r="B493" t="s">
        <v>2320</v>
      </c>
      <c r="C493">
        <v>2020</v>
      </c>
      <c r="D493">
        <v>8001</v>
      </c>
      <c r="E493">
        <v>3</v>
      </c>
      <c r="F493" t="s">
        <v>2321</v>
      </c>
      <c r="G493">
        <v>28893921</v>
      </c>
      <c r="J493">
        <v>417.48</v>
      </c>
      <c r="L493">
        <v>45153058</v>
      </c>
      <c r="M493" s="1">
        <v>44173</v>
      </c>
      <c r="N493" t="str">
        <f>"RC201217"</f>
        <v>RC201217</v>
      </c>
      <c r="O493" t="s">
        <v>28</v>
      </c>
      <c r="Q493" t="s">
        <v>29</v>
      </c>
      <c r="R493" t="s">
        <v>28</v>
      </c>
      <c r="S493" t="s">
        <v>2322</v>
      </c>
      <c r="T493" t="s">
        <v>2323</v>
      </c>
      <c r="U493" t="s">
        <v>2324</v>
      </c>
      <c r="V493" t="s">
        <v>2325</v>
      </c>
      <c r="W493" t="s">
        <v>112</v>
      </c>
      <c r="X493" t="s">
        <v>34</v>
      </c>
      <c r="Y493" t="str">
        <f>"77479"</f>
        <v>77479</v>
      </c>
    </row>
    <row r="494" spans="1:25" x14ac:dyDescent="0.25">
      <c r="A494" t="s">
        <v>2326</v>
      </c>
      <c r="B494" t="s">
        <v>2327</v>
      </c>
      <c r="C494">
        <v>2019</v>
      </c>
      <c r="D494">
        <v>8001</v>
      </c>
      <c r="E494">
        <v>1</v>
      </c>
      <c r="F494" t="s">
        <v>2328</v>
      </c>
      <c r="G494">
        <v>25581032</v>
      </c>
      <c r="J494">
        <v>158.22999999999999</v>
      </c>
      <c r="L494">
        <v>44091716</v>
      </c>
      <c r="M494" s="1">
        <v>43944</v>
      </c>
      <c r="N494" t="str">
        <f>"RC200428"</f>
        <v>RC200428</v>
      </c>
      <c r="O494" t="s">
        <v>28</v>
      </c>
      <c r="Q494" t="s">
        <v>29</v>
      </c>
      <c r="R494" t="s">
        <v>28</v>
      </c>
      <c r="S494" t="s">
        <v>561</v>
      </c>
      <c r="T494" t="s">
        <v>562</v>
      </c>
      <c r="W494" t="s">
        <v>563</v>
      </c>
      <c r="X494" t="s">
        <v>34</v>
      </c>
      <c r="Y494" t="str">
        <f>"750630156"</f>
        <v>750630156</v>
      </c>
    </row>
    <row r="495" spans="1:25" x14ac:dyDescent="0.25">
      <c r="A495" t="s">
        <v>2329</v>
      </c>
      <c r="B495" t="s">
        <v>2330</v>
      </c>
      <c r="C495">
        <v>2020</v>
      </c>
      <c r="D495">
        <v>8001</v>
      </c>
      <c r="E495">
        <v>1</v>
      </c>
      <c r="F495" t="s">
        <v>2331</v>
      </c>
      <c r="G495">
        <v>29955093</v>
      </c>
      <c r="J495">
        <v>61.72</v>
      </c>
      <c r="L495">
        <v>47678386</v>
      </c>
      <c r="M495" s="1">
        <v>44412</v>
      </c>
      <c r="N495" t="str">
        <f>"CC410804"</f>
        <v>CC410804</v>
      </c>
      <c r="O495" t="s">
        <v>28</v>
      </c>
      <c r="Q495" t="s">
        <v>29</v>
      </c>
      <c r="R495" t="s">
        <v>28</v>
      </c>
      <c r="S495" t="s">
        <v>2332</v>
      </c>
      <c r="T495" t="s">
        <v>2333</v>
      </c>
      <c r="W495" t="s">
        <v>40</v>
      </c>
      <c r="X495" t="s">
        <v>34</v>
      </c>
      <c r="Y495" t="str">
        <f>"77479"</f>
        <v>77479</v>
      </c>
    </row>
    <row r="496" spans="1:25" x14ac:dyDescent="0.25">
      <c r="A496" t="s">
        <v>2334</v>
      </c>
      <c r="B496" t="s">
        <v>2335</v>
      </c>
      <c r="C496">
        <v>2021</v>
      </c>
      <c r="D496">
        <v>8001</v>
      </c>
      <c r="E496">
        <v>1</v>
      </c>
      <c r="F496" t="s">
        <v>2336</v>
      </c>
      <c r="G496">
        <v>27688457</v>
      </c>
      <c r="J496">
        <v>55</v>
      </c>
      <c r="L496">
        <v>49522244</v>
      </c>
      <c r="M496" s="1">
        <v>44586</v>
      </c>
      <c r="N496" t="str">
        <f>"RC220309"</f>
        <v>RC220309</v>
      </c>
      <c r="O496" t="s">
        <v>28</v>
      </c>
      <c r="Q496" t="s">
        <v>29</v>
      </c>
      <c r="R496" t="s">
        <v>28</v>
      </c>
      <c r="S496" t="s">
        <v>2337</v>
      </c>
      <c r="T496" t="s">
        <v>2338</v>
      </c>
      <c r="W496" t="s">
        <v>40</v>
      </c>
      <c r="X496" t="s">
        <v>34</v>
      </c>
      <c r="Y496" t="str">
        <f>"774796009"</f>
        <v>774796009</v>
      </c>
    </row>
    <row r="497" spans="1:25" x14ac:dyDescent="0.25">
      <c r="A497" t="s">
        <v>2339</v>
      </c>
      <c r="B497" t="s">
        <v>2340</v>
      </c>
      <c r="C497">
        <v>2021</v>
      </c>
      <c r="D497">
        <v>8001</v>
      </c>
      <c r="E497">
        <v>1</v>
      </c>
      <c r="F497" t="s">
        <v>2341</v>
      </c>
      <c r="G497">
        <v>0</v>
      </c>
      <c r="J497">
        <v>408.59</v>
      </c>
      <c r="L497">
        <v>48517891</v>
      </c>
      <c r="M497" s="1">
        <v>44546</v>
      </c>
      <c r="N497" t="str">
        <f>"L211216"</f>
        <v>L211216</v>
      </c>
      <c r="O497" t="s">
        <v>28</v>
      </c>
      <c r="Q497" t="s">
        <v>29</v>
      </c>
      <c r="R497" t="s">
        <v>28</v>
      </c>
      <c r="S497" t="s">
        <v>2341</v>
      </c>
      <c r="T497" t="s">
        <v>2342</v>
      </c>
      <c r="U497" t="s">
        <v>60</v>
      </c>
      <c r="V497" t="s">
        <v>60</v>
      </c>
      <c r="W497" t="s">
        <v>219</v>
      </c>
      <c r="X497" t="s">
        <v>34</v>
      </c>
      <c r="Y497" t="str">
        <f>"774796012   "</f>
        <v xml:space="preserve">774796012   </v>
      </c>
    </row>
    <row r="498" spans="1:25" x14ac:dyDescent="0.25">
      <c r="A498" t="s">
        <v>2343</v>
      </c>
      <c r="B498" t="s">
        <v>2344</v>
      </c>
      <c r="C498">
        <v>2019</v>
      </c>
      <c r="D498">
        <v>8001</v>
      </c>
      <c r="E498">
        <v>1</v>
      </c>
      <c r="F498" t="s">
        <v>2345</v>
      </c>
      <c r="G498">
        <v>26777569</v>
      </c>
      <c r="J498">
        <v>80.319999999999993</v>
      </c>
      <c r="L498">
        <v>44137811</v>
      </c>
      <c r="M498" s="1">
        <v>43957</v>
      </c>
      <c r="N498" t="str">
        <f>"J200506AW7"</f>
        <v>J200506AW7</v>
      </c>
      <c r="O498" t="s">
        <v>28</v>
      </c>
      <c r="Q498" t="s">
        <v>29</v>
      </c>
      <c r="R498" t="s">
        <v>28</v>
      </c>
      <c r="S498" t="s">
        <v>1828</v>
      </c>
      <c r="T498" t="s">
        <v>1829</v>
      </c>
      <c r="W498" t="s">
        <v>1830</v>
      </c>
      <c r="X498" t="s">
        <v>1831</v>
      </c>
      <c r="Y498" t="str">
        <f>"142401288"</f>
        <v>142401288</v>
      </c>
    </row>
    <row r="499" spans="1:25" x14ac:dyDescent="0.25">
      <c r="A499" t="s">
        <v>2346</v>
      </c>
      <c r="B499" t="s">
        <v>2347</v>
      </c>
      <c r="C499">
        <v>2019</v>
      </c>
      <c r="D499">
        <v>8001</v>
      </c>
      <c r="E499">
        <v>10</v>
      </c>
      <c r="F499" t="s">
        <v>2348</v>
      </c>
      <c r="G499">
        <v>28002805</v>
      </c>
      <c r="J499">
        <v>30.84</v>
      </c>
      <c r="L499">
        <v>44283316</v>
      </c>
      <c r="M499" s="1">
        <v>43987</v>
      </c>
      <c r="N499" t="str">
        <f>"J200605K2"</f>
        <v>J200605K2</v>
      </c>
      <c r="O499" t="s">
        <v>28</v>
      </c>
      <c r="Q499" t="s">
        <v>29</v>
      </c>
      <c r="R499" t="s">
        <v>28</v>
      </c>
      <c r="S499" t="s">
        <v>2349</v>
      </c>
      <c r="T499" t="s">
        <v>2350</v>
      </c>
      <c r="W499" t="s">
        <v>2351</v>
      </c>
      <c r="X499" t="s">
        <v>2352</v>
      </c>
      <c r="Y499" t="str">
        <f>"841193284"</f>
        <v>841193284</v>
      </c>
    </row>
    <row r="500" spans="1:25" x14ac:dyDescent="0.25">
      <c r="A500" t="s">
        <v>2353</v>
      </c>
      <c r="B500" t="s">
        <v>2354</v>
      </c>
      <c r="C500">
        <v>2020</v>
      </c>
      <c r="D500">
        <v>8001</v>
      </c>
      <c r="E500">
        <v>2</v>
      </c>
      <c r="F500" t="s">
        <v>2355</v>
      </c>
      <c r="G500">
        <v>28692840</v>
      </c>
      <c r="J500">
        <v>49.76</v>
      </c>
      <c r="L500">
        <v>47254552</v>
      </c>
      <c r="M500" s="1">
        <v>44292</v>
      </c>
      <c r="N500" t="str">
        <f>"RC210414"</f>
        <v>RC210414</v>
      </c>
      <c r="O500" t="s">
        <v>28</v>
      </c>
      <c r="Q500" t="s">
        <v>29</v>
      </c>
      <c r="R500" t="s">
        <v>28</v>
      </c>
      <c r="S500" t="s">
        <v>1019</v>
      </c>
      <c r="T500" t="s">
        <v>562</v>
      </c>
      <c r="W500" t="s">
        <v>563</v>
      </c>
      <c r="X500" t="s">
        <v>34</v>
      </c>
      <c r="Y500" t="str">
        <f>"750630156"</f>
        <v>750630156</v>
      </c>
    </row>
    <row r="501" spans="1:25" x14ac:dyDescent="0.25">
      <c r="A501" t="s">
        <v>2356</v>
      </c>
      <c r="B501" t="s">
        <v>2357</v>
      </c>
      <c r="C501">
        <v>2020</v>
      </c>
      <c r="D501">
        <v>8001</v>
      </c>
      <c r="E501">
        <v>1</v>
      </c>
      <c r="F501" t="s">
        <v>2358</v>
      </c>
      <c r="G501">
        <v>29037699</v>
      </c>
      <c r="J501">
        <v>765.25</v>
      </c>
      <c r="L501">
        <v>45313242</v>
      </c>
      <c r="M501" s="1">
        <v>44181</v>
      </c>
      <c r="N501" t="str">
        <f>"RC210107"</f>
        <v>RC210107</v>
      </c>
      <c r="O501" t="s">
        <v>28</v>
      </c>
      <c r="Q501" t="s">
        <v>29</v>
      </c>
      <c r="R501" t="s">
        <v>28</v>
      </c>
      <c r="S501" t="s">
        <v>2112</v>
      </c>
      <c r="T501" t="s">
        <v>2113</v>
      </c>
      <c r="U501" t="s">
        <v>2114</v>
      </c>
      <c r="W501" t="s">
        <v>244</v>
      </c>
      <c r="X501" t="s">
        <v>245</v>
      </c>
      <c r="Y501" t="str">
        <f>"48226"</f>
        <v>48226</v>
      </c>
    </row>
    <row r="502" spans="1:25" x14ac:dyDescent="0.25">
      <c r="A502" t="s">
        <v>2359</v>
      </c>
      <c r="B502" t="s">
        <v>2360</v>
      </c>
      <c r="C502">
        <v>2020</v>
      </c>
      <c r="D502">
        <v>8001</v>
      </c>
      <c r="E502">
        <v>2</v>
      </c>
      <c r="F502" t="s">
        <v>2361</v>
      </c>
      <c r="G502">
        <v>26727094</v>
      </c>
      <c r="J502">
        <v>78.05</v>
      </c>
      <c r="L502">
        <v>44975965</v>
      </c>
      <c r="M502" s="1">
        <v>44159</v>
      </c>
      <c r="N502" t="str">
        <f>"O201124AB1"</f>
        <v>O201124AB1</v>
      </c>
      <c r="O502" t="s">
        <v>28</v>
      </c>
      <c r="Q502" t="s">
        <v>29</v>
      </c>
      <c r="R502" t="s">
        <v>28</v>
      </c>
      <c r="S502" t="s">
        <v>380</v>
      </c>
      <c r="T502" t="s">
        <v>2362</v>
      </c>
      <c r="U502" t="s">
        <v>2363</v>
      </c>
      <c r="V502" t="s">
        <v>2364</v>
      </c>
      <c r="W502" t="s">
        <v>75</v>
      </c>
      <c r="X502" t="s">
        <v>34</v>
      </c>
      <c r="Y502" t="str">
        <f>"770273282"</f>
        <v>770273282</v>
      </c>
    </row>
    <row r="503" spans="1:25" x14ac:dyDescent="0.25">
      <c r="A503" t="s">
        <v>2365</v>
      </c>
      <c r="B503" t="s">
        <v>2366</v>
      </c>
      <c r="C503">
        <v>2020</v>
      </c>
      <c r="D503">
        <v>8001</v>
      </c>
      <c r="E503">
        <v>1</v>
      </c>
      <c r="F503" t="s">
        <v>2367</v>
      </c>
      <c r="G503">
        <v>0</v>
      </c>
      <c r="J503">
        <v>243.39</v>
      </c>
      <c r="L503">
        <v>45881346</v>
      </c>
      <c r="M503" s="1">
        <v>44207</v>
      </c>
      <c r="N503" t="str">
        <f>"L210111"</f>
        <v>L210111</v>
      </c>
      <c r="O503" t="s">
        <v>28</v>
      </c>
      <c r="Q503" t="s">
        <v>29</v>
      </c>
      <c r="R503" t="s">
        <v>28</v>
      </c>
      <c r="S503" t="s">
        <v>2367</v>
      </c>
      <c r="T503" t="s">
        <v>2368</v>
      </c>
      <c r="U503" t="s">
        <v>60</v>
      </c>
      <c r="V503" t="s">
        <v>60</v>
      </c>
      <c r="W503" t="s">
        <v>219</v>
      </c>
      <c r="X503" t="s">
        <v>34</v>
      </c>
      <c r="Y503" t="str">
        <f>"774796349   "</f>
        <v xml:space="preserve">774796349   </v>
      </c>
    </row>
    <row r="504" spans="1:25" x14ac:dyDescent="0.25">
      <c r="A504" t="s">
        <v>2369</v>
      </c>
      <c r="B504" t="s">
        <v>2370</v>
      </c>
      <c r="C504">
        <v>2020</v>
      </c>
      <c r="D504">
        <v>8001</v>
      </c>
      <c r="E504">
        <v>1</v>
      </c>
      <c r="F504" t="s">
        <v>2371</v>
      </c>
      <c r="G504">
        <v>0</v>
      </c>
      <c r="J504">
        <v>36</v>
      </c>
      <c r="L504">
        <v>45976421</v>
      </c>
      <c r="M504" s="1">
        <v>44210</v>
      </c>
      <c r="N504" t="str">
        <f>"L210114"</f>
        <v>L210114</v>
      </c>
      <c r="O504" t="s">
        <v>28</v>
      </c>
      <c r="Q504" t="s">
        <v>29</v>
      </c>
      <c r="R504" t="s">
        <v>28</v>
      </c>
      <c r="S504" t="s">
        <v>2371</v>
      </c>
      <c r="T504" t="s">
        <v>2372</v>
      </c>
      <c r="U504" t="s">
        <v>60</v>
      </c>
      <c r="V504" t="s">
        <v>60</v>
      </c>
      <c r="W504" t="s">
        <v>219</v>
      </c>
      <c r="X504" t="s">
        <v>34</v>
      </c>
      <c r="Y504" t="str">
        <f>"774791897   "</f>
        <v xml:space="preserve">774791897   </v>
      </c>
    </row>
    <row r="505" spans="1:25" x14ac:dyDescent="0.25">
      <c r="A505" t="s">
        <v>2373</v>
      </c>
      <c r="B505" t="s">
        <v>2374</v>
      </c>
      <c r="C505">
        <v>2021</v>
      </c>
      <c r="D505">
        <v>8001</v>
      </c>
      <c r="E505">
        <v>15</v>
      </c>
      <c r="F505" t="s">
        <v>2375</v>
      </c>
      <c r="G505">
        <v>24967226</v>
      </c>
      <c r="J505">
        <v>40.229999999999997</v>
      </c>
      <c r="L505">
        <v>47762208</v>
      </c>
      <c r="M505" s="1">
        <v>44516</v>
      </c>
      <c r="N505" t="str">
        <f>"TE211116"</f>
        <v>TE211116</v>
      </c>
      <c r="O505" t="s">
        <v>28</v>
      </c>
      <c r="Q505" t="s">
        <v>29</v>
      </c>
      <c r="R505" t="s">
        <v>28</v>
      </c>
      <c r="S505" t="s">
        <v>2376</v>
      </c>
      <c r="T505" t="s">
        <v>2377</v>
      </c>
      <c r="W505" t="s">
        <v>40</v>
      </c>
      <c r="X505" t="s">
        <v>34</v>
      </c>
      <c r="Y505" t="str">
        <f>"774791884"</f>
        <v>774791884</v>
      </c>
    </row>
    <row r="506" spans="1:25" x14ac:dyDescent="0.25">
      <c r="A506" t="s">
        <v>2378</v>
      </c>
      <c r="B506" t="s">
        <v>2379</v>
      </c>
      <c r="C506">
        <v>2020</v>
      </c>
      <c r="D506">
        <v>8001</v>
      </c>
      <c r="E506">
        <v>26</v>
      </c>
      <c r="F506" t="s">
        <v>2380</v>
      </c>
      <c r="G506">
        <v>0</v>
      </c>
      <c r="J506">
        <v>159.66999999999999</v>
      </c>
      <c r="L506">
        <v>44536004</v>
      </c>
      <c r="M506" s="1">
        <v>44147</v>
      </c>
      <c r="N506" t="str">
        <f>"TE201112"</f>
        <v>TE201112</v>
      </c>
      <c r="O506" t="s">
        <v>28</v>
      </c>
      <c r="Q506" t="s">
        <v>29</v>
      </c>
      <c r="R506" t="s">
        <v>28</v>
      </c>
      <c r="S506" t="s">
        <v>2380</v>
      </c>
      <c r="T506" t="s">
        <v>2381</v>
      </c>
      <c r="U506" t="s">
        <v>60</v>
      </c>
      <c r="V506" t="s">
        <v>60</v>
      </c>
      <c r="W506" t="s">
        <v>219</v>
      </c>
      <c r="X506" t="s">
        <v>34</v>
      </c>
      <c r="Y506" t="str">
        <f>"774791871   "</f>
        <v xml:space="preserve">774791871   </v>
      </c>
    </row>
    <row r="507" spans="1:25" x14ac:dyDescent="0.25">
      <c r="A507" t="s">
        <v>2378</v>
      </c>
      <c r="B507" t="s">
        <v>2379</v>
      </c>
      <c r="C507">
        <v>2020</v>
      </c>
      <c r="D507">
        <v>8001</v>
      </c>
      <c r="E507">
        <v>26</v>
      </c>
      <c r="F507" t="s">
        <v>2380</v>
      </c>
      <c r="G507">
        <v>0</v>
      </c>
      <c r="J507">
        <v>528.98</v>
      </c>
      <c r="L507">
        <v>44582459</v>
      </c>
      <c r="M507" s="1">
        <v>44147</v>
      </c>
      <c r="N507" t="str">
        <f>"TE201112"</f>
        <v>TE201112</v>
      </c>
      <c r="O507" t="s">
        <v>28</v>
      </c>
      <c r="Q507" t="s">
        <v>29</v>
      </c>
      <c r="R507" t="s">
        <v>28</v>
      </c>
      <c r="S507" t="s">
        <v>2380</v>
      </c>
      <c r="T507" t="s">
        <v>2381</v>
      </c>
      <c r="U507" t="s">
        <v>60</v>
      </c>
      <c r="V507" t="s">
        <v>60</v>
      </c>
      <c r="W507" t="s">
        <v>219</v>
      </c>
      <c r="X507" t="s">
        <v>34</v>
      </c>
      <c r="Y507" t="str">
        <f>"774791871   "</f>
        <v xml:space="preserve">774791871   </v>
      </c>
    </row>
    <row r="508" spans="1:25" x14ac:dyDescent="0.25">
      <c r="A508" t="s">
        <v>2382</v>
      </c>
      <c r="B508" t="s">
        <v>2383</v>
      </c>
      <c r="C508">
        <v>2021</v>
      </c>
      <c r="D508">
        <v>8001</v>
      </c>
      <c r="E508">
        <v>1</v>
      </c>
      <c r="F508" t="s">
        <v>2384</v>
      </c>
      <c r="G508">
        <v>26962220</v>
      </c>
      <c r="J508">
        <v>245.27</v>
      </c>
      <c r="L508">
        <v>49131031</v>
      </c>
      <c r="M508" s="1">
        <v>44573</v>
      </c>
      <c r="N508" t="str">
        <f>"RC220221"</f>
        <v>RC220221</v>
      </c>
      <c r="O508" t="s">
        <v>28</v>
      </c>
      <c r="Q508" t="s">
        <v>29</v>
      </c>
      <c r="R508" t="s">
        <v>28</v>
      </c>
      <c r="S508" t="s">
        <v>561</v>
      </c>
      <c r="T508" t="s">
        <v>1015</v>
      </c>
      <c r="W508" t="s">
        <v>563</v>
      </c>
      <c r="X508" t="s">
        <v>34</v>
      </c>
      <c r="Y508" t="str">
        <f>"750630156"</f>
        <v>750630156</v>
      </c>
    </row>
    <row r="509" spans="1:25" x14ac:dyDescent="0.25">
      <c r="A509" t="s">
        <v>2385</v>
      </c>
      <c r="B509" t="s">
        <v>2386</v>
      </c>
      <c r="C509">
        <v>2019</v>
      </c>
      <c r="D509">
        <v>8001</v>
      </c>
      <c r="E509">
        <v>1</v>
      </c>
      <c r="F509" t="s">
        <v>2387</v>
      </c>
      <c r="G509">
        <v>28198215</v>
      </c>
      <c r="J509">
        <v>255.86</v>
      </c>
      <c r="L509">
        <v>43644468</v>
      </c>
      <c r="M509" s="1">
        <v>43867</v>
      </c>
      <c r="N509" t="str">
        <f>"O200206F1"</f>
        <v>O200206F1</v>
      </c>
      <c r="O509" t="s">
        <v>28</v>
      </c>
      <c r="Q509" t="s">
        <v>29</v>
      </c>
      <c r="R509" t="s">
        <v>28</v>
      </c>
      <c r="S509" t="s">
        <v>380</v>
      </c>
      <c r="T509" t="s">
        <v>2388</v>
      </c>
      <c r="W509" t="s">
        <v>75</v>
      </c>
      <c r="X509" t="s">
        <v>34</v>
      </c>
      <c r="Y509" t="str">
        <f>"770273214"</f>
        <v>770273214</v>
      </c>
    </row>
    <row r="510" spans="1:25" x14ac:dyDescent="0.25">
      <c r="A510" t="s">
        <v>2389</v>
      </c>
      <c r="B510" t="s">
        <v>2390</v>
      </c>
      <c r="C510">
        <v>2020</v>
      </c>
      <c r="D510">
        <v>8001</v>
      </c>
      <c r="E510">
        <v>2</v>
      </c>
      <c r="F510" t="s">
        <v>2391</v>
      </c>
      <c r="G510">
        <v>29855875</v>
      </c>
      <c r="J510">
        <v>44.43</v>
      </c>
      <c r="L510">
        <v>47493672</v>
      </c>
      <c r="M510" s="1">
        <v>44350</v>
      </c>
      <c r="N510" t="str">
        <f>"EK210603"</f>
        <v>EK210603</v>
      </c>
      <c r="O510" t="s">
        <v>28</v>
      </c>
      <c r="Q510" t="s">
        <v>29</v>
      </c>
      <c r="R510" t="s">
        <v>28</v>
      </c>
      <c r="S510" t="s">
        <v>2392</v>
      </c>
      <c r="T510" t="s">
        <v>2393</v>
      </c>
      <c r="W510" t="s">
        <v>392</v>
      </c>
      <c r="X510" t="s">
        <v>34</v>
      </c>
      <c r="Y510" t="str">
        <f>"77459"</f>
        <v>77459</v>
      </c>
    </row>
    <row r="511" spans="1:25" x14ac:dyDescent="0.25">
      <c r="A511" t="s">
        <v>2394</v>
      </c>
      <c r="B511" t="s">
        <v>2395</v>
      </c>
      <c r="C511">
        <v>2019</v>
      </c>
      <c r="D511">
        <v>8001</v>
      </c>
      <c r="E511">
        <v>1</v>
      </c>
      <c r="F511" t="s">
        <v>2396</v>
      </c>
      <c r="G511">
        <v>0</v>
      </c>
      <c r="J511">
        <v>403.92</v>
      </c>
      <c r="L511">
        <v>42730308</v>
      </c>
      <c r="M511" s="1">
        <v>43838</v>
      </c>
      <c r="N511" t="str">
        <f>"L200108"</f>
        <v>L200108</v>
      </c>
      <c r="O511" t="s">
        <v>28</v>
      </c>
      <c r="Q511" t="s">
        <v>29</v>
      </c>
      <c r="R511" t="s">
        <v>28</v>
      </c>
      <c r="S511" t="s">
        <v>2396</v>
      </c>
      <c r="T511" t="s">
        <v>2397</v>
      </c>
      <c r="U511" t="s">
        <v>60</v>
      </c>
      <c r="V511" t="s">
        <v>60</v>
      </c>
      <c r="W511" t="s">
        <v>2398</v>
      </c>
      <c r="X511" t="s">
        <v>169</v>
      </c>
      <c r="Y511" t="str">
        <f>"802298204   "</f>
        <v xml:space="preserve">802298204   </v>
      </c>
    </row>
    <row r="512" spans="1:25" x14ac:dyDescent="0.25">
      <c r="A512" t="s">
        <v>2399</v>
      </c>
      <c r="B512" t="s">
        <v>2400</v>
      </c>
      <c r="C512">
        <v>2020</v>
      </c>
      <c r="D512">
        <v>8001</v>
      </c>
      <c r="E512">
        <v>2</v>
      </c>
      <c r="F512" t="s">
        <v>2401</v>
      </c>
      <c r="G512">
        <v>25961396</v>
      </c>
      <c r="J512">
        <v>26.87</v>
      </c>
      <c r="L512">
        <v>44858811</v>
      </c>
      <c r="M512" s="1">
        <v>44148</v>
      </c>
      <c r="N512" t="str">
        <f>"O201113BA7"</f>
        <v>O201113BA7</v>
      </c>
      <c r="O512" t="s">
        <v>28</v>
      </c>
      <c r="Q512" t="s">
        <v>29</v>
      </c>
      <c r="R512" t="s">
        <v>28</v>
      </c>
      <c r="S512" t="s">
        <v>2402</v>
      </c>
      <c r="T512" t="s">
        <v>2403</v>
      </c>
      <c r="U512" t="s">
        <v>2404</v>
      </c>
      <c r="W512" t="s">
        <v>2405</v>
      </c>
      <c r="X512" t="s">
        <v>2352</v>
      </c>
      <c r="Y512" t="str">
        <f>"84020"</f>
        <v>84020</v>
      </c>
    </row>
    <row r="513" spans="1:25" x14ac:dyDescent="0.25">
      <c r="A513" t="s">
        <v>2406</v>
      </c>
      <c r="B513" t="s">
        <v>2407</v>
      </c>
      <c r="C513">
        <v>2021</v>
      </c>
      <c r="D513">
        <v>8001</v>
      </c>
      <c r="E513">
        <v>1</v>
      </c>
      <c r="F513" t="s">
        <v>2408</v>
      </c>
      <c r="G513">
        <v>26419208</v>
      </c>
      <c r="J513">
        <v>361.87</v>
      </c>
      <c r="L513">
        <v>48228660</v>
      </c>
      <c r="M513" s="1">
        <v>44530</v>
      </c>
      <c r="N513" t="str">
        <f>"RC211222"</f>
        <v>RC211222</v>
      </c>
      <c r="O513" t="s">
        <v>28</v>
      </c>
      <c r="Q513" t="s">
        <v>29</v>
      </c>
      <c r="R513" t="s">
        <v>28</v>
      </c>
      <c r="S513" t="s">
        <v>1073</v>
      </c>
      <c r="T513" t="s">
        <v>1074</v>
      </c>
      <c r="W513" t="s">
        <v>1075</v>
      </c>
      <c r="X513" t="s">
        <v>34</v>
      </c>
      <c r="Y513" t="str">
        <f>"76177"</f>
        <v>76177</v>
      </c>
    </row>
    <row r="514" spans="1:25" x14ac:dyDescent="0.25">
      <c r="A514" t="s">
        <v>2409</v>
      </c>
      <c r="B514" t="s">
        <v>2410</v>
      </c>
      <c r="C514">
        <v>2020</v>
      </c>
      <c r="D514">
        <v>8001</v>
      </c>
      <c r="E514">
        <v>1</v>
      </c>
      <c r="F514" t="s">
        <v>2411</v>
      </c>
      <c r="G514">
        <v>0</v>
      </c>
      <c r="J514">
        <v>761.49</v>
      </c>
      <c r="L514">
        <v>44539531</v>
      </c>
      <c r="M514" s="1">
        <v>44147</v>
      </c>
      <c r="N514" t="str">
        <f>"TE201112"</f>
        <v>TE201112</v>
      </c>
      <c r="O514" t="s">
        <v>28</v>
      </c>
      <c r="Q514" t="s">
        <v>29</v>
      </c>
      <c r="R514" t="s">
        <v>28</v>
      </c>
      <c r="S514" t="s">
        <v>2411</v>
      </c>
      <c r="T514" t="s">
        <v>2412</v>
      </c>
      <c r="U514" t="s">
        <v>60</v>
      </c>
      <c r="V514" t="s">
        <v>60</v>
      </c>
      <c r="W514" t="s">
        <v>214</v>
      </c>
      <c r="X514" t="s">
        <v>34</v>
      </c>
      <c r="Y514" t="str">
        <f>"774074167   "</f>
        <v xml:space="preserve">774074167   </v>
      </c>
    </row>
    <row r="515" spans="1:25" x14ac:dyDescent="0.25">
      <c r="A515" t="s">
        <v>2409</v>
      </c>
      <c r="B515" t="s">
        <v>2410</v>
      </c>
      <c r="C515">
        <v>2021</v>
      </c>
      <c r="D515">
        <v>8001</v>
      </c>
      <c r="E515">
        <v>1</v>
      </c>
      <c r="F515" t="s">
        <v>2411</v>
      </c>
      <c r="G515">
        <v>0</v>
      </c>
      <c r="J515">
        <v>421.2</v>
      </c>
      <c r="L515">
        <v>48410957</v>
      </c>
      <c r="M515" s="1">
        <v>44540</v>
      </c>
      <c r="N515" t="str">
        <f>"O211210AT9"</f>
        <v>O211210AT9</v>
      </c>
      <c r="O515" t="s">
        <v>28</v>
      </c>
      <c r="Q515" t="s">
        <v>29</v>
      </c>
      <c r="R515" t="s">
        <v>28</v>
      </c>
      <c r="S515" t="s">
        <v>2411</v>
      </c>
      <c r="T515" t="s">
        <v>2412</v>
      </c>
      <c r="U515" t="s">
        <v>60</v>
      </c>
      <c r="V515" t="s">
        <v>60</v>
      </c>
      <c r="W515" t="s">
        <v>214</v>
      </c>
      <c r="X515" t="s">
        <v>34</v>
      </c>
      <c r="Y515" t="str">
        <f>"774074167   "</f>
        <v xml:space="preserve">774074167   </v>
      </c>
    </row>
    <row r="516" spans="1:25" x14ac:dyDescent="0.25">
      <c r="A516" t="s">
        <v>2413</v>
      </c>
      <c r="B516" t="s">
        <v>2414</v>
      </c>
      <c r="C516">
        <v>2019</v>
      </c>
      <c r="D516">
        <v>8001</v>
      </c>
      <c r="E516">
        <v>2</v>
      </c>
      <c r="F516" t="s">
        <v>2415</v>
      </c>
      <c r="G516">
        <v>24895475</v>
      </c>
      <c r="J516">
        <v>12.79</v>
      </c>
      <c r="L516">
        <v>44471141</v>
      </c>
      <c r="M516" s="1">
        <v>44048</v>
      </c>
      <c r="N516" t="str">
        <f>"J200805K10"</f>
        <v>J200805K10</v>
      </c>
      <c r="O516" t="s">
        <v>28</v>
      </c>
      <c r="Q516" t="s">
        <v>29</v>
      </c>
      <c r="R516" t="s">
        <v>28</v>
      </c>
      <c r="S516" t="s">
        <v>2416</v>
      </c>
      <c r="T516" t="s">
        <v>2417</v>
      </c>
      <c r="U516" t="s">
        <v>2418</v>
      </c>
      <c r="W516" t="s">
        <v>2419</v>
      </c>
      <c r="X516" t="s">
        <v>2175</v>
      </c>
      <c r="Y516" t="str">
        <f>"282199409"</f>
        <v>282199409</v>
      </c>
    </row>
    <row r="517" spans="1:25" x14ac:dyDescent="0.25">
      <c r="A517" t="s">
        <v>2420</v>
      </c>
      <c r="B517" t="s">
        <v>2421</v>
      </c>
      <c r="C517">
        <v>2021</v>
      </c>
      <c r="D517">
        <v>8001</v>
      </c>
      <c r="E517">
        <v>2</v>
      </c>
      <c r="F517" t="s">
        <v>2422</v>
      </c>
      <c r="G517">
        <v>0</v>
      </c>
      <c r="J517">
        <v>30</v>
      </c>
      <c r="L517">
        <v>50199952</v>
      </c>
      <c r="M517" s="1">
        <v>44614</v>
      </c>
      <c r="N517" t="str">
        <f>"O220222AO1"</f>
        <v>O220222AO1</v>
      </c>
      <c r="O517" t="s">
        <v>28</v>
      </c>
      <c r="Q517" t="s">
        <v>29</v>
      </c>
      <c r="R517" t="s">
        <v>28</v>
      </c>
      <c r="S517" t="s">
        <v>2422</v>
      </c>
      <c r="T517" t="s">
        <v>2423</v>
      </c>
      <c r="U517" t="s">
        <v>60</v>
      </c>
      <c r="V517" t="s">
        <v>60</v>
      </c>
      <c r="W517" t="s">
        <v>214</v>
      </c>
      <c r="X517" t="s">
        <v>34</v>
      </c>
      <c r="Y517" t="str">
        <f>"774071456   "</f>
        <v xml:space="preserve">774071456   </v>
      </c>
    </row>
    <row r="518" spans="1:25" x14ac:dyDescent="0.25">
      <c r="A518" t="s">
        <v>2424</v>
      </c>
      <c r="B518" t="s">
        <v>2425</v>
      </c>
      <c r="C518">
        <v>2019</v>
      </c>
      <c r="D518">
        <v>8001</v>
      </c>
      <c r="E518">
        <v>2</v>
      </c>
      <c r="F518" t="s">
        <v>2426</v>
      </c>
      <c r="G518">
        <v>25590022</v>
      </c>
      <c r="J518">
        <v>42.35</v>
      </c>
      <c r="L518">
        <v>44292350</v>
      </c>
      <c r="M518" s="1">
        <v>43991</v>
      </c>
      <c r="N518" t="str">
        <f>"J200609K2"</f>
        <v>J200609K2</v>
      </c>
      <c r="O518" t="s">
        <v>28</v>
      </c>
      <c r="Q518" t="s">
        <v>29</v>
      </c>
      <c r="R518" t="s">
        <v>28</v>
      </c>
      <c r="S518" t="s">
        <v>904</v>
      </c>
      <c r="T518" t="s">
        <v>243</v>
      </c>
      <c r="W518" t="s">
        <v>244</v>
      </c>
      <c r="X518" t="s">
        <v>245</v>
      </c>
      <c r="Y518" t="str">
        <f>"482261906"</f>
        <v>482261906</v>
      </c>
    </row>
    <row r="519" spans="1:25" x14ac:dyDescent="0.25">
      <c r="A519" t="s">
        <v>2427</v>
      </c>
      <c r="B519" t="s">
        <v>2428</v>
      </c>
      <c r="C519">
        <v>2021</v>
      </c>
      <c r="D519">
        <v>8001</v>
      </c>
      <c r="E519">
        <v>2</v>
      </c>
      <c r="F519" t="s">
        <v>2429</v>
      </c>
      <c r="G519">
        <v>31035973</v>
      </c>
      <c r="J519">
        <v>10</v>
      </c>
      <c r="L519">
        <v>49149330</v>
      </c>
      <c r="M519" s="1">
        <v>44573</v>
      </c>
      <c r="N519" t="str">
        <f>"RC220221"</f>
        <v>RC220221</v>
      </c>
      <c r="O519" t="s">
        <v>28</v>
      </c>
      <c r="Q519" t="s">
        <v>29</v>
      </c>
      <c r="R519" t="s">
        <v>28</v>
      </c>
      <c r="S519" t="s">
        <v>2430</v>
      </c>
      <c r="T519" t="s">
        <v>2431</v>
      </c>
      <c r="W519" t="s">
        <v>107</v>
      </c>
      <c r="X519" t="s">
        <v>34</v>
      </c>
      <c r="Y519" t="str">
        <f>"774944995"</f>
        <v>774944995</v>
      </c>
    </row>
    <row r="520" spans="1:25" x14ac:dyDescent="0.25">
      <c r="A520" t="s">
        <v>2432</v>
      </c>
      <c r="B520" t="s">
        <v>2433</v>
      </c>
      <c r="C520">
        <v>2020</v>
      </c>
      <c r="D520">
        <v>8001</v>
      </c>
      <c r="E520">
        <v>1</v>
      </c>
      <c r="F520" t="s">
        <v>2434</v>
      </c>
      <c r="G520">
        <v>29642211</v>
      </c>
      <c r="J520">
        <v>62.03</v>
      </c>
      <c r="L520">
        <v>47078233</v>
      </c>
      <c r="M520" s="1">
        <v>44266</v>
      </c>
      <c r="N520" t="str">
        <f>"RC210317"</f>
        <v>RC210317</v>
      </c>
      <c r="O520" t="s">
        <v>28</v>
      </c>
      <c r="Q520" t="s">
        <v>29</v>
      </c>
      <c r="R520" t="s">
        <v>28</v>
      </c>
      <c r="S520" t="s">
        <v>2435</v>
      </c>
      <c r="T520" t="s">
        <v>2418</v>
      </c>
      <c r="W520" t="s">
        <v>2419</v>
      </c>
      <c r="X520" t="s">
        <v>2175</v>
      </c>
      <c r="Y520" t="str">
        <f>"28219409"</f>
        <v>28219409</v>
      </c>
    </row>
    <row r="521" spans="1:25" x14ac:dyDescent="0.25">
      <c r="A521" t="s">
        <v>2436</v>
      </c>
      <c r="B521" t="s">
        <v>2437</v>
      </c>
      <c r="C521">
        <v>2020</v>
      </c>
      <c r="D521">
        <v>8001</v>
      </c>
      <c r="E521">
        <v>12</v>
      </c>
      <c r="F521" t="s">
        <v>2438</v>
      </c>
      <c r="G521">
        <v>28600715</v>
      </c>
      <c r="J521">
        <v>816.14</v>
      </c>
      <c r="L521">
        <v>44764514</v>
      </c>
      <c r="M521" s="1">
        <v>44147</v>
      </c>
      <c r="N521" t="str">
        <f>"TE201112"</f>
        <v>TE201112</v>
      </c>
      <c r="O521" t="s">
        <v>28</v>
      </c>
      <c r="Q521" t="s">
        <v>29</v>
      </c>
      <c r="R521" t="s">
        <v>28</v>
      </c>
      <c r="S521" t="s">
        <v>2439</v>
      </c>
      <c r="T521" t="s">
        <v>2440</v>
      </c>
      <c r="W521" t="s">
        <v>75</v>
      </c>
      <c r="X521" t="s">
        <v>34</v>
      </c>
      <c r="Y521" t="str">
        <f>"770028856"</f>
        <v>770028856</v>
      </c>
    </row>
    <row r="522" spans="1:25" x14ac:dyDescent="0.25">
      <c r="A522" t="s">
        <v>2441</v>
      </c>
      <c r="B522" t="s">
        <v>2442</v>
      </c>
      <c r="C522">
        <v>2020</v>
      </c>
      <c r="D522">
        <v>8001</v>
      </c>
      <c r="E522">
        <v>1</v>
      </c>
      <c r="F522" t="s">
        <v>2443</v>
      </c>
      <c r="G522">
        <v>29461711</v>
      </c>
      <c r="J522">
        <v>697.81</v>
      </c>
      <c r="L522">
        <v>46728711</v>
      </c>
      <c r="M522" s="1">
        <v>44230</v>
      </c>
      <c r="N522" t="str">
        <f>"EK210203"</f>
        <v>EK210203</v>
      </c>
      <c r="O522" t="s">
        <v>28</v>
      </c>
      <c r="Q522" t="s">
        <v>29</v>
      </c>
      <c r="R522" t="s">
        <v>28</v>
      </c>
      <c r="S522" t="s">
        <v>2444</v>
      </c>
      <c r="T522" t="s">
        <v>2445</v>
      </c>
      <c r="W522" t="s">
        <v>107</v>
      </c>
      <c r="X522" t="s">
        <v>34</v>
      </c>
      <c r="Y522" t="str">
        <f>"77494"</f>
        <v>77494</v>
      </c>
    </row>
    <row r="523" spans="1:25" x14ac:dyDescent="0.25">
      <c r="A523" t="s">
        <v>2446</v>
      </c>
      <c r="B523" t="s">
        <v>2447</v>
      </c>
      <c r="C523">
        <v>2021</v>
      </c>
      <c r="D523">
        <v>8001</v>
      </c>
      <c r="E523">
        <v>12</v>
      </c>
      <c r="F523" t="s">
        <v>2448</v>
      </c>
      <c r="G523">
        <v>0</v>
      </c>
      <c r="J523">
        <v>99.84</v>
      </c>
      <c r="L523">
        <v>47684947</v>
      </c>
      <c r="M523" s="1">
        <v>44516</v>
      </c>
      <c r="N523" t="str">
        <f>"TE211116"</f>
        <v>TE211116</v>
      </c>
      <c r="O523" t="s">
        <v>28</v>
      </c>
      <c r="Q523" t="s">
        <v>29</v>
      </c>
      <c r="R523" t="s">
        <v>28</v>
      </c>
      <c r="S523" t="s">
        <v>2448</v>
      </c>
      <c r="T523" t="s">
        <v>2449</v>
      </c>
      <c r="U523" t="s">
        <v>60</v>
      </c>
      <c r="V523" t="s">
        <v>60</v>
      </c>
      <c r="W523" t="s">
        <v>1333</v>
      </c>
      <c r="X523" t="s">
        <v>34</v>
      </c>
      <c r="Y523" t="str">
        <f>"774590041   "</f>
        <v xml:space="preserve">774590041   </v>
      </c>
    </row>
    <row r="524" spans="1:25" x14ac:dyDescent="0.25">
      <c r="A524" t="s">
        <v>2446</v>
      </c>
      <c r="B524" t="s">
        <v>2447</v>
      </c>
      <c r="C524">
        <v>2021</v>
      </c>
      <c r="D524">
        <v>8001</v>
      </c>
      <c r="E524">
        <v>12</v>
      </c>
      <c r="F524" t="s">
        <v>2448</v>
      </c>
      <c r="G524">
        <v>0</v>
      </c>
      <c r="J524">
        <v>114.76</v>
      </c>
      <c r="L524">
        <v>47766943</v>
      </c>
      <c r="M524" s="1">
        <v>44516</v>
      </c>
      <c r="N524" t="str">
        <f>"TE211116"</f>
        <v>TE211116</v>
      </c>
      <c r="O524" t="s">
        <v>28</v>
      </c>
      <c r="Q524" t="s">
        <v>29</v>
      </c>
      <c r="R524" t="s">
        <v>28</v>
      </c>
      <c r="S524" t="s">
        <v>2448</v>
      </c>
      <c r="T524" t="s">
        <v>2449</v>
      </c>
      <c r="U524" t="s">
        <v>60</v>
      </c>
      <c r="V524" t="s">
        <v>60</v>
      </c>
      <c r="W524" t="s">
        <v>1333</v>
      </c>
      <c r="X524" t="s">
        <v>34</v>
      </c>
      <c r="Y524" t="str">
        <f>"774590041   "</f>
        <v xml:space="preserve">774590041   </v>
      </c>
    </row>
    <row r="525" spans="1:25" x14ac:dyDescent="0.25">
      <c r="A525" t="s">
        <v>2450</v>
      </c>
      <c r="B525" t="s">
        <v>2451</v>
      </c>
      <c r="C525">
        <v>2020</v>
      </c>
      <c r="D525">
        <v>8001</v>
      </c>
      <c r="E525">
        <v>2</v>
      </c>
      <c r="F525" t="s">
        <v>2452</v>
      </c>
      <c r="G525">
        <v>24463478</v>
      </c>
      <c r="J525">
        <v>113.34</v>
      </c>
      <c r="L525">
        <v>47550429</v>
      </c>
      <c r="M525" s="1">
        <v>44371</v>
      </c>
      <c r="N525" t="str">
        <f>"O210624BE1"</f>
        <v>O210624BE1</v>
      </c>
      <c r="O525" t="s">
        <v>28</v>
      </c>
      <c r="Q525" t="s">
        <v>29</v>
      </c>
      <c r="R525" t="s">
        <v>28</v>
      </c>
      <c r="S525" t="s">
        <v>2453</v>
      </c>
      <c r="T525" t="s">
        <v>2454</v>
      </c>
      <c r="W525" t="s">
        <v>2455</v>
      </c>
      <c r="X525" t="s">
        <v>900</v>
      </c>
      <c r="Y525" t="str">
        <f>"605631198"</f>
        <v>605631198</v>
      </c>
    </row>
    <row r="526" spans="1:25" x14ac:dyDescent="0.25">
      <c r="A526" t="s">
        <v>2456</v>
      </c>
      <c r="B526" t="s">
        <v>2457</v>
      </c>
      <c r="C526">
        <v>2020</v>
      </c>
      <c r="D526">
        <v>8001</v>
      </c>
      <c r="E526">
        <v>1</v>
      </c>
      <c r="F526" t="s">
        <v>2458</v>
      </c>
      <c r="G526">
        <v>29461621</v>
      </c>
      <c r="J526">
        <v>205.73</v>
      </c>
      <c r="L526">
        <v>46728621</v>
      </c>
      <c r="M526" s="1">
        <v>44230</v>
      </c>
      <c r="N526" t="str">
        <f>"EK210203"</f>
        <v>EK210203</v>
      </c>
      <c r="O526" t="s">
        <v>28</v>
      </c>
      <c r="Q526" t="s">
        <v>29</v>
      </c>
      <c r="R526" t="s">
        <v>28</v>
      </c>
      <c r="S526" t="s">
        <v>2459</v>
      </c>
      <c r="T526" t="s">
        <v>2460</v>
      </c>
      <c r="W526" t="s">
        <v>81</v>
      </c>
      <c r="X526" t="s">
        <v>34</v>
      </c>
      <c r="Y526" t="str">
        <f>"77406"</f>
        <v>77406</v>
      </c>
    </row>
    <row r="527" spans="1:25" x14ac:dyDescent="0.25">
      <c r="A527" t="s">
        <v>2461</v>
      </c>
      <c r="B527" t="s">
        <v>2462</v>
      </c>
      <c r="C527">
        <v>2020</v>
      </c>
      <c r="D527">
        <v>8001</v>
      </c>
      <c r="E527">
        <v>1</v>
      </c>
      <c r="F527" t="s">
        <v>2463</v>
      </c>
      <c r="G527">
        <v>0</v>
      </c>
      <c r="J527">
        <v>132.44999999999999</v>
      </c>
      <c r="L527">
        <v>44755451</v>
      </c>
      <c r="M527" s="1">
        <v>44147</v>
      </c>
      <c r="N527" t="str">
        <f>"TE201112"</f>
        <v>TE201112</v>
      </c>
      <c r="O527" t="s">
        <v>28</v>
      </c>
      <c r="Q527" t="s">
        <v>29</v>
      </c>
      <c r="R527" t="s">
        <v>28</v>
      </c>
      <c r="S527" t="s">
        <v>2463</v>
      </c>
      <c r="T527" t="s">
        <v>2464</v>
      </c>
      <c r="U527" t="s">
        <v>60</v>
      </c>
      <c r="V527" t="s">
        <v>60</v>
      </c>
      <c r="W527" t="s">
        <v>2465</v>
      </c>
      <c r="X527" t="s">
        <v>34</v>
      </c>
      <c r="Y527" t="str">
        <f>"786103675   "</f>
        <v xml:space="preserve">786103675   </v>
      </c>
    </row>
    <row r="528" spans="1:25" x14ac:dyDescent="0.25">
      <c r="A528" t="s">
        <v>2466</v>
      </c>
      <c r="B528" t="s">
        <v>2467</v>
      </c>
      <c r="C528">
        <v>2019</v>
      </c>
      <c r="D528">
        <v>8001</v>
      </c>
      <c r="E528">
        <v>1</v>
      </c>
      <c r="F528" t="s">
        <v>2468</v>
      </c>
      <c r="G528">
        <v>28310294</v>
      </c>
      <c r="J528">
        <v>22.79</v>
      </c>
      <c r="L528">
        <v>43887115</v>
      </c>
      <c r="M528" s="1">
        <v>43895</v>
      </c>
      <c r="N528" t="str">
        <f>"CC200305"</f>
        <v>CC200305</v>
      </c>
      <c r="O528" t="s">
        <v>28</v>
      </c>
      <c r="Q528" t="s">
        <v>29</v>
      </c>
      <c r="R528" t="s">
        <v>28</v>
      </c>
      <c r="S528" t="s">
        <v>2469</v>
      </c>
      <c r="T528" t="s">
        <v>2470</v>
      </c>
      <c r="W528" t="s">
        <v>1160</v>
      </c>
      <c r="X528" t="s">
        <v>34</v>
      </c>
      <c r="Y528" t="str">
        <f>"775457753"</f>
        <v>775457753</v>
      </c>
    </row>
    <row r="529" spans="1:25" x14ac:dyDescent="0.25">
      <c r="A529" t="s">
        <v>2471</v>
      </c>
      <c r="B529" t="s">
        <v>2472</v>
      </c>
      <c r="C529">
        <v>2020</v>
      </c>
      <c r="D529">
        <v>8001</v>
      </c>
      <c r="E529">
        <v>3</v>
      </c>
      <c r="F529" t="s">
        <v>2473</v>
      </c>
      <c r="G529">
        <v>28749769</v>
      </c>
      <c r="J529">
        <v>7.19</v>
      </c>
      <c r="L529">
        <v>44773772</v>
      </c>
      <c r="M529" s="1">
        <v>44140</v>
      </c>
      <c r="N529" t="str">
        <f>"CC301105"</f>
        <v>CC301105</v>
      </c>
      <c r="O529" t="s">
        <v>28</v>
      </c>
      <c r="Q529" t="s">
        <v>29</v>
      </c>
      <c r="R529" t="s">
        <v>28</v>
      </c>
      <c r="S529" t="s">
        <v>2474</v>
      </c>
      <c r="T529" t="s">
        <v>2475</v>
      </c>
      <c r="W529" t="s">
        <v>81</v>
      </c>
      <c r="X529" t="s">
        <v>34</v>
      </c>
      <c r="Y529" t="str">
        <f>"77469"</f>
        <v>77469</v>
      </c>
    </row>
    <row r="530" spans="1:25" x14ac:dyDescent="0.25">
      <c r="A530" t="s">
        <v>2476</v>
      </c>
      <c r="B530" t="s">
        <v>2477</v>
      </c>
      <c r="C530">
        <v>2020</v>
      </c>
      <c r="D530">
        <v>8001</v>
      </c>
      <c r="E530">
        <v>1</v>
      </c>
      <c r="F530" t="s">
        <v>2478</v>
      </c>
      <c r="G530">
        <v>24797788</v>
      </c>
      <c r="J530">
        <v>849.96</v>
      </c>
      <c r="L530">
        <v>46910219</v>
      </c>
      <c r="M530" s="1">
        <v>44239</v>
      </c>
      <c r="N530" t="str">
        <f>"O210212AB1"</f>
        <v>O210212AB1</v>
      </c>
      <c r="O530" t="s">
        <v>28</v>
      </c>
      <c r="Q530" t="s">
        <v>29</v>
      </c>
      <c r="R530" t="s">
        <v>28</v>
      </c>
      <c r="S530" t="s">
        <v>2479</v>
      </c>
      <c r="T530" t="s">
        <v>2480</v>
      </c>
      <c r="W530" t="s">
        <v>2481</v>
      </c>
      <c r="X530" t="s">
        <v>34</v>
      </c>
      <c r="Y530" t="str">
        <f>"77423"</f>
        <v>77423</v>
      </c>
    </row>
    <row r="531" spans="1:25" x14ac:dyDescent="0.25">
      <c r="A531" t="s">
        <v>2482</v>
      </c>
      <c r="B531" t="s">
        <v>2483</v>
      </c>
      <c r="C531">
        <v>2020</v>
      </c>
      <c r="D531">
        <v>8001</v>
      </c>
      <c r="E531">
        <v>2</v>
      </c>
      <c r="F531" t="s">
        <v>2484</v>
      </c>
      <c r="G531">
        <v>29749959</v>
      </c>
      <c r="J531">
        <v>422.35</v>
      </c>
      <c r="L531">
        <v>47301742</v>
      </c>
      <c r="M531" s="1">
        <v>44301</v>
      </c>
      <c r="N531" t="str">
        <f>"O210415D9"</f>
        <v>O210415D9</v>
      </c>
      <c r="O531" t="s">
        <v>28</v>
      </c>
      <c r="Q531" t="s">
        <v>29</v>
      </c>
      <c r="R531" t="s">
        <v>28</v>
      </c>
      <c r="S531" t="s">
        <v>2485</v>
      </c>
      <c r="T531" t="s">
        <v>2486</v>
      </c>
      <c r="W531" t="s">
        <v>193</v>
      </c>
      <c r="X531" t="s">
        <v>34</v>
      </c>
      <c r="Y531" t="str">
        <f>"774113727"</f>
        <v>774113727</v>
      </c>
    </row>
    <row r="532" spans="1:25" x14ac:dyDescent="0.25">
      <c r="A532" t="s">
        <v>2487</v>
      </c>
      <c r="B532" t="s">
        <v>2488</v>
      </c>
      <c r="C532">
        <v>2021</v>
      </c>
      <c r="D532">
        <v>8001</v>
      </c>
      <c r="E532">
        <v>1</v>
      </c>
      <c r="F532" t="s">
        <v>2489</v>
      </c>
      <c r="G532">
        <v>26419208</v>
      </c>
      <c r="J532">
        <v>603.88</v>
      </c>
      <c r="L532">
        <v>48244941</v>
      </c>
      <c r="M532" s="1">
        <v>44530</v>
      </c>
      <c r="N532" t="str">
        <f>"RC211222"</f>
        <v>RC211222</v>
      </c>
      <c r="O532" t="s">
        <v>28</v>
      </c>
      <c r="Q532" t="s">
        <v>29</v>
      </c>
      <c r="R532" t="s">
        <v>28</v>
      </c>
      <c r="S532" t="s">
        <v>1073</v>
      </c>
      <c r="T532" t="s">
        <v>1074</v>
      </c>
      <c r="W532" t="s">
        <v>1075</v>
      </c>
      <c r="X532" t="s">
        <v>34</v>
      </c>
      <c r="Y532" t="str">
        <f>"76177"</f>
        <v>76177</v>
      </c>
    </row>
    <row r="533" spans="1:25" x14ac:dyDescent="0.25">
      <c r="A533" t="s">
        <v>2490</v>
      </c>
      <c r="B533" t="s">
        <v>2491</v>
      </c>
      <c r="C533">
        <v>2020</v>
      </c>
      <c r="D533">
        <v>8001</v>
      </c>
      <c r="E533">
        <v>1</v>
      </c>
      <c r="F533" t="s">
        <v>2492</v>
      </c>
      <c r="G533">
        <v>26731341</v>
      </c>
      <c r="J533">
        <v>62.87</v>
      </c>
      <c r="L533">
        <v>47682221</v>
      </c>
      <c r="M533" s="1">
        <v>44414</v>
      </c>
      <c r="N533" t="str">
        <f>"RC210810"</f>
        <v>RC210810</v>
      </c>
      <c r="O533" t="s">
        <v>28</v>
      </c>
      <c r="Q533" t="s">
        <v>29</v>
      </c>
      <c r="R533" t="s">
        <v>28</v>
      </c>
      <c r="S533" t="s">
        <v>380</v>
      </c>
      <c r="T533" t="s">
        <v>2362</v>
      </c>
      <c r="U533" t="s">
        <v>2363</v>
      </c>
      <c r="V533" t="s">
        <v>2493</v>
      </c>
      <c r="W533" t="s">
        <v>107</v>
      </c>
      <c r="X533" t="s">
        <v>34</v>
      </c>
      <c r="Y533" t="str">
        <f>"77494"</f>
        <v>77494</v>
      </c>
    </row>
    <row r="534" spans="1:25" x14ac:dyDescent="0.25">
      <c r="A534" t="s">
        <v>2494</v>
      </c>
      <c r="B534" t="s">
        <v>2495</v>
      </c>
      <c r="C534">
        <v>2020</v>
      </c>
      <c r="D534">
        <v>8001</v>
      </c>
      <c r="E534">
        <v>1</v>
      </c>
      <c r="F534" t="s">
        <v>2496</v>
      </c>
      <c r="G534">
        <v>0</v>
      </c>
      <c r="J534">
        <v>730.46</v>
      </c>
      <c r="L534">
        <v>46861420</v>
      </c>
      <c r="M534" s="1">
        <v>44235</v>
      </c>
      <c r="N534" t="str">
        <f>"L210208"</f>
        <v>L210208</v>
      </c>
      <c r="O534" t="s">
        <v>28</v>
      </c>
      <c r="Q534" t="s">
        <v>29</v>
      </c>
      <c r="R534" t="s">
        <v>28</v>
      </c>
      <c r="S534" t="s">
        <v>2496</v>
      </c>
      <c r="T534" t="s">
        <v>2497</v>
      </c>
      <c r="U534" t="s">
        <v>60</v>
      </c>
      <c r="V534" t="s">
        <v>60</v>
      </c>
      <c r="W534" t="s">
        <v>273</v>
      </c>
      <c r="X534" t="s">
        <v>34</v>
      </c>
      <c r="Y534" t="str">
        <f>"774413724   "</f>
        <v xml:space="preserve">774413724   </v>
      </c>
    </row>
    <row r="535" spans="1:25" x14ac:dyDescent="0.25">
      <c r="A535" t="s">
        <v>2498</v>
      </c>
      <c r="B535" t="s">
        <v>2499</v>
      </c>
      <c r="C535">
        <v>2020</v>
      </c>
      <c r="D535">
        <v>8001</v>
      </c>
      <c r="E535">
        <v>1</v>
      </c>
      <c r="F535" t="s">
        <v>2500</v>
      </c>
      <c r="G535">
        <v>0</v>
      </c>
      <c r="J535">
        <v>366.37</v>
      </c>
      <c r="L535">
        <v>46471481</v>
      </c>
      <c r="M535" s="1">
        <v>44225</v>
      </c>
      <c r="N535" t="str">
        <f>"O210129AS6"</f>
        <v>O210129AS6</v>
      </c>
      <c r="O535" t="s">
        <v>28</v>
      </c>
      <c r="Q535" t="s">
        <v>29</v>
      </c>
      <c r="R535" t="s">
        <v>28</v>
      </c>
      <c r="S535" t="s">
        <v>2500</v>
      </c>
      <c r="T535" t="s">
        <v>2501</v>
      </c>
      <c r="U535" t="s">
        <v>60</v>
      </c>
      <c r="V535" t="s">
        <v>60</v>
      </c>
      <c r="W535" t="s">
        <v>2502</v>
      </c>
      <c r="X535" t="s">
        <v>34</v>
      </c>
      <c r="Y535" t="str">
        <f>"775457472   "</f>
        <v xml:space="preserve">775457472   </v>
      </c>
    </row>
    <row r="536" spans="1:25" x14ac:dyDescent="0.25">
      <c r="A536" t="s">
        <v>2503</v>
      </c>
      <c r="B536" t="s">
        <v>2504</v>
      </c>
      <c r="C536">
        <v>2019</v>
      </c>
      <c r="D536">
        <v>8001</v>
      </c>
      <c r="E536">
        <v>1</v>
      </c>
      <c r="F536" t="s">
        <v>2505</v>
      </c>
      <c r="G536">
        <v>28298297</v>
      </c>
      <c r="J536">
        <v>39.04</v>
      </c>
      <c r="L536">
        <v>43864413</v>
      </c>
      <c r="M536" s="1">
        <v>43893</v>
      </c>
      <c r="N536" t="str">
        <f>"EK400303"</f>
        <v>EK400303</v>
      </c>
      <c r="O536" t="s">
        <v>28</v>
      </c>
      <c r="Q536" t="s">
        <v>29</v>
      </c>
      <c r="R536" t="s">
        <v>28</v>
      </c>
      <c r="S536" t="s">
        <v>2506</v>
      </c>
      <c r="T536" t="s">
        <v>2507</v>
      </c>
      <c r="W536" t="s">
        <v>1160</v>
      </c>
      <c r="X536" t="s">
        <v>34</v>
      </c>
      <c r="Y536" t="str">
        <f>"77545"</f>
        <v>77545</v>
      </c>
    </row>
    <row r="537" spans="1:25" x14ac:dyDescent="0.25">
      <c r="A537" t="s">
        <v>2508</v>
      </c>
      <c r="B537" t="s">
        <v>2509</v>
      </c>
      <c r="C537">
        <v>2020</v>
      </c>
      <c r="D537">
        <v>8001</v>
      </c>
      <c r="E537">
        <v>1</v>
      </c>
      <c r="F537" t="s">
        <v>2510</v>
      </c>
      <c r="G537">
        <v>29907759</v>
      </c>
      <c r="J537">
        <v>423.58</v>
      </c>
      <c r="L537">
        <v>47557319</v>
      </c>
      <c r="M537" s="1">
        <v>44375</v>
      </c>
      <c r="N537" t="str">
        <f>"RC210706"</f>
        <v>RC210706</v>
      </c>
      <c r="O537" t="s">
        <v>28</v>
      </c>
      <c r="Q537" t="s">
        <v>29</v>
      </c>
      <c r="R537" t="s">
        <v>28</v>
      </c>
      <c r="S537" t="s">
        <v>2511</v>
      </c>
      <c r="T537" t="s">
        <v>2512</v>
      </c>
      <c r="W537" t="s">
        <v>75</v>
      </c>
      <c r="X537" t="s">
        <v>34</v>
      </c>
      <c r="Y537" t="str">
        <f>"77027"</f>
        <v>77027</v>
      </c>
    </row>
    <row r="538" spans="1:25" x14ac:dyDescent="0.25">
      <c r="A538" t="s">
        <v>2513</v>
      </c>
      <c r="B538" t="s">
        <v>2514</v>
      </c>
      <c r="C538">
        <v>2019</v>
      </c>
      <c r="D538">
        <v>8001</v>
      </c>
      <c r="E538">
        <v>1</v>
      </c>
      <c r="F538" t="s">
        <v>2515</v>
      </c>
      <c r="G538">
        <v>21099934</v>
      </c>
      <c r="J538">
        <v>20</v>
      </c>
      <c r="L538">
        <v>42551018</v>
      </c>
      <c r="M538" s="1">
        <v>43832</v>
      </c>
      <c r="N538" t="str">
        <f>"O200102U1"</f>
        <v>O200102U1</v>
      </c>
      <c r="O538" t="s">
        <v>28</v>
      </c>
      <c r="Q538" t="s">
        <v>29</v>
      </c>
      <c r="R538" t="s">
        <v>28</v>
      </c>
      <c r="S538" t="s">
        <v>2516</v>
      </c>
      <c r="T538" t="s">
        <v>2517</v>
      </c>
      <c r="U538" t="s">
        <v>2518</v>
      </c>
      <c r="W538" t="s">
        <v>40</v>
      </c>
      <c r="X538" t="s">
        <v>34</v>
      </c>
      <c r="Y538" t="str">
        <f>"774982872"</f>
        <v>774982872</v>
      </c>
    </row>
    <row r="539" spans="1:25" x14ac:dyDescent="0.25">
      <c r="A539" t="s">
        <v>2519</v>
      </c>
      <c r="B539" t="s">
        <v>2520</v>
      </c>
      <c r="C539">
        <v>2019</v>
      </c>
      <c r="D539">
        <v>8001</v>
      </c>
      <c r="E539">
        <v>1</v>
      </c>
      <c r="F539" t="s">
        <v>2521</v>
      </c>
      <c r="G539">
        <v>28298276</v>
      </c>
      <c r="J539">
        <v>18.98</v>
      </c>
      <c r="L539">
        <v>43864392</v>
      </c>
      <c r="M539" s="1">
        <v>43893</v>
      </c>
      <c r="N539" t="str">
        <f>"EK400303"</f>
        <v>EK400303</v>
      </c>
      <c r="O539" t="s">
        <v>28</v>
      </c>
      <c r="Q539" t="s">
        <v>29</v>
      </c>
      <c r="R539" t="s">
        <v>28</v>
      </c>
      <c r="S539" t="s">
        <v>2522</v>
      </c>
      <c r="T539" t="s">
        <v>2523</v>
      </c>
      <c r="W539" t="s">
        <v>392</v>
      </c>
      <c r="X539" t="s">
        <v>34</v>
      </c>
      <c r="Y539" t="str">
        <f>"77459"</f>
        <v>77459</v>
      </c>
    </row>
    <row r="540" spans="1:25" x14ac:dyDescent="0.25">
      <c r="A540" t="s">
        <v>2524</v>
      </c>
      <c r="B540" t="s">
        <v>2525</v>
      </c>
      <c r="C540">
        <v>2020</v>
      </c>
      <c r="D540">
        <v>8001</v>
      </c>
      <c r="E540">
        <v>1</v>
      </c>
      <c r="F540" t="s">
        <v>2526</v>
      </c>
      <c r="G540">
        <v>29461641</v>
      </c>
      <c r="J540">
        <v>45.05</v>
      </c>
      <c r="L540">
        <v>46728641</v>
      </c>
      <c r="M540" s="1">
        <v>44230</v>
      </c>
      <c r="N540" t="str">
        <f>"EK210203"</f>
        <v>EK210203</v>
      </c>
      <c r="O540" t="s">
        <v>28</v>
      </c>
      <c r="Q540" t="s">
        <v>29</v>
      </c>
      <c r="R540" t="s">
        <v>28</v>
      </c>
      <c r="S540" t="s">
        <v>2527</v>
      </c>
      <c r="T540" t="s">
        <v>2528</v>
      </c>
      <c r="W540" t="s">
        <v>1160</v>
      </c>
      <c r="X540" t="s">
        <v>34</v>
      </c>
      <c r="Y540" t="str">
        <f>"77545"</f>
        <v>77545</v>
      </c>
    </row>
    <row r="541" spans="1:25" x14ac:dyDescent="0.25">
      <c r="A541" t="s">
        <v>2529</v>
      </c>
      <c r="B541" t="s">
        <v>2530</v>
      </c>
      <c r="C541">
        <v>2020</v>
      </c>
      <c r="D541">
        <v>8001</v>
      </c>
      <c r="E541">
        <v>3</v>
      </c>
      <c r="F541" t="s">
        <v>2531</v>
      </c>
      <c r="G541">
        <v>0</v>
      </c>
      <c r="J541">
        <v>89.87</v>
      </c>
      <c r="L541">
        <v>47697372</v>
      </c>
      <c r="M541" s="1">
        <v>44421</v>
      </c>
      <c r="N541" t="str">
        <f>"L210813"</f>
        <v>L210813</v>
      </c>
      <c r="O541" t="s">
        <v>28</v>
      </c>
      <c r="Q541" t="s">
        <v>29</v>
      </c>
      <c r="R541" t="s">
        <v>28</v>
      </c>
      <c r="S541" t="s">
        <v>2531</v>
      </c>
      <c r="T541" t="s">
        <v>2532</v>
      </c>
      <c r="U541" t="s">
        <v>60</v>
      </c>
      <c r="V541" t="s">
        <v>60</v>
      </c>
      <c r="W541" t="s">
        <v>2502</v>
      </c>
      <c r="X541" t="s">
        <v>34</v>
      </c>
      <c r="Y541" t="str">
        <f>"775457821   "</f>
        <v xml:space="preserve">775457821   </v>
      </c>
    </row>
    <row r="542" spans="1:25" x14ac:dyDescent="0.25">
      <c r="A542" t="s">
        <v>2533</v>
      </c>
      <c r="B542" t="s">
        <v>2534</v>
      </c>
      <c r="C542">
        <v>2019</v>
      </c>
      <c r="D542">
        <v>8001</v>
      </c>
      <c r="E542">
        <v>1</v>
      </c>
      <c r="F542" t="s">
        <v>2535</v>
      </c>
      <c r="G542">
        <v>0</v>
      </c>
      <c r="J542">
        <v>13.06</v>
      </c>
      <c r="L542">
        <v>44137702</v>
      </c>
      <c r="M542" s="1">
        <v>43957</v>
      </c>
      <c r="N542" t="str">
        <f>"J200506AW6"</f>
        <v>J200506AW6</v>
      </c>
      <c r="O542" t="s">
        <v>28</v>
      </c>
      <c r="Q542" t="s">
        <v>29</v>
      </c>
      <c r="R542" t="s">
        <v>28</v>
      </c>
      <c r="S542" t="s">
        <v>2535</v>
      </c>
      <c r="T542" t="s">
        <v>2536</v>
      </c>
      <c r="U542" t="s">
        <v>60</v>
      </c>
      <c r="V542" t="s">
        <v>60</v>
      </c>
      <c r="W542" t="s">
        <v>2537</v>
      </c>
      <c r="X542" t="s">
        <v>2538</v>
      </c>
      <c r="Y542" t="str">
        <f>"870089478   "</f>
        <v xml:space="preserve">870089478   </v>
      </c>
    </row>
    <row r="543" spans="1:25" x14ac:dyDescent="0.25">
      <c r="A543" t="s">
        <v>2539</v>
      </c>
      <c r="B543" t="s">
        <v>2540</v>
      </c>
      <c r="C543">
        <v>2021</v>
      </c>
      <c r="D543">
        <v>8001</v>
      </c>
      <c r="E543">
        <v>2</v>
      </c>
      <c r="F543" t="s">
        <v>2541</v>
      </c>
      <c r="G543">
        <v>0</v>
      </c>
      <c r="J543">
        <v>8</v>
      </c>
      <c r="L543">
        <v>48810096</v>
      </c>
      <c r="M543" s="1">
        <v>44560</v>
      </c>
      <c r="N543" t="str">
        <f>"O211230AG5"</f>
        <v>O211230AG5</v>
      </c>
      <c r="O543" t="s">
        <v>28</v>
      </c>
      <c r="Q543" t="s">
        <v>29</v>
      </c>
      <c r="R543" t="s">
        <v>28</v>
      </c>
      <c r="S543" t="s">
        <v>2541</v>
      </c>
      <c r="T543" t="s">
        <v>2542</v>
      </c>
      <c r="U543" t="s">
        <v>60</v>
      </c>
      <c r="V543" t="s">
        <v>60</v>
      </c>
      <c r="W543" t="s">
        <v>2502</v>
      </c>
      <c r="X543" t="s">
        <v>34</v>
      </c>
      <c r="Y543" t="str">
        <f>"775457426   "</f>
        <v xml:space="preserve">775457426   </v>
      </c>
    </row>
    <row r="544" spans="1:25" x14ac:dyDescent="0.25">
      <c r="A544" t="s">
        <v>2543</v>
      </c>
      <c r="B544" t="s">
        <v>2544</v>
      </c>
      <c r="C544">
        <v>2020</v>
      </c>
      <c r="D544">
        <v>8001</v>
      </c>
      <c r="E544">
        <v>2</v>
      </c>
      <c r="F544" t="s">
        <v>2545</v>
      </c>
      <c r="G544">
        <v>24314221</v>
      </c>
      <c r="J544">
        <v>27.15</v>
      </c>
      <c r="L544">
        <v>47379078</v>
      </c>
      <c r="M544" s="1">
        <v>44322</v>
      </c>
      <c r="N544" t="str">
        <f>"RC210512"</f>
        <v>RC210512</v>
      </c>
      <c r="O544" t="s">
        <v>28</v>
      </c>
      <c r="Q544" t="s">
        <v>29</v>
      </c>
      <c r="R544" t="s">
        <v>28</v>
      </c>
      <c r="S544" t="s">
        <v>1326</v>
      </c>
      <c r="T544" t="s">
        <v>1327</v>
      </c>
      <c r="W544" t="s">
        <v>1328</v>
      </c>
      <c r="X544" t="s">
        <v>162</v>
      </c>
      <c r="Y544" t="str">
        <f>"080541287"</f>
        <v>080541287</v>
      </c>
    </row>
    <row r="545" spans="1:25" x14ac:dyDescent="0.25">
      <c r="A545" t="s">
        <v>2546</v>
      </c>
      <c r="B545" t="s">
        <v>2547</v>
      </c>
      <c r="C545">
        <v>2020</v>
      </c>
      <c r="D545">
        <v>8001</v>
      </c>
      <c r="E545">
        <v>1</v>
      </c>
      <c r="F545" t="s">
        <v>2548</v>
      </c>
      <c r="G545">
        <v>26468754</v>
      </c>
      <c r="J545">
        <v>50.7</v>
      </c>
      <c r="L545">
        <v>47046525</v>
      </c>
      <c r="M545" s="1">
        <v>44260</v>
      </c>
      <c r="N545" t="str">
        <f>"RC210310"</f>
        <v>RC210310</v>
      </c>
      <c r="O545" t="s">
        <v>28</v>
      </c>
      <c r="Q545" t="s">
        <v>29</v>
      </c>
      <c r="R545" t="s">
        <v>28</v>
      </c>
      <c r="S545" t="s">
        <v>2549</v>
      </c>
      <c r="T545" t="s">
        <v>2550</v>
      </c>
      <c r="W545" t="s">
        <v>2551</v>
      </c>
      <c r="X545" t="s">
        <v>317</v>
      </c>
      <c r="Y545" t="str">
        <f>"90620"</f>
        <v>90620</v>
      </c>
    </row>
    <row r="546" spans="1:25" x14ac:dyDescent="0.25">
      <c r="A546" t="s">
        <v>2552</v>
      </c>
      <c r="B546" t="s">
        <v>2553</v>
      </c>
      <c r="C546">
        <v>2021</v>
      </c>
      <c r="D546">
        <v>8001</v>
      </c>
      <c r="E546">
        <v>1</v>
      </c>
      <c r="F546" t="s">
        <v>2554</v>
      </c>
      <c r="G546">
        <v>0</v>
      </c>
      <c r="J546">
        <v>16.37</v>
      </c>
      <c r="L546">
        <v>49600640</v>
      </c>
      <c r="M546" s="1">
        <v>44588</v>
      </c>
      <c r="N546" t="str">
        <f>"EL220127"</f>
        <v>EL220127</v>
      </c>
      <c r="O546" t="s">
        <v>28</v>
      </c>
      <c r="Q546" t="s">
        <v>29</v>
      </c>
      <c r="R546" t="s">
        <v>28</v>
      </c>
      <c r="S546" t="s">
        <v>2554</v>
      </c>
      <c r="T546" t="s">
        <v>2555</v>
      </c>
      <c r="U546" t="s">
        <v>60</v>
      </c>
      <c r="V546" t="s">
        <v>60</v>
      </c>
      <c r="W546" t="s">
        <v>135</v>
      </c>
      <c r="X546" t="s">
        <v>34</v>
      </c>
      <c r="Y546" t="str">
        <f>"770926244   "</f>
        <v xml:space="preserve">770926244   </v>
      </c>
    </row>
    <row r="547" spans="1:25" x14ac:dyDescent="0.25">
      <c r="A547" t="s">
        <v>2556</v>
      </c>
      <c r="B547" t="s">
        <v>2557</v>
      </c>
      <c r="C547">
        <v>2020</v>
      </c>
      <c r="D547">
        <v>8001</v>
      </c>
      <c r="E547">
        <v>1</v>
      </c>
      <c r="F547" t="s">
        <v>2558</v>
      </c>
      <c r="G547">
        <v>29461867</v>
      </c>
      <c r="J547">
        <v>274.16000000000003</v>
      </c>
      <c r="L547">
        <v>46728867</v>
      </c>
      <c r="M547" s="1">
        <v>44230</v>
      </c>
      <c r="N547" t="str">
        <f>"EK210203"</f>
        <v>EK210203</v>
      </c>
      <c r="O547" t="s">
        <v>28</v>
      </c>
      <c r="Q547" t="s">
        <v>29</v>
      </c>
      <c r="R547" t="s">
        <v>28</v>
      </c>
      <c r="S547" t="s">
        <v>2559</v>
      </c>
      <c r="T547" t="s">
        <v>2560</v>
      </c>
      <c r="W547" t="s">
        <v>392</v>
      </c>
      <c r="X547" t="s">
        <v>34</v>
      </c>
      <c r="Y547" t="str">
        <f>"77489"</f>
        <v>77489</v>
      </c>
    </row>
    <row r="548" spans="1:25" x14ac:dyDescent="0.25">
      <c r="A548" t="s">
        <v>2561</v>
      </c>
      <c r="B548" t="s">
        <v>2562</v>
      </c>
      <c r="C548">
        <v>2020</v>
      </c>
      <c r="D548">
        <v>8001</v>
      </c>
      <c r="E548">
        <v>5</v>
      </c>
      <c r="F548" t="s">
        <v>2563</v>
      </c>
      <c r="G548">
        <v>29901507</v>
      </c>
      <c r="J548">
        <v>178.91</v>
      </c>
      <c r="L548">
        <v>47577215</v>
      </c>
      <c r="M548" s="1">
        <v>44386</v>
      </c>
      <c r="N548" t="str">
        <f>"V210709E2"</f>
        <v>V210709E2</v>
      </c>
      <c r="O548" t="s">
        <v>28</v>
      </c>
      <c r="Q548" t="s">
        <v>29</v>
      </c>
      <c r="R548" t="s">
        <v>28</v>
      </c>
      <c r="S548" t="s">
        <v>2564</v>
      </c>
      <c r="T548" t="s">
        <v>2565</v>
      </c>
      <c r="W548" t="s">
        <v>40</v>
      </c>
      <c r="X548" t="s">
        <v>34</v>
      </c>
      <c r="Y548" t="str">
        <f>"77498"</f>
        <v>77498</v>
      </c>
    </row>
    <row r="549" spans="1:25" x14ac:dyDescent="0.25">
      <c r="A549" t="s">
        <v>2566</v>
      </c>
      <c r="B549" t="s">
        <v>2567</v>
      </c>
      <c r="C549">
        <v>2021</v>
      </c>
      <c r="D549">
        <v>8001</v>
      </c>
      <c r="E549">
        <v>1</v>
      </c>
      <c r="F549" t="s">
        <v>2568</v>
      </c>
      <c r="G549">
        <v>30593593</v>
      </c>
      <c r="J549">
        <v>92.03</v>
      </c>
      <c r="L549">
        <v>48713434</v>
      </c>
      <c r="M549" s="1">
        <v>44558</v>
      </c>
      <c r="N549" t="str">
        <f>"RC220125"</f>
        <v>RC220125</v>
      </c>
      <c r="O549" t="s">
        <v>28</v>
      </c>
      <c r="Q549" t="s">
        <v>29</v>
      </c>
      <c r="R549" t="s">
        <v>28</v>
      </c>
      <c r="S549" t="s">
        <v>2569</v>
      </c>
      <c r="T549" t="s">
        <v>2570</v>
      </c>
      <c r="U549" t="s">
        <v>2571</v>
      </c>
      <c r="W549" t="s">
        <v>75</v>
      </c>
      <c r="X549" t="s">
        <v>34</v>
      </c>
      <c r="Y549" t="str">
        <f>"77099-3231"</f>
        <v>77099-3231</v>
      </c>
    </row>
    <row r="550" spans="1:25" x14ac:dyDescent="0.25">
      <c r="A550" t="s">
        <v>2572</v>
      </c>
      <c r="B550" t="s">
        <v>2573</v>
      </c>
      <c r="C550">
        <v>2019</v>
      </c>
      <c r="D550">
        <v>8001</v>
      </c>
      <c r="E550">
        <v>1</v>
      </c>
      <c r="F550" t="s">
        <v>2574</v>
      </c>
      <c r="G550">
        <v>0</v>
      </c>
      <c r="J550">
        <v>393.47</v>
      </c>
      <c r="L550">
        <v>42418781</v>
      </c>
      <c r="M550" s="1">
        <v>43825</v>
      </c>
      <c r="N550" t="str">
        <f>"L191226"</f>
        <v>L191226</v>
      </c>
      <c r="O550" t="s">
        <v>28</v>
      </c>
      <c r="Q550" t="s">
        <v>29</v>
      </c>
      <c r="R550" t="s">
        <v>28</v>
      </c>
      <c r="S550" t="s">
        <v>2574</v>
      </c>
      <c r="T550" t="s">
        <v>2575</v>
      </c>
      <c r="U550" t="s">
        <v>60</v>
      </c>
      <c r="V550" t="s">
        <v>60</v>
      </c>
      <c r="W550" t="s">
        <v>219</v>
      </c>
      <c r="X550" t="s">
        <v>34</v>
      </c>
      <c r="Y550" t="str">
        <f>"774981486   "</f>
        <v xml:space="preserve">774981486   </v>
      </c>
    </row>
    <row r="551" spans="1:25" x14ac:dyDescent="0.25">
      <c r="A551" t="s">
        <v>2576</v>
      </c>
      <c r="B551" t="s">
        <v>2577</v>
      </c>
      <c r="C551">
        <v>2019</v>
      </c>
      <c r="D551">
        <v>8001</v>
      </c>
      <c r="E551">
        <v>2</v>
      </c>
      <c r="F551" t="s">
        <v>2578</v>
      </c>
      <c r="G551">
        <v>28220942</v>
      </c>
      <c r="J551">
        <v>188.4</v>
      </c>
      <c r="L551">
        <v>44250400</v>
      </c>
      <c r="M551" s="1">
        <v>43983</v>
      </c>
      <c r="N551" t="str">
        <f>"J200601U4"</f>
        <v>J200601U4</v>
      </c>
      <c r="O551" t="s">
        <v>28</v>
      </c>
      <c r="Q551" t="s">
        <v>29</v>
      </c>
      <c r="R551" t="s">
        <v>28</v>
      </c>
      <c r="S551" t="s">
        <v>2579</v>
      </c>
      <c r="T551" t="s">
        <v>2052</v>
      </c>
      <c r="W551" t="s">
        <v>1328</v>
      </c>
      <c r="X551" t="s">
        <v>162</v>
      </c>
      <c r="Y551" t="str">
        <f>"080545452"</f>
        <v>080545452</v>
      </c>
    </row>
    <row r="552" spans="1:25" x14ac:dyDescent="0.25">
      <c r="A552" t="s">
        <v>2580</v>
      </c>
      <c r="B552" t="s">
        <v>2581</v>
      </c>
      <c r="C552">
        <v>2021</v>
      </c>
      <c r="D552">
        <v>8001</v>
      </c>
      <c r="E552">
        <v>2</v>
      </c>
      <c r="F552" t="s">
        <v>2582</v>
      </c>
      <c r="G552">
        <v>27372815</v>
      </c>
      <c r="J552">
        <v>319.99</v>
      </c>
      <c r="L552">
        <v>50146951</v>
      </c>
      <c r="M552" s="1">
        <v>44603</v>
      </c>
      <c r="N552" t="str">
        <f>"O220211AB1"</f>
        <v>O220211AB1</v>
      </c>
      <c r="O552" t="s">
        <v>28</v>
      </c>
      <c r="Q552" t="s">
        <v>29</v>
      </c>
      <c r="R552" t="s">
        <v>28</v>
      </c>
      <c r="S552" t="s">
        <v>231</v>
      </c>
      <c r="T552" t="s">
        <v>2583</v>
      </c>
      <c r="W552" t="s">
        <v>75</v>
      </c>
      <c r="X552" t="s">
        <v>34</v>
      </c>
      <c r="Y552" t="str">
        <f>"77007"</f>
        <v>77007</v>
      </c>
    </row>
    <row r="553" spans="1:25" x14ac:dyDescent="0.25">
      <c r="A553" t="s">
        <v>2584</v>
      </c>
      <c r="B553" t="s">
        <v>2585</v>
      </c>
      <c r="C553">
        <v>2020</v>
      </c>
      <c r="D553">
        <v>8001</v>
      </c>
      <c r="E553">
        <v>2</v>
      </c>
      <c r="F553" t="s">
        <v>2586</v>
      </c>
      <c r="G553">
        <v>29489561</v>
      </c>
      <c r="J553">
        <v>367</v>
      </c>
      <c r="L553">
        <v>46782260</v>
      </c>
      <c r="M553" s="1">
        <v>44231</v>
      </c>
      <c r="N553" t="str">
        <f>"CC210204"</f>
        <v>CC210204</v>
      </c>
      <c r="O553" t="s">
        <v>28</v>
      </c>
      <c r="Q553" t="s">
        <v>29</v>
      </c>
      <c r="R553" t="s">
        <v>28</v>
      </c>
      <c r="S553" t="s">
        <v>2587</v>
      </c>
      <c r="T553" t="s">
        <v>2588</v>
      </c>
      <c r="W553" t="s">
        <v>107</v>
      </c>
      <c r="X553" t="s">
        <v>34</v>
      </c>
      <c r="Y553" t="str">
        <f>"77494"</f>
        <v>77494</v>
      </c>
    </row>
    <row r="554" spans="1:25" x14ac:dyDescent="0.25">
      <c r="A554" t="s">
        <v>2589</v>
      </c>
      <c r="B554" t="s">
        <v>2590</v>
      </c>
      <c r="C554">
        <v>2020</v>
      </c>
      <c r="D554">
        <v>8001</v>
      </c>
      <c r="E554">
        <v>1</v>
      </c>
      <c r="F554" t="s">
        <v>2591</v>
      </c>
      <c r="G554">
        <v>29461564</v>
      </c>
      <c r="J554">
        <v>269.26</v>
      </c>
      <c r="L554">
        <v>46728564</v>
      </c>
      <c r="M554" s="1">
        <v>44230</v>
      </c>
      <c r="N554" t="str">
        <f>"EK210203"</f>
        <v>EK210203</v>
      </c>
      <c r="O554" t="s">
        <v>28</v>
      </c>
      <c r="Q554" t="s">
        <v>29</v>
      </c>
      <c r="R554" t="s">
        <v>28</v>
      </c>
      <c r="S554" t="s">
        <v>2592</v>
      </c>
      <c r="T554" t="s">
        <v>2593</v>
      </c>
      <c r="W554" t="s">
        <v>81</v>
      </c>
      <c r="X554" t="s">
        <v>34</v>
      </c>
      <c r="Y554" t="str">
        <f>"77407"</f>
        <v>77407</v>
      </c>
    </row>
    <row r="555" spans="1:25" x14ac:dyDescent="0.25">
      <c r="A555" t="s">
        <v>2594</v>
      </c>
      <c r="B555" t="s">
        <v>2595</v>
      </c>
      <c r="C555">
        <v>2019</v>
      </c>
      <c r="D555">
        <v>8001</v>
      </c>
      <c r="E555">
        <v>1</v>
      </c>
      <c r="F555" t="s">
        <v>2596</v>
      </c>
      <c r="G555">
        <v>22993312</v>
      </c>
      <c r="J555">
        <v>6.57</v>
      </c>
      <c r="L555">
        <v>44288761</v>
      </c>
      <c r="M555" s="1">
        <v>43990</v>
      </c>
      <c r="N555" t="str">
        <f>"J200608K5"</f>
        <v>J200608K5</v>
      </c>
      <c r="O555" t="s">
        <v>28</v>
      </c>
      <c r="Q555" t="s">
        <v>29</v>
      </c>
      <c r="R555" t="s">
        <v>28</v>
      </c>
      <c r="S555" t="s">
        <v>1794</v>
      </c>
      <c r="T555" t="s">
        <v>1795</v>
      </c>
      <c r="W555" t="s">
        <v>1615</v>
      </c>
      <c r="X555" t="s">
        <v>143</v>
      </c>
      <c r="Y555" t="str">
        <f>"191156320"</f>
        <v>191156320</v>
      </c>
    </row>
    <row r="556" spans="1:25" x14ac:dyDescent="0.25">
      <c r="A556" t="s">
        <v>2597</v>
      </c>
      <c r="B556" t="s">
        <v>2598</v>
      </c>
      <c r="C556">
        <v>2019</v>
      </c>
      <c r="D556">
        <v>8001</v>
      </c>
      <c r="E556">
        <v>1</v>
      </c>
      <c r="F556" t="s">
        <v>2599</v>
      </c>
      <c r="G556">
        <v>24250771</v>
      </c>
      <c r="J556">
        <v>158.38999999999999</v>
      </c>
      <c r="L556">
        <v>43695348</v>
      </c>
      <c r="M556" s="1">
        <v>43871</v>
      </c>
      <c r="N556" t="str">
        <f>"J200210AW6"</f>
        <v>J200210AW6</v>
      </c>
      <c r="O556" t="s">
        <v>28</v>
      </c>
      <c r="Q556" t="s">
        <v>29</v>
      </c>
      <c r="R556" t="s">
        <v>28</v>
      </c>
      <c r="S556" t="s">
        <v>2600</v>
      </c>
      <c r="T556" t="s">
        <v>1910</v>
      </c>
      <c r="W556" t="s">
        <v>1911</v>
      </c>
      <c r="X556" t="s">
        <v>317</v>
      </c>
      <c r="Y556" t="str">
        <f>"900514387"</f>
        <v>900514387</v>
      </c>
    </row>
    <row r="557" spans="1:25" x14ac:dyDescent="0.25">
      <c r="A557" t="s">
        <v>2601</v>
      </c>
      <c r="B557" t="s">
        <v>2602</v>
      </c>
      <c r="C557">
        <v>2020</v>
      </c>
      <c r="D557">
        <v>8001</v>
      </c>
      <c r="E557">
        <v>1</v>
      </c>
      <c r="F557" t="s">
        <v>2603</v>
      </c>
      <c r="G557">
        <v>29596068</v>
      </c>
      <c r="J557">
        <v>80.87</v>
      </c>
      <c r="L557">
        <v>47018837</v>
      </c>
      <c r="M557" s="1">
        <v>44258</v>
      </c>
      <c r="N557" t="str">
        <f>"EK210303"</f>
        <v>EK210303</v>
      </c>
      <c r="O557" t="s">
        <v>28</v>
      </c>
      <c r="Q557" t="s">
        <v>29</v>
      </c>
      <c r="R557" t="s">
        <v>28</v>
      </c>
      <c r="S557" t="s">
        <v>2604</v>
      </c>
      <c r="T557" t="s">
        <v>2605</v>
      </c>
      <c r="W557" t="s">
        <v>81</v>
      </c>
      <c r="X557" t="s">
        <v>34</v>
      </c>
      <c r="Y557" t="str">
        <f>"77407"</f>
        <v>77407</v>
      </c>
    </row>
    <row r="558" spans="1:25" x14ac:dyDescent="0.25">
      <c r="A558" t="s">
        <v>2606</v>
      </c>
      <c r="B558" t="s">
        <v>2607</v>
      </c>
      <c r="C558">
        <v>2021</v>
      </c>
      <c r="D558">
        <v>8001</v>
      </c>
      <c r="E558">
        <v>2</v>
      </c>
      <c r="F558" t="s">
        <v>2608</v>
      </c>
      <c r="G558">
        <v>30761562</v>
      </c>
      <c r="J558">
        <v>30</v>
      </c>
      <c r="L558">
        <v>49670196</v>
      </c>
      <c r="M558" s="1">
        <v>44589</v>
      </c>
      <c r="N558" t="str">
        <f>"O220128F1"</f>
        <v>O220128F1</v>
      </c>
      <c r="O558" t="s">
        <v>28</v>
      </c>
      <c r="Q558" t="s">
        <v>29</v>
      </c>
      <c r="R558" t="s">
        <v>28</v>
      </c>
      <c r="S558" t="s">
        <v>2235</v>
      </c>
      <c r="T558" t="s">
        <v>2609</v>
      </c>
      <c r="W558" t="s">
        <v>81</v>
      </c>
      <c r="X558" t="s">
        <v>34</v>
      </c>
      <c r="Y558" t="str">
        <f>"774061106"</f>
        <v>774061106</v>
      </c>
    </row>
    <row r="559" spans="1:25" x14ac:dyDescent="0.25">
      <c r="A559" t="s">
        <v>2610</v>
      </c>
      <c r="B559" t="s">
        <v>2611</v>
      </c>
      <c r="C559">
        <v>2019</v>
      </c>
      <c r="D559">
        <v>8001</v>
      </c>
      <c r="E559">
        <v>1</v>
      </c>
      <c r="F559" t="s">
        <v>2612</v>
      </c>
      <c r="G559">
        <v>27999073</v>
      </c>
      <c r="J559">
        <v>684.36</v>
      </c>
      <c r="L559">
        <v>43138819</v>
      </c>
      <c r="M559" s="1">
        <v>43854</v>
      </c>
      <c r="N559" t="str">
        <f>"J200124AW6"</f>
        <v>J200124AW6</v>
      </c>
      <c r="O559" t="s">
        <v>28</v>
      </c>
      <c r="Q559" t="s">
        <v>29</v>
      </c>
      <c r="R559" t="s">
        <v>28</v>
      </c>
      <c r="S559" t="s">
        <v>2613</v>
      </c>
      <c r="T559" t="s">
        <v>2614</v>
      </c>
      <c r="W559" t="s">
        <v>75</v>
      </c>
      <c r="X559" t="s">
        <v>34</v>
      </c>
      <c r="Y559" t="str">
        <f>"77095"</f>
        <v>77095</v>
      </c>
    </row>
    <row r="560" spans="1:25" x14ac:dyDescent="0.25">
      <c r="A560" t="s">
        <v>2615</v>
      </c>
      <c r="B560" t="s">
        <v>2616</v>
      </c>
      <c r="C560">
        <v>2019</v>
      </c>
      <c r="D560">
        <v>8001</v>
      </c>
      <c r="E560">
        <v>2</v>
      </c>
      <c r="F560" t="s">
        <v>2617</v>
      </c>
      <c r="G560">
        <v>21600983</v>
      </c>
      <c r="J560">
        <v>43.44</v>
      </c>
      <c r="L560">
        <v>44130321</v>
      </c>
      <c r="M560" s="1">
        <v>43956</v>
      </c>
      <c r="N560" t="str">
        <f>"J200505AW2"</f>
        <v>J200505AW2</v>
      </c>
      <c r="O560" t="s">
        <v>28</v>
      </c>
      <c r="Q560" t="s">
        <v>29</v>
      </c>
      <c r="R560" t="s">
        <v>28</v>
      </c>
      <c r="S560" t="s">
        <v>1454</v>
      </c>
      <c r="T560" t="s">
        <v>1455</v>
      </c>
      <c r="W560" t="s">
        <v>1456</v>
      </c>
      <c r="X560" t="s">
        <v>1457</v>
      </c>
      <c r="Y560" t="str">
        <f>"234504968"</f>
        <v>234504968</v>
      </c>
    </row>
    <row r="561" spans="1:25" x14ac:dyDescent="0.25">
      <c r="A561" t="s">
        <v>2618</v>
      </c>
      <c r="B561" t="s">
        <v>2619</v>
      </c>
      <c r="C561">
        <v>2020</v>
      </c>
      <c r="D561">
        <v>8001</v>
      </c>
      <c r="E561">
        <v>2</v>
      </c>
      <c r="F561" t="s">
        <v>2620</v>
      </c>
      <c r="G561">
        <v>0</v>
      </c>
      <c r="J561">
        <v>55.58</v>
      </c>
      <c r="L561">
        <v>47194456</v>
      </c>
      <c r="M561" s="1">
        <v>44284</v>
      </c>
      <c r="N561" t="str">
        <f>"J210329BW11"</f>
        <v>J210329BW11</v>
      </c>
      <c r="O561" t="s">
        <v>28</v>
      </c>
      <c r="Q561" t="s">
        <v>29</v>
      </c>
      <c r="R561" t="s">
        <v>28</v>
      </c>
      <c r="S561" t="s">
        <v>2620</v>
      </c>
      <c r="T561" t="s">
        <v>2621</v>
      </c>
      <c r="U561" t="s">
        <v>60</v>
      </c>
      <c r="V561" t="s">
        <v>60</v>
      </c>
      <c r="W561" t="s">
        <v>214</v>
      </c>
      <c r="X561" t="s">
        <v>34</v>
      </c>
      <c r="Y561" t="str">
        <f>"774071657   "</f>
        <v xml:space="preserve">774071657   </v>
      </c>
    </row>
    <row r="562" spans="1:25" x14ac:dyDescent="0.25">
      <c r="A562" t="s">
        <v>2622</v>
      </c>
      <c r="B562" t="s">
        <v>2623</v>
      </c>
      <c r="C562">
        <v>2020</v>
      </c>
      <c r="D562">
        <v>8001</v>
      </c>
      <c r="E562">
        <v>1</v>
      </c>
      <c r="F562" t="s">
        <v>2624</v>
      </c>
      <c r="G562">
        <v>23848194</v>
      </c>
      <c r="J562">
        <v>33.590000000000003</v>
      </c>
      <c r="L562">
        <v>47733509</v>
      </c>
      <c r="M562" s="1">
        <v>44442</v>
      </c>
      <c r="N562" t="str">
        <f>"RC210915"</f>
        <v>RC210915</v>
      </c>
      <c r="O562" t="s">
        <v>28</v>
      </c>
      <c r="Q562" t="s">
        <v>29</v>
      </c>
      <c r="R562" t="s">
        <v>28</v>
      </c>
      <c r="S562" t="s">
        <v>1326</v>
      </c>
      <c r="T562" t="s">
        <v>1327</v>
      </c>
      <c r="W562" t="s">
        <v>1328</v>
      </c>
      <c r="X562" t="s">
        <v>162</v>
      </c>
      <c r="Y562" t="str">
        <f>"08054"</f>
        <v>08054</v>
      </c>
    </row>
    <row r="563" spans="1:25" x14ac:dyDescent="0.25">
      <c r="A563" t="s">
        <v>2625</v>
      </c>
      <c r="B563" t="s">
        <v>2626</v>
      </c>
      <c r="C563">
        <v>2020</v>
      </c>
      <c r="D563">
        <v>8001</v>
      </c>
      <c r="E563">
        <v>2</v>
      </c>
      <c r="F563" t="s">
        <v>2627</v>
      </c>
      <c r="G563">
        <v>29859259</v>
      </c>
      <c r="J563">
        <v>181.65</v>
      </c>
      <c r="L563">
        <v>47500758</v>
      </c>
      <c r="M563" s="1">
        <v>44351</v>
      </c>
      <c r="N563" t="str">
        <f>"CC210604"</f>
        <v>CC210604</v>
      </c>
      <c r="O563" t="s">
        <v>28</v>
      </c>
      <c r="Q563" t="s">
        <v>29</v>
      </c>
      <c r="R563" t="s">
        <v>28</v>
      </c>
      <c r="S563" t="s">
        <v>2628</v>
      </c>
      <c r="T563" t="s">
        <v>2629</v>
      </c>
      <c r="W563" t="s">
        <v>81</v>
      </c>
      <c r="X563" t="s">
        <v>34</v>
      </c>
      <c r="Y563" t="str">
        <f>"77407"</f>
        <v>77407</v>
      </c>
    </row>
    <row r="564" spans="1:25" x14ac:dyDescent="0.25">
      <c r="A564" t="s">
        <v>2630</v>
      </c>
      <c r="B564" t="s">
        <v>2631</v>
      </c>
      <c r="C564">
        <v>2020</v>
      </c>
      <c r="D564">
        <v>8001</v>
      </c>
      <c r="E564">
        <v>1</v>
      </c>
      <c r="F564" t="s">
        <v>2632</v>
      </c>
      <c r="G564">
        <v>0</v>
      </c>
      <c r="J564">
        <v>6.56</v>
      </c>
      <c r="L564">
        <v>44488438</v>
      </c>
      <c r="M564" s="1">
        <v>44147</v>
      </c>
      <c r="N564" t="str">
        <f>"TE201112"</f>
        <v>TE201112</v>
      </c>
      <c r="O564" t="s">
        <v>28</v>
      </c>
      <c r="Q564" t="s">
        <v>29</v>
      </c>
      <c r="R564" t="s">
        <v>28</v>
      </c>
      <c r="S564" t="s">
        <v>2633</v>
      </c>
      <c r="T564" t="s">
        <v>2634</v>
      </c>
      <c r="U564" t="s">
        <v>60</v>
      </c>
      <c r="V564" t="s">
        <v>60</v>
      </c>
      <c r="W564" t="s">
        <v>214</v>
      </c>
      <c r="X564" t="s">
        <v>34</v>
      </c>
      <c r="Y564" t="str">
        <f>"774075501   "</f>
        <v xml:space="preserve">774075501   </v>
      </c>
    </row>
    <row r="565" spans="1:25" x14ac:dyDescent="0.25">
      <c r="A565" t="s">
        <v>2635</v>
      </c>
      <c r="B565" t="s">
        <v>2636</v>
      </c>
      <c r="C565">
        <v>2020</v>
      </c>
      <c r="D565">
        <v>8001</v>
      </c>
      <c r="E565">
        <v>3</v>
      </c>
      <c r="F565" t="s">
        <v>2637</v>
      </c>
      <c r="G565">
        <v>29999985</v>
      </c>
      <c r="J565">
        <v>316.31</v>
      </c>
      <c r="L565">
        <v>47839019</v>
      </c>
      <c r="M565" s="1">
        <v>44491</v>
      </c>
      <c r="N565" t="str">
        <f>"R211022S1"</f>
        <v>R211022S1</v>
      </c>
      <c r="O565" t="s">
        <v>28</v>
      </c>
      <c r="Q565" t="s">
        <v>29</v>
      </c>
      <c r="R565" t="s">
        <v>28</v>
      </c>
      <c r="S565" t="s">
        <v>2638</v>
      </c>
      <c r="T565" t="s">
        <v>2639</v>
      </c>
      <c r="W565" t="s">
        <v>2640</v>
      </c>
      <c r="X565" t="s">
        <v>34</v>
      </c>
      <c r="Y565" t="str">
        <f>"77036"</f>
        <v>77036</v>
      </c>
    </row>
    <row r="566" spans="1:25" x14ac:dyDescent="0.25">
      <c r="A566" t="s">
        <v>2641</v>
      </c>
      <c r="B566" t="s">
        <v>2642</v>
      </c>
      <c r="C566">
        <v>2020</v>
      </c>
      <c r="D566">
        <v>8001</v>
      </c>
      <c r="E566">
        <v>1</v>
      </c>
      <c r="F566" t="s">
        <v>2643</v>
      </c>
      <c r="G566">
        <v>25529297</v>
      </c>
      <c r="J566">
        <v>62.9</v>
      </c>
      <c r="L566">
        <v>47256495</v>
      </c>
      <c r="M566" s="1">
        <v>44292</v>
      </c>
      <c r="N566" t="str">
        <f>"RC210414"</f>
        <v>RC210414</v>
      </c>
      <c r="O566" t="s">
        <v>28</v>
      </c>
      <c r="Q566" t="s">
        <v>29</v>
      </c>
      <c r="R566" t="s">
        <v>28</v>
      </c>
      <c r="S566" t="s">
        <v>2644</v>
      </c>
      <c r="T566" t="s">
        <v>562</v>
      </c>
      <c r="W566" t="s">
        <v>563</v>
      </c>
      <c r="X566" t="s">
        <v>34</v>
      </c>
      <c r="Y566" t="str">
        <f>"750630156"</f>
        <v>750630156</v>
      </c>
    </row>
    <row r="567" spans="1:25" x14ac:dyDescent="0.25">
      <c r="A567" t="s">
        <v>2645</v>
      </c>
      <c r="B567" t="s">
        <v>2646</v>
      </c>
      <c r="C567">
        <v>2020</v>
      </c>
      <c r="D567">
        <v>8001</v>
      </c>
      <c r="E567">
        <v>1</v>
      </c>
      <c r="F567" t="s">
        <v>2647</v>
      </c>
      <c r="G567">
        <v>29461725</v>
      </c>
      <c r="J567">
        <v>786.34</v>
      </c>
      <c r="L567">
        <v>46728725</v>
      </c>
      <c r="M567" s="1">
        <v>44230</v>
      </c>
      <c r="N567" t="str">
        <f>"EK210203"</f>
        <v>EK210203</v>
      </c>
      <c r="O567" t="s">
        <v>28</v>
      </c>
      <c r="Q567" t="s">
        <v>29</v>
      </c>
      <c r="R567" t="s">
        <v>28</v>
      </c>
      <c r="S567" t="s">
        <v>2648</v>
      </c>
      <c r="T567" t="s">
        <v>2649</v>
      </c>
      <c r="W567" t="s">
        <v>107</v>
      </c>
      <c r="X567" t="s">
        <v>34</v>
      </c>
      <c r="Y567" t="str">
        <f>"77450"</f>
        <v>77450</v>
      </c>
    </row>
    <row r="568" spans="1:25" x14ac:dyDescent="0.25">
      <c r="A568" t="s">
        <v>2650</v>
      </c>
      <c r="B568" t="s">
        <v>2651</v>
      </c>
      <c r="C568">
        <v>2019</v>
      </c>
      <c r="D568">
        <v>8001</v>
      </c>
      <c r="E568">
        <v>2</v>
      </c>
      <c r="F568" t="s">
        <v>2652</v>
      </c>
      <c r="G568">
        <v>25035459</v>
      </c>
      <c r="J568">
        <v>192.07</v>
      </c>
      <c r="L568">
        <v>44283315</v>
      </c>
      <c r="M568" s="1">
        <v>43987</v>
      </c>
      <c r="N568" t="str">
        <f>"J200605K2"</f>
        <v>J200605K2</v>
      </c>
      <c r="O568" t="s">
        <v>28</v>
      </c>
      <c r="Q568" t="s">
        <v>29</v>
      </c>
      <c r="R568" t="s">
        <v>28</v>
      </c>
      <c r="S568" t="s">
        <v>1454</v>
      </c>
      <c r="T568" t="s">
        <v>2653</v>
      </c>
      <c r="U568" t="s">
        <v>2654</v>
      </c>
      <c r="W568" t="s">
        <v>1456</v>
      </c>
      <c r="X568" t="s">
        <v>1457</v>
      </c>
      <c r="Y568" t="str">
        <f>"234504968"</f>
        <v>234504968</v>
      </c>
    </row>
    <row r="569" spans="1:25" x14ac:dyDescent="0.25">
      <c r="A569" t="s">
        <v>2655</v>
      </c>
      <c r="B569" t="s">
        <v>2656</v>
      </c>
      <c r="C569">
        <v>2019</v>
      </c>
      <c r="D569">
        <v>8001</v>
      </c>
      <c r="E569">
        <v>2</v>
      </c>
      <c r="F569" t="s">
        <v>2657</v>
      </c>
      <c r="G569">
        <v>21600983</v>
      </c>
      <c r="J569">
        <v>50.48</v>
      </c>
      <c r="L569">
        <v>44130323</v>
      </c>
      <c r="M569" s="1">
        <v>43956</v>
      </c>
      <c r="N569" t="str">
        <f>"J200505AW2"</f>
        <v>J200505AW2</v>
      </c>
      <c r="O569" t="s">
        <v>28</v>
      </c>
      <c r="Q569" t="s">
        <v>29</v>
      </c>
      <c r="R569" t="s">
        <v>28</v>
      </c>
      <c r="S569" t="s">
        <v>1454</v>
      </c>
      <c r="T569" t="s">
        <v>1455</v>
      </c>
      <c r="W569" t="s">
        <v>1456</v>
      </c>
      <c r="X569" t="s">
        <v>1457</v>
      </c>
      <c r="Y569" t="str">
        <f>"234504968"</f>
        <v>234504968</v>
      </c>
    </row>
    <row r="570" spans="1:25" x14ac:dyDescent="0.25">
      <c r="A570" t="s">
        <v>2658</v>
      </c>
      <c r="B570" t="s">
        <v>2659</v>
      </c>
      <c r="C570">
        <v>2020</v>
      </c>
      <c r="D570">
        <v>8001</v>
      </c>
      <c r="E570">
        <v>3</v>
      </c>
      <c r="F570" t="s">
        <v>2660</v>
      </c>
      <c r="G570">
        <v>0</v>
      </c>
      <c r="J570">
        <v>746.6</v>
      </c>
      <c r="L570">
        <v>47083282</v>
      </c>
      <c r="M570" s="1">
        <v>44266</v>
      </c>
      <c r="N570" t="str">
        <f>"R210311AJ2"</f>
        <v>R210311AJ2</v>
      </c>
      <c r="O570" t="s">
        <v>28</v>
      </c>
      <c r="Q570" t="s">
        <v>29</v>
      </c>
      <c r="R570" t="s">
        <v>28</v>
      </c>
      <c r="S570" t="s">
        <v>2660</v>
      </c>
      <c r="T570" t="s">
        <v>2661</v>
      </c>
      <c r="U570" t="s">
        <v>60</v>
      </c>
      <c r="V570" t="s">
        <v>60</v>
      </c>
      <c r="W570" t="s">
        <v>1137</v>
      </c>
      <c r="X570" t="s">
        <v>34</v>
      </c>
      <c r="Y570" t="str">
        <f>"77494       "</f>
        <v xml:space="preserve">77494       </v>
      </c>
    </row>
    <row r="571" spans="1:25" x14ac:dyDescent="0.25">
      <c r="A571" t="s">
        <v>2662</v>
      </c>
      <c r="B571" t="s">
        <v>2663</v>
      </c>
      <c r="C571">
        <v>2020</v>
      </c>
      <c r="D571">
        <v>8001</v>
      </c>
      <c r="E571">
        <v>1</v>
      </c>
      <c r="F571" t="s">
        <v>2664</v>
      </c>
      <c r="G571">
        <v>29556948</v>
      </c>
      <c r="J571">
        <v>8.73</v>
      </c>
      <c r="L571">
        <v>47743285</v>
      </c>
      <c r="M571" s="1">
        <v>44452</v>
      </c>
      <c r="N571" t="str">
        <f>"RC210927"</f>
        <v>RC210927</v>
      </c>
      <c r="O571" t="s">
        <v>28</v>
      </c>
      <c r="Q571" t="s">
        <v>29</v>
      </c>
      <c r="R571" t="s">
        <v>28</v>
      </c>
      <c r="S571" t="s">
        <v>2665</v>
      </c>
      <c r="T571" t="s">
        <v>2666</v>
      </c>
      <c r="U571" t="s">
        <v>2667</v>
      </c>
      <c r="W571" t="s">
        <v>112</v>
      </c>
      <c r="X571" t="s">
        <v>34</v>
      </c>
      <c r="Y571" t="str">
        <f>"77478"</f>
        <v>77478</v>
      </c>
    </row>
    <row r="572" spans="1:25" x14ac:dyDescent="0.25">
      <c r="A572" t="s">
        <v>2668</v>
      </c>
      <c r="B572" t="s">
        <v>2669</v>
      </c>
      <c r="C572">
        <v>2020</v>
      </c>
      <c r="D572">
        <v>8001</v>
      </c>
      <c r="E572">
        <v>1</v>
      </c>
      <c r="F572" t="s">
        <v>2670</v>
      </c>
      <c r="G572">
        <v>29461911</v>
      </c>
      <c r="J572">
        <v>209.44</v>
      </c>
      <c r="L572">
        <v>46728911</v>
      </c>
      <c r="M572" s="1">
        <v>44230</v>
      </c>
      <c r="N572" t="str">
        <f>"EK210203"</f>
        <v>EK210203</v>
      </c>
      <c r="O572" t="s">
        <v>28</v>
      </c>
      <c r="Q572" t="s">
        <v>29</v>
      </c>
      <c r="R572" t="s">
        <v>28</v>
      </c>
      <c r="S572" t="s">
        <v>2671</v>
      </c>
      <c r="T572" t="s">
        <v>2672</v>
      </c>
      <c r="W572" t="s">
        <v>40</v>
      </c>
      <c r="X572" t="s">
        <v>34</v>
      </c>
      <c r="Y572" t="str">
        <f>"77479"</f>
        <v>77479</v>
      </c>
    </row>
    <row r="573" spans="1:25" x14ac:dyDescent="0.25">
      <c r="A573" t="s">
        <v>2673</v>
      </c>
      <c r="B573" t="s">
        <v>2674</v>
      </c>
      <c r="C573">
        <v>2021</v>
      </c>
      <c r="D573">
        <v>8001</v>
      </c>
      <c r="E573">
        <v>2</v>
      </c>
      <c r="F573" t="s">
        <v>2675</v>
      </c>
      <c r="G573">
        <v>28692840</v>
      </c>
      <c r="J573" s="2">
        <v>3489.28</v>
      </c>
      <c r="L573">
        <v>48888871</v>
      </c>
      <c r="M573" s="1">
        <v>44565</v>
      </c>
      <c r="N573" t="str">
        <f>"CL210001"</f>
        <v>CL210001</v>
      </c>
      <c r="O573" t="s">
        <v>28</v>
      </c>
      <c r="Q573" t="s">
        <v>29</v>
      </c>
      <c r="R573" t="s">
        <v>28</v>
      </c>
      <c r="S573" t="s">
        <v>1019</v>
      </c>
      <c r="T573" t="s">
        <v>562</v>
      </c>
      <c r="W573" t="s">
        <v>563</v>
      </c>
      <c r="X573" t="s">
        <v>34</v>
      </c>
      <c r="Y573" t="str">
        <f>"750630156"</f>
        <v>750630156</v>
      </c>
    </row>
    <row r="574" spans="1:25" x14ac:dyDescent="0.25">
      <c r="A574" t="s">
        <v>2676</v>
      </c>
      <c r="B574" t="s">
        <v>2677</v>
      </c>
      <c r="C574">
        <v>2020</v>
      </c>
      <c r="D574">
        <v>8001</v>
      </c>
      <c r="E574">
        <v>1</v>
      </c>
      <c r="F574" t="s">
        <v>2678</v>
      </c>
      <c r="G574">
        <v>29974066</v>
      </c>
      <c r="J574">
        <v>5.77</v>
      </c>
      <c r="L574">
        <v>47692941</v>
      </c>
      <c r="M574" s="1">
        <v>44419</v>
      </c>
      <c r="N574" t="str">
        <f>"RC210820"</f>
        <v>RC210820</v>
      </c>
      <c r="O574" t="s">
        <v>28</v>
      </c>
      <c r="Q574" t="s">
        <v>29</v>
      </c>
      <c r="R574" t="s">
        <v>28</v>
      </c>
      <c r="S574" t="s">
        <v>561</v>
      </c>
      <c r="T574" t="s">
        <v>562</v>
      </c>
      <c r="W574" t="s">
        <v>563</v>
      </c>
      <c r="X574" t="s">
        <v>34</v>
      </c>
      <c r="Y574" t="str">
        <f>"750630156"</f>
        <v>750630156</v>
      </c>
    </row>
    <row r="575" spans="1:25" x14ac:dyDescent="0.25">
      <c r="A575" t="s">
        <v>2679</v>
      </c>
      <c r="B575" t="s">
        <v>2680</v>
      </c>
      <c r="C575">
        <v>2021</v>
      </c>
      <c r="D575">
        <v>8001</v>
      </c>
      <c r="E575">
        <v>1</v>
      </c>
      <c r="F575" t="s">
        <v>2681</v>
      </c>
      <c r="G575">
        <v>26419208</v>
      </c>
      <c r="J575">
        <v>443.95</v>
      </c>
      <c r="L575">
        <v>48274585</v>
      </c>
      <c r="M575" s="1">
        <v>44532</v>
      </c>
      <c r="N575" t="str">
        <f>"RC211222"</f>
        <v>RC211222</v>
      </c>
      <c r="O575" t="s">
        <v>28</v>
      </c>
      <c r="Q575" t="s">
        <v>29</v>
      </c>
      <c r="R575" t="s">
        <v>28</v>
      </c>
      <c r="S575" t="s">
        <v>1073</v>
      </c>
      <c r="T575" t="s">
        <v>1074</v>
      </c>
      <c r="W575" t="s">
        <v>1075</v>
      </c>
      <c r="X575" t="s">
        <v>34</v>
      </c>
      <c r="Y575" t="str">
        <f>"76177"</f>
        <v>76177</v>
      </c>
    </row>
    <row r="576" spans="1:25" x14ac:dyDescent="0.25">
      <c r="A576" t="s">
        <v>2682</v>
      </c>
      <c r="B576" t="s">
        <v>2683</v>
      </c>
      <c r="C576">
        <v>2019</v>
      </c>
      <c r="D576">
        <v>8001</v>
      </c>
      <c r="E576">
        <v>1</v>
      </c>
      <c r="F576" t="s">
        <v>2684</v>
      </c>
      <c r="G576">
        <v>28310293</v>
      </c>
      <c r="J576">
        <v>69.760000000000005</v>
      </c>
      <c r="L576">
        <v>43887114</v>
      </c>
      <c r="M576" s="1">
        <v>43895</v>
      </c>
      <c r="N576" t="str">
        <f>"CC200305"</f>
        <v>CC200305</v>
      </c>
      <c r="O576" t="s">
        <v>28</v>
      </c>
      <c r="Q576" t="s">
        <v>29</v>
      </c>
      <c r="R576" t="s">
        <v>28</v>
      </c>
      <c r="S576" t="s">
        <v>2685</v>
      </c>
      <c r="T576" t="s">
        <v>2686</v>
      </c>
      <c r="W576" t="s">
        <v>40</v>
      </c>
      <c r="X576" t="s">
        <v>34</v>
      </c>
      <c r="Y576" t="str">
        <f>"77479"</f>
        <v>77479</v>
      </c>
    </row>
    <row r="577" spans="1:25" x14ac:dyDescent="0.25">
      <c r="A577" t="s">
        <v>2687</v>
      </c>
      <c r="B577" t="s">
        <v>2688</v>
      </c>
      <c r="C577">
        <v>2020</v>
      </c>
      <c r="D577">
        <v>8001</v>
      </c>
      <c r="E577">
        <v>1</v>
      </c>
      <c r="F577" t="s">
        <v>2689</v>
      </c>
      <c r="G577">
        <v>29596097</v>
      </c>
      <c r="J577">
        <v>288.04000000000002</v>
      </c>
      <c r="L577">
        <v>47018866</v>
      </c>
      <c r="M577" s="1">
        <v>44258</v>
      </c>
      <c r="N577" t="str">
        <f>"EK210303"</f>
        <v>EK210303</v>
      </c>
      <c r="O577" t="s">
        <v>28</v>
      </c>
      <c r="Q577" t="s">
        <v>29</v>
      </c>
      <c r="R577" t="s">
        <v>28</v>
      </c>
      <c r="S577" t="s">
        <v>2690</v>
      </c>
      <c r="T577" t="s">
        <v>2691</v>
      </c>
      <c r="W577" t="s">
        <v>40</v>
      </c>
      <c r="X577" t="s">
        <v>34</v>
      </c>
      <c r="Y577" t="str">
        <f>"77479"</f>
        <v>77479</v>
      </c>
    </row>
    <row r="578" spans="1:25" x14ac:dyDescent="0.25">
      <c r="A578" t="s">
        <v>2692</v>
      </c>
      <c r="B578" t="s">
        <v>2693</v>
      </c>
      <c r="C578">
        <v>2020</v>
      </c>
      <c r="D578">
        <v>8001</v>
      </c>
      <c r="E578">
        <v>2</v>
      </c>
      <c r="F578" t="s">
        <v>2694</v>
      </c>
      <c r="G578">
        <v>28692840</v>
      </c>
      <c r="J578">
        <v>79.739999999999995</v>
      </c>
      <c r="L578">
        <v>47256492</v>
      </c>
      <c r="M578" s="1">
        <v>44292</v>
      </c>
      <c r="N578" t="str">
        <f>"RC210414"</f>
        <v>RC210414</v>
      </c>
      <c r="O578" t="s">
        <v>28</v>
      </c>
      <c r="Q578" t="s">
        <v>29</v>
      </c>
      <c r="R578" t="s">
        <v>28</v>
      </c>
      <c r="S578" t="s">
        <v>1019</v>
      </c>
      <c r="T578" t="s">
        <v>562</v>
      </c>
      <c r="W578" t="s">
        <v>563</v>
      </c>
      <c r="X578" t="s">
        <v>34</v>
      </c>
      <c r="Y578" t="str">
        <f>"750630156"</f>
        <v>750630156</v>
      </c>
    </row>
    <row r="579" spans="1:25" x14ac:dyDescent="0.25">
      <c r="A579" t="s">
        <v>2695</v>
      </c>
      <c r="B579" t="s">
        <v>2696</v>
      </c>
      <c r="C579">
        <v>2021</v>
      </c>
      <c r="D579">
        <v>8001</v>
      </c>
      <c r="E579">
        <v>2</v>
      </c>
      <c r="F579" t="s">
        <v>2697</v>
      </c>
      <c r="G579">
        <v>28692840</v>
      </c>
      <c r="J579" s="2">
        <v>4019.2</v>
      </c>
      <c r="L579">
        <v>48888871</v>
      </c>
      <c r="M579" s="1">
        <v>44565</v>
      </c>
      <c r="N579" t="str">
        <f>"CL210001"</f>
        <v>CL210001</v>
      </c>
      <c r="O579" t="s">
        <v>28</v>
      </c>
      <c r="Q579" t="s">
        <v>29</v>
      </c>
      <c r="R579" t="s">
        <v>28</v>
      </c>
      <c r="S579" t="s">
        <v>1019</v>
      </c>
      <c r="T579" t="s">
        <v>562</v>
      </c>
      <c r="W579" t="s">
        <v>563</v>
      </c>
      <c r="X579" t="s">
        <v>34</v>
      </c>
      <c r="Y579" t="str">
        <f>"750630156"</f>
        <v>750630156</v>
      </c>
    </row>
    <row r="580" spans="1:25" x14ac:dyDescent="0.25">
      <c r="A580" t="s">
        <v>2698</v>
      </c>
      <c r="B580" t="s">
        <v>2699</v>
      </c>
      <c r="C580">
        <v>2021</v>
      </c>
      <c r="D580">
        <v>8001</v>
      </c>
      <c r="E580">
        <v>2</v>
      </c>
      <c r="F580" t="s">
        <v>2700</v>
      </c>
      <c r="G580">
        <v>31124583</v>
      </c>
      <c r="J580">
        <v>361.75</v>
      </c>
      <c r="L580">
        <v>50134836</v>
      </c>
      <c r="M580" s="1">
        <v>44602</v>
      </c>
      <c r="N580" t="str">
        <f>"RC220314"</f>
        <v>RC220314</v>
      </c>
      <c r="O580" t="s">
        <v>28</v>
      </c>
      <c r="Q580" t="s">
        <v>29</v>
      </c>
      <c r="R580" t="s">
        <v>28</v>
      </c>
      <c r="S580" t="s">
        <v>2701</v>
      </c>
      <c r="T580" t="s">
        <v>2702</v>
      </c>
      <c r="W580" t="s">
        <v>107</v>
      </c>
      <c r="X580" t="s">
        <v>34</v>
      </c>
      <c r="Y580" t="str">
        <f>"774946750"</f>
        <v>774946750</v>
      </c>
    </row>
    <row r="581" spans="1:25" x14ac:dyDescent="0.25">
      <c r="A581" t="s">
        <v>2703</v>
      </c>
      <c r="B581" t="s">
        <v>2704</v>
      </c>
      <c r="C581">
        <v>2021</v>
      </c>
      <c r="D581">
        <v>8001</v>
      </c>
      <c r="E581">
        <v>2</v>
      </c>
      <c r="F581" t="s">
        <v>2705</v>
      </c>
      <c r="G581">
        <v>30992293</v>
      </c>
      <c r="J581">
        <v>10</v>
      </c>
      <c r="L581">
        <v>49024125</v>
      </c>
      <c r="M581" s="1">
        <v>44568</v>
      </c>
      <c r="N581" t="str">
        <f>"RC220208"</f>
        <v>RC220208</v>
      </c>
      <c r="O581" t="s">
        <v>28</v>
      </c>
      <c r="Q581" t="s">
        <v>29</v>
      </c>
      <c r="R581" t="s">
        <v>28</v>
      </c>
      <c r="S581" t="s">
        <v>2706</v>
      </c>
      <c r="T581" t="s">
        <v>2707</v>
      </c>
      <c r="W581" t="s">
        <v>107</v>
      </c>
      <c r="X581" t="s">
        <v>34</v>
      </c>
      <c r="Y581" t="str">
        <f>"774945205"</f>
        <v>774945205</v>
      </c>
    </row>
    <row r="582" spans="1:25" x14ac:dyDescent="0.25">
      <c r="A582" t="s">
        <v>2708</v>
      </c>
      <c r="B582" t="s">
        <v>2709</v>
      </c>
      <c r="C582">
        <v>2021</v>
      </c>
      <c r="D582">
        <v>8001</v>
      </c>
      <c r="E582">
        <v>1</v>
      </c>
      <c r="F582" t="s">
        <v>2710</v>
      </c>
      <c r="G582">
        <v>28666794</v>
      </c>
      <c r="J582" s="2">
        <v>1602.07</v>
      </c>
      <c r="L582">
        <v>49539502</v>
      </c>
      <c r="M582" s="1">
        <v>44587</v>
      </c>
      <c r="N582" t="str">
        <f>"P220126U1"</f>
        <v>P220126U1</v>
      </c>
      <c r="O582" t="s">
        <v>28</v>
      </c>
      <c r="Q582" t="s">
        <v>29</v>
      </c>
      <c r="R582" t="s">
        <v>28</v>
      </c>
      <c r="S582" t="s">
        <v>2711</v>
      </c>
      <c r="T582" t="s">
        <v>2712</v>
      </c>
      <c r="W582" t="s">
        <v>2713</v>
      </c>
      <c r="X582" t="s">
        <v>1107</v>
      </c>
      <c r="Y582" t="str">
        <f>"300221515"</f>
        <v>300221515</v>
      </c>
    </row>
    <row r="583" spans="1:25" x14ac:dyDescent="0.25">
      <c r="A583" t="s">
        <v>2714</v>
      </c>
      <c r="B583" t="s">
        <v>2715</v>
      </c>
      <c r="C583">
        <v>2021</v>
      </c>
      <c r="D583">
        <v>8001</v>
      </c>
      <c r="E583">
        <v>1</v>
      </c>
      <c r="F583" t="s">
        <v>2716</v>
      </c>
      <c r="G583">
        <v>25175945</v>
      </c>
      <c r="J583" s="2">
        <v>1158.06</v>
      </c>
      <c r="L583">
        <v>49139742</v>
      </c>
      <c r="M583" s="1">
        <v>44573</v>
      </c>
      <c r="N583" t="str">
        <f>"O220112AB1"</f>
        <v>O220112AB1</v>
      </c>
      <c r="O583" t="s">
        <v>28</v>
      </c>
      <c r="Q583" t="s">
        <v>29</v>
      </c>
      <c r="R583" t="s">
        <v>28</v>
      </c>
      <c r="S583" t="s">
        <v>2717</v>
      </c>
      <c r="T583" t="s">
        <v>2718</v>
      </c>
      <c r="U583" t="s">
        <v>2719</v>
      </c>
      <c r="V583" t="s">
        <v>562</v>
      </c>
      <c r="W583" t="s">
        <v>563</v>
      </c>
      <c r="X583" t="s">
        <v>34</v>
      </c>
      <c r="Y583" t="str">
        <f>"750630156"</f>
        <v>750630156</v>
      </c>
    </row>
    <row r="584" spans="1:25" x14ac:dyDescent="0.25">
      <c r="A584" t="s">
        <v>2720</v>
      </c>
      <c r="B584" t="s">
        <v>2721</v>
      </c>
      <c r="C584">
        <v>2021</v>
      </c>
      <c r="D584">
        <v>8001</v>
      </c>
      <c r="E584">
        <v>1</v>
      </c>
      <c r="F584" t="s">
        <v>2722</v>
      </c>
      <c r="G584">
        <v>22731230</v>
      </c>
      <c r="J584">
        <v>93.28</v>
      </c>
      <c r="L584">
        <v>48082405</v>
      </c>
      <c r="M584" s="1">
        <v>44516</v>
      </c>
      <c r="N584" t="str">
        <f>"TE211116"</f>
        <v>TE211116</v>
      </c>
      <c r="O584" t="s">
        <v>28</v>
      </c>
      <c r="Q584" t="s">
        <v>29</v>
      </c>
      <c r="R584" t="s">
        <v>28</v>
      </c>
      <c r="S584" t="s">
        <v>2723</v>
      </c>
      <c r="T584" t="s">
        <v>2724</v>
      </c>
      <c r="U584" t="s">
        <v>2725</v>
      </c>
      <c r="W584" t="s">
        <v>81</v>
      </c>
      <c r="X584" t="s">
        <v>34</v>
      </c>
      <c r="Y584" t="str">
        <f>"77469"</f>
        <v>77469</v>
      </c>
    </row>
    <row r="585" spans="1:25" x14ac:dyDescent="0.25">
      <c r="A585" t="s">
        <v>2726</v>
      </c>
      <c r="B585" t="s">
        <v>2727</v>
      </c>
      <c r="C585">
        <v>2020</v>
      </c>
      <c r="D585">
        <v>8001</v>
      </c>
      <c r="E585">
        <v>2</v>
      </c>
      <c r="F585" t="s">
        <v>2728</v>
      </c>
      <c r="G585">
        <v>28587024</v>
      </c>
      <c r="J585">
        <v>300</v>
      </c>
      <c r="L585">
        <v>46902015</v>
      </c>
      <c r="M585" s="1">
        <v>44237</v>
      </c>
      <c r="N585" t="str">
        <f>"P210210AZ1"</f>
        <v>P210210AZ1</v>
      </c>
      <c r="O585" t="s">
        <v>28</v>
      </c>
      <c r="Q585" t="s">
        <v>29</v>
      </c>
      <c r="R585" t="s">
        <v>28</v>
      </c>
      <c r="S585" t="s">
        <v>2729</v>
      </c>
      <c r="T585" t="s">
        <v>2730</v>
      </c>
      <c r="W585" t="s">
        <v>40</v>
      </c>
      <c r="X585" t="s">
        <v>34</v>
      </c>
      <c r="Y585" t="str">
        <f>"774782848"</f>
        <v>774782848</v>
      </c>
    </row>
    <row r="586" spans="1:25" x14ac:dyDescent="0.25">
      <c r="A586" t="s">
        <v>2731</v>
      </c>
      <c r="B586" t="s">
        <v>2732</v>
      </c>
      <c r="C586">
        <v>2019</v>
      </c>
      <c r="D586">
        <v>8001</v>
      </c>
      <c r="E586">
        <v>1</v>
      </c>
      <c r="F586" t="s">
        <v>2733</v>
      </c>
      <c r="G586">
        <v>26848731</v>
      </c>
      <c r="J586">
        <v>28.71</v>
      </c>
      <c r="L586">
        <v>42211119</v>
      </c>
      <c r="M586" s="1">
        <v>43810</v>
      </c>
      <c r="N586" t="str">
        <f>"J191211K9"</f>
        <v>J191211K9</v>
      </c>
      <c r="O586" t="s">
        <v>28</v>
      </c>
      <c r="Q586" t="s">
        <v>29</v>
      </c>
      <c r="R586" t="s">
        <v>28</v>
      </c>
      <c r="S586" t="s">
        <v>2734</v>
      </c>
      <c r="T586" t="s">
        <v>2735</v>
      </c>
      <c r="U586" t="s">
        <v>2736</v>
      </c>
      <c r="W586" t="s">
        <v>75</v>
      </c>
      <c r="X586" t="s">
        <v>34</v>
      </c>
      <c r="Y586" t="str">
        <f>"77041"</f>
        <v>77041</v>
      </c>
    </row>
    <row r="587" spans="1:25" x14ac:dyDescent="0.25">
      <c r="A587" t="s">
        <v>2737</v>
      </c>
      <c r="B587" t="s">
        <v>2738</v>
      </c>
      <c r="C587">
        <v>2021</v>
      </c>
      <c r="D587">
        <v>8001</v>
      </c>
      <c r="E587">
        <v>1</v>
      </c>
      <c r="F587" t="s">
        <v>2739</v>
      </c>
      <c r="G587">
        <v>0</v>
      </c>
      <c r="J587">
        <v>5</v>
      </c>
      <c r="L587">
        <v>49429222</v>
      </c>
      <c r="M587" s="1">
        <v>44585</v>
      </c>
      <c r="N587" t="str">
        <f>"L220124"</f>
        <v>L220124</v>
      </c>
      <c r="O587" t="s">
        <v>28</v>
      </c>
      <c r="Q587" t="s">
        <v>29</v>
      </c>
      <c r="R587" t="s">
        <v>28</v>
      </c>
      <c r="S587" t="s">
        <v>2739</v>
      </c>
      <c r="T587" t="s">
        <v>2740</v>
      </c>
      <c r="U587" t="s">
        <v>60</v>
      </c>
      <c r="V587" t="s">
        <v>60</v>
      </c>
      <c r="W587" t="s">
        <v>1137</v>
      </c>
      <c r="X587" t="s">
        <v>34</v>
      </c>
      <c r="Y587" t="str">
        <f>"774947024   "</f>
        <v xml:space="preserve">774947024   </v>
      </c>
    </row>
    <row r="588" spans="1:25" x14ac:dyDescent="0.25">
      <c r="A588" t="s">
        <v>2741</v>
      </c>
      <c r="B588" t="s">
        <v>2742</v>
      </c>
      <c r="C588">
        <v>2021</v>
      </c>
      <c r="D588">
        <v>8001</v>
      </c>
      <c r="E588">
        <v>3</v>
      </c>
      <c r="F588" t="s">
        <v>2743</v>
      </c>
      <c r="G588">
        <v>31094702</v>
      </c>
      <c r="J588">
        <v>10</v>
      </c>
      <c r="L588">
        <v>49881763</v>
      </c>
      <c r="M588" s="1">
        <v>44594</v>
      </c>
      <c r="N588" t="str">
        <f>"RC220303"</f>
        <v>RC220303</v>
      </c>
      <c r="O588" t="s">
        <v>28</v>
      </c>
      <c r="Q588" t="s">
        <v>29</v>
      </c>
      <c r="R588" t="s">
        <v>28</v>
      </c>
      <c r="S588" t="s">
        <v>2744</v>
      </c>
      <c r="T588" t="s">
        <v>2745</v>
      </c>
      <c r="W588" t="s">
        <v>107</v>
      </c>
      <c r="X588" t="s">
        <v>34</v>
      </c>
      <c r="Y588" t="str">
        <f>"774920941"</f>
        <v>774920941</v>
      </c>
    </row>
    <row r="589" spans="1:25" x14ac:dyDescent="0.25">
      <c r="A589" t="s">
        <v>2746</v>
      </c>
      <c r="B589" t="s">
        <v>2747</v>
      </c>
      <c r="C589">
        <v>2020</v>
      </c>
      <c r="D589">
        <v>8001</v>
      </c>
      <c r="E589">
        <v>1</v>
      </c>
      <c r="F589" t="s">
        <v>2748</v>
      </c>
      <c r="G589">
        <v>29461775</v>
      </c>
      <c r="J589">
        <v>315.88</v>
      </c>
      <c r="L589">
        <v>46728775</v>
      </c>
      <c r="M589" s="1">
        <v>44230</v>
      </c>
      <c r="N589" t="str">
        <f>"EK210203"</f>
        <v>EK210203</v>
      </c>
      <c r="O589" t="s">
        <v>28</v>
      </c>
      <c r="Q589" t="s">
        <v>29</v>
      </c>
      <c r="R589" t="s">
        <v>28</v>
      </c>
      <c r="S589" t="s">
        <v>2749</v>
      </c>
      <c r="T589" t="s">
        <v>2750</v>
      </c>
      <c r="W589" t="s">
        <v>371</v>
      </c>
      <c r="X589" t="s">
        <v>34</v>
      </c>
      <c r="Y589" t="str">
        <f>"77477"</f>
        <v>77477</v>
      </c>
    </row>
    <row r="590" spans="1:25" x14ac:dyDescent="0.25">
      <c r="A590" t="s">
        <v>2751</v>
      </c>
      <c r="B590" t="s">
        <v>2752</v>
      </c>
      <c r="C590">
        <v>2020</v>
      </c>
      <c r="D590">
        <v>8001</v>
      </c>
      <c r="E590">
        <v>4</v>
      </c>
      <c r="F590" t="s">
        <v>2753</v>
      </c>
      <c r="G590">
        <v>0</v>
      </c>
      <c r="J590">
        <v>94.08</v>
      </c>
      <c r="L590">
        <v>47726888</v>
      </c>
      <c r="M590" s="1">
        <v>44440</v>
      </c>
      <c r="N590" t="str">
        <f>"O210901BO1"</f>
        <v>O210901BO1</v>
      </c>
      <c r="O590" t="s">
        <v>28</v>
      </c>
      <c r="Q590" t="s">
        <v>29</v>
      </c>
      <c r="R590" t="s">
        <v>28</v>
      </c>
      <c r="S590" t="s">
        <v>2753</v>
      </c>
      <c r="T590" t="s">
        <v>2754</v>
      </c>
      <c r="U590" t="s">
        <v>60</v>
      </c>
      <c r="V590" t="s">
        <v>60</v>
      </c>
      <c r="W590" t="s">
        <v>649</v>
      </c>
      <c r="X590" t="s">
        <v>34</v>
      </c>
      <c r="Y590" t="str">
        <f>"774715560   "</f>
        <v xml:space="preserve">774715560   </v>
      </c>
    </row>
    <row r="591" spans="1:25" x14ac:dyDescent="0.25">
      <c r="A591" t="s">
        <v>2755</v>
      </c>
      <c r="B591" t="s">
        <v>2756</v>
      </c>
      <c r="C591">
        <v>2019</v>
      </c>
      <c r="D591">
        <v>8001</v>
      </c>
      <c r="E591">
        <v>1</v>
      </c>
      <c r="F591" t="s">
        <v>2757</v>
      </c>
      <c r="G591">
        <v>0</v>
      </c>
      <c r="J591">
        <v>39.450000000000003</v>
      </c>
      <c r="L591">
        <v>43915021</v>
      </c>
      <c r="M591" s="1">
        <v>43900</v>
      </c>
      <c r="N591" t="str">
        <f>"J200310AW2"</f>
        <v>J200310AW2</v>
      </c>
      <c r="O591" t="s">
        <v>28</v>
      </c>
      <c r="Q591" t="s">
        <v>29</v>
      </c>
      <c r="R591" t="s">
        <v>28</v>
      </c>
      <c r="S591" t="s">
        <v>2757</v>
      </c>
      <c r="T591" t="s">
        <v>2758</v>
      </c>
      <c r="U591" t="s">
        <v>60</v>
      </c>
      <c r="V591" t="s">
        <v>60</v>
      </c>
      <c r="W591" t="s">
        <v>219</v>
      </c>
      <c r="X591" t="s">
        <v>34</v>
      </c>
      <c r="Y591" t="str">
        <f>"774989538   "</f>
        <v xml:space="preserve">774989538   </v>
      </c>
    </row>
    <row r="592" spans="1:25" x14ac:dyDescent="0.25">
      <c r="A592" t="s">
        <v>2759</v>
      </c>
      <c r="B592" t="s">
        <v>2760</v>
      </c>
      <c r="C592">
        <v>2019</v>
      </c>
      <c r="D592">
        <v>8001</v>
      </c>
      <c r="E592">
        <v>1</v>
      </c>
      <c r="F592" t="s">
        <v>2761</v>
      </c>
      <c r="G592">
        <v>27803120</v>
      </c>
      <c r="J592">
        <v>62.17</v>
      </c>
      <c r="L592">
        <v>44361779</v>
      </c>
      <c r="M592" s="1">
        <v>44014</v>
      </c>
      <c r="N592" t="str">
        <f>"J200702AW1"</f>
        <v>J200702AW1</v>
      </c>
      <c r="O592" t="s">
        <v>28</v>
      </c>
      <c r="Q592" t="s">
        <v>29</v>
      </c>
      <c r="R592" t="s">
        <v>28</v>
      </c>
      <c r="S592" t="s">
        <v>2717</v>
      </c>
      <c r="T592" t="s">
        <v>2762</v>
      </c>
      <c r="U592" t="s">
        <v>66</v>
      </c>
      <c r="V592" t="s">
        <v>2763</v>
      </c>
      <c r="W592" t="s">
        <v>68</v>
      </c>
      <c r="X592" t="s">
        <v>69</v>
      </c>
      <c r="Y592" t="str">
        <f>"29601"</f>
        <v>29601</v>
      </c>
    </row>
    <row r="593" spans="1:25" x14ac:dyDescent="0.25">
      <c r="A593" t="s">
        <v>2764</v>
      </c>
      <c r="B593" t="s">
        <v>2765</v>
      </c>
      <c r="C593">
        <v>2020</v>
      </c>
      <c r="D593">
        <v>8001</v>
      </c>
      <c r="E593">
        <v>1</v>
      </c>
      <c r="F593" t="s">
        <v>2766</v>
      </c>
      <c r="G593">
        <v>29489583</v>
      </c>
      <c r="J593">
        <v>307.58999999999997</v>
      </c>
      <c r="L593">
        <v>46782283</v>
      </c>
      <c r="M593" s="1">
        <v>44231</v>
      </c>
      <c r="N593" t="str">
        <f>"CC210204"</f>
        <v>CC210204</v>
      </c>
      <c r="O593" t="s">
        <v>28</v>
      </c>
      <c r="Q593" t="s">
        <v>29</v>
      </c>
      <c r="R593" t="s">
        <v>28</v>
      </c>
      <c r="S593" t="s">
        <v>2767</v>
      </c>
      <c r="T593" t="s">
        <v>2768</v>
      </c>
      <c r="W593" t="s">
        <v>40</v>
      </c>
      <c r="X593" t="s">
        <v>34</v>
      </c>
      <c r="Y593" t="str">
        <f>"77478"</f>
        <v>77478</v>
      </c>
    </row>
    <row r="594" spans="1:25" x14ac:dyDescent="0.25">
      <c r="A594" t="s">
        <v>2769</v>
      </c>
      <c r="B594" t="s">
        <v>2770</v>
      </c>
      <c r="C594">
        <v>2020</v>
      </c>
      <c r="D594">
        <v>8001</v>
      </c>
      <c r="E594">
        <v>1</v>
      </c>
      <c r="F594" t="s">
        <v>2771</v>
      </c>
      <c r="G594">
        <v>29859269</v>
      </c>
      <c r="J594">
        <v>75.180000000000007</v>
      </c>
      <c r="L594">
        <v>47500768</v>
      </c>
      <c r="M594" s="1">
        <v>44351</v>
      </c>
      <c r="N594" t="str">
        <f>"CC210604"</f>
        <v>CC210604</v>
      </c>
      <c r="O594" t="s">
        <v>28</v>
      </c>
      <c r="Q594" t="s">
        <v>29</v>
      </c>
      <c r="R594" t="s">
        <v>28</v>
      </c>
      <c r="S594" t="s">
        <v>2772</v>
      </c>
      <c r="T594" t="s">
        <v>2773</v>
      </c>
      <c r="W594" t="s">
        <v>40</v>
      </c>
      <c r="X594" t="s">
        <v>34</v>
      </c>
      <c r="Y594" t="str">
        <f>"77478"</f>
        <v>77478</v>
      </c>
    </row>
    <row r="595" spans="1:25" x14ac:dyDescent="0.25">
      <c r="A595" t="s">
        <v>2774</v>
      </c>
      <c r="B595" t="s">
        <v>2775</v>
      </c>
      <c r="C595">
        <v>2021</v>
      </c>
      <c r="D595">
        <v>8001</v>
      </c>
      <c r="E595">
        <v>1</v>
      </c>
      <c r="F595" t="s">
        <v>2776</v>
      </c>
      <c r="G595">
        <v>30140062</v>
      </c>
      <c r="J595" s="2">
        <v>1127.3800000000001</v>
      </c>
      <c r="L595">
        <v>48519849</v>
      </c>
      <c r="M595" s="1">
        <v>44546</v>
      </c>
      <c r="N595" t="str">
        <f>"RC220114"</f>
        <v>RC220114</v>
      </c>
      <c r="O595" t="s">
        <v>28</v>
      </c>
      <c r="Q595" t="s">
        <v>29</v>
      </c>
      <c r="R595" t="s">
        <v>28</v>
      </c>
      <c r="S595" t="s">
        <v>1234</v>
      </c>
      <c r="T595" t="s">
        <v>2777</v>
      </c>
      <c r="W595" t="s">
        <v>2778</v>
      </c>
      <c r="X595" t="s">
        <v>34</v>
      </c>
      <c r="Y595" t="str">
        <f>"78704"</f>
        <v>78704</v>
      </c>
    </row>
    <row r="596" spans="1:25" x14ac:dyDescent="0.25">
      <c r="A596" t="s">
        <v>2779</v>
      </c>
      <c r="B596" t="s">
        <v>2780</v>
      </c>
      <c r="C596">
        <v>2020</v>
      </c>
      <c r="D596">
        <v>8001</v>
      </c>
      <c r="E596">
        <v>11</v>
      </c>
      <c r="F596" t="s">
        <v>2781</v>
      </c>
      <c r="G596">
        <v>0</v>
      </c>
      <c r="J596">
        <v>31.58</v>
      </c>
      <c r="L596">
        <v>44571118</v>
      </c>
      <c r="M596" s="1">
        <v>44147</v>
      </c>
      <c r="N596" t="str">
        <f>"TE201112"</f>
        <v>TE201112</v>
      </c>
      <c r="O596" t="s">
        <v>28</v>
      </c>
      <c r="Q596" t="s">
        <v>29</v>
      </c>
      <c r="R596" t="s">
        <v>28</v>
      </c>
      <c r="S596" t="s">
        <v>2781</v>
      </c>
      <c r="T596" t="s">
        <v>2782</v>
      </c>
      <c r="U596" t="s">
        <v>60</v>
      </c>
      <c r="V596" t="s">
        <v>60</v>
      </c>
      <c r="W596" t="s">
        <v>214</v>
      </c>
      <c r="X596" t="s">
        <v>34</v>
      </c>
      <c r="Y596" t="str">
        <f>"774062105   "</f>
        <v xml:space="preserve">774062105   </v>
      </c>
    </row>
    <row r="597" spans="1:25" x14ac:dyDescent="0.25">
      <c r="A597" t="s">
        <v>2783</v>
      </c>
      <c r="B597" t="s">
        <v>2784</v>
      </c>
      <c r="C597">
        <v>2020</v>
      </c>
      <c r="D597">
        <v>8001</v>
      </c>
      <c r="E597">
        <v>3</v>
      </c>
      <c r="F597" t="s">
        <v>2785</v>
      </c>
      <c r="G597">
        <v>0</v>
      </c>
      <c r="J597">
        <v>186.48</v>
      </c>
      <c r="L597">
        <v>47083160</v>
      </c>
      <c r="M597" s="1">
        <v>44266</v>
      </c>
      <c r="N597" t="str">
        <f>"R210311AJ2"</f>
        <v>R210311AJ2</v>
      </c>
      <c r="O597" t="s">
        <v>28</v>
      </c>
      <c r="Q597" t="s">
        <v>29</v>
      </c>
      <c r="R597" t="s">
        <v>28</v>
      </c>
      <c r="S597" t="s">
        <v>2785</v>
      </c>
      <c r="T597" t="s">
        <v>2786</v>
      </c>
      <c r="U597" t="s">
        <v>60</v>
      </c>
      <c r="V597" t="s">
        <v>60</v>
      </c>
      <c r="W597" t="s">
        <v>214</v>
      </c>
      <c r="X597" t="s">
        <v>34</v>
      </c>
      <c r="Y597" t="str">
        <f>"774062152   "</f>
        <v xml:space="preserve">774062152   </v>
      </c>
    </row>
    <row r="598" spans="1:25" x14ac:dyDescent="0.25">
      <c r="A598" t="s">
        <v>2787</v>
      </c>
      <c r="B598" t="s">
        <v>2788</v>
      </c>
      <c r="C598">
        <v>2020</v>
      </c>
      <c r="D598">
        <v>8001</v>
      </c>
      <c r="E598">
        <v>3</v>
      </c>
      <c r="F598" t="s">
        <v>2789</v>
      </c>
      <c r="G598">
        <v>29683294</v>
      </c>
      <c r="J598">
        <v>275.14</v>
      </c>
      <c r="L598">
        <v>47178469</v>
      </c>
      <c r="M598" s="1">
        <v>44281</v>
      </c>
      <c r="N598" t="str">
        <f>"R210326AJ1"</f>
        <v>R210326AJ1</v>
      </c>
      <c r="O598" t="s">
        <v>28</v>
      </c>
      <c r="Q598" t="s">
        <v>29</v>
      </c>
      <c r="R598" t="s">
        <v>28</v>
      </c>
      <c r="S598" t="s">
        <v>2790</v>
      </c>
      <c r="T598" t="s">
        <v>2791</v>
      </c>
      <c r="W598" t="s">
        <v>563</v>
      </c>
      <c r="X598" t="s">
        <v>34</v>
      </c>
      <c r="Y598" t="str">
        <f>"75063"</f>
        <v>75063</v>
      </c>
    </row>
    <row r="599" spans="1:25" x14ac:dyDescent="0.25">
      <c r="A599" t="s">
        <v>2792</v>
      </c>
      <c r="B599" t="s">
        <v>2793</v>
      </c>
      <c r="C599">
        <v>2021</v>
      </c>
      <c r="D599">
        <v>8001</v>
      </c>
      <c r="E599">
        <v>2</v>
      </c>
      <c r="F599" t="s">
        <v>2794</v>
      </c>
      <c r="G599">
        <v>0</v>
      </c>
      <c r="J599">
        <v>52</v>
      </c>
      <c r="L599">
        <v>49980824</v>
      </c>
      <c r="M599" s="1">
        <v>44595</v>
      </c>
      <c r="N599" t="str">
        <f>"O220203F1"</f>
        <v>O220203F1</v>
      </c>
      <c r="O599" t="s">
        <v>28</v>
      </c>
      <c r="Q599" t="s">
        <v>29</v>
      </c>
      <c r="R599" t="s">
        <v>28</v>
      </c>
      <c r="S599" t="s">
        <v>2794</v>
      </c>
      <c r="T599" t="s">
        <v>2795</v>
      </c>
      <c r="U599" t="s">
        <v>60</v>
      </c>
      <c r="V599" t="s">
        <v>60</v>
      </c>
      <c r="W599" t="s">
        <v>214</v>
      </c>
      <c r="X599" t="s">
        <v>34</v>
      </c>
      <c r="Y599" t="str">
        <f>"774062327   "</f>
        <v xml:space="preserve">774062327   </v>
      </c>
    </row>
    <row r="600" spans="1:25" x14ac:dyDescent="0.25">
      <c r="A600" t="s">
        <v>2796</v>
      </c>
      <c r="B600" t="s">
        <v>2797</v>
      </c>
      <c r="C600">
        <v>2020</v>
      </c>
      <c r="D600">
        <v>8001</v>
      </c>
      <c r="E600">
        <v>4</v>
      </c>
      <c r="F600" t="s">
        <v>2798</v>
      </c>
      <c r="G600">
        <v>29955721</v>
      </c>
      <c r="J600">
        <v>33.86</v>
      </c>
      <c r="L600">
        <v>47679405</v>
      </c>
      <c r="M600" s="1">
        <v>44413</v>
      </c>
      <c r="N600" t="str">
        <f>"CC210805"</f>
        <v>CC210805</v>
      </c>
      <c r="O600" t="s">
        <v>28</v>
      </c>
      <c r="Q600" t="s">
        <v>29</v>
      </c>
      <c r="R600" t="s">
        <v>28</v>
      </c>
      <c r="S600" t="s">
        <v>2799</v>
      </c>
      <c r="T600" t="s">
        <v>2800</v>
      </c>
      <c r="W600" t="s">
        <v>81</v>
      </c>
      <c r="X600" t="s">
        <v>34</v>
      </c>
      <c r="Y600" t="str">
        <f>"77406"</f>
        <v>77406</v>
      </c>
    </row>
    <row r="601" spans="1:25" x14ac:dyDescent="0.25">
      <c r="A601" t="s">
        <v>2801</v>
      </c>
      <c r="B601" t="s">
        <v>2802</v>
      </c>
      <c r="C601">
        <v>2019</v>
      </c>
      <c r="D601">
        <v>8001</v>
      </c>
      <c r="E601">
        <v>1</v>
      </c>
      <c r="F601" t="s">
        <v>2803</v>
      </c>
      <c r="G601">
        <v>28305475</v>
      </c>
      <c r="J601">
        <v>68.75</v>
      </c>
      <c r="L601">
        <v>43875227</v>
      </c>
      <c r="M601" s="1">
        <v>43894</v>
      </c>
      <c r="N601" t="str">
        <f>"CC400304"</f>
        <v>CC400304</v>
      </c>
      <c r="O601" t="s">
        <v>28</v>
      </c>
      <c r="Q601" t="s">
        <v>29</v>
      </c>
      <c r="R601" t="s">
        <v>28</v>
      </c>
      <c r="S601" t="s">
        <v>2804</v>
      </c>
      <c r="T601" t="s">
        <v>2805</v>
      </c>
      <c r="W601" t="s">
        <v>154</v>
      </c>
      <c r="X601" t="s">
        <v>34</v>
      </c>
      <c r="Y601" t="str">
        <f>"77469"</f>
        <v>77469</v>
      </c>
    </row>
    <row r="602" spans="1:25" x14ac:dyDescent="0.25">
      <c r="A602" t="s">
        <v>2806</v>
      </c>
      <c r="B602" t="s">
        <v>2807</v>
      </c>
      <c r="C602">
        <v>2019</v>
      </c>
      <c r="D602">
        <v>8001</v>
      </c>
      <c r="E602">
        <v>1</v>
      </c>
      <c r="F602" t="s">
        <v>2808</v>
      </c>
      <c r="G602">
        <v>28298292</v>
      </c>
      <c r="J602">
        <v>59.03</v>
      </c>
      <c r="L602">
        <v>43864408</v>
      </c>
      <c r="M602" s="1">
        <v>43893</v>
      </c>
      <c r="N602" t="str">
        <f>"EK400303"</f>
        <v>EK400303</v>
      </c>
      <c r="O602" t="s">
        <v>28</v>
      </c>
      <c r="Q602" t="s">
        <v>29</v>
      </c>
      <c r="R602" t="s">
        <v>28</v>
      </c>
      <c r="S602" t="s">
        <v>2809</v>
      </c>
      <c r="T602" t="s">
        <v>2810</v>
      </c>
      <c r="W602" t="s">
        <v>81</v>
      </c>
      <c r="X602" t="s">
        <v>34</v>
      </c>
      <c r="Y602" t="str">
        <f>"77406"</f>
        <v>77406</v>
      </c>
    </row>
    <row r="603" spans="1:25" x14ac:dyDescent="0.25">
      <c r="A603" t="s">
        <v>2811</v>
      </c>
      <c r="B603" t="s">
        <v>2812</v>
      </c>
      <c r="C603">
        <v>2019</v>
      </c>
      <c r="D603">
        <v>8001</v>
      </c>
      <c r="E603">
        <v>1</v>
      </c>
      <c r="F603" t="s">
        <v>2813</v>
      </c>
      <c r="G603">
        <v>0</v>
      </c>
      <c r="J603">
        <v>73.400000000000006</v>
      </c>
      <c r="L603">
        <v>43324409</v>
      </c>
      <c r="M603" s="1">
        <v>43859</v>
      </c>
      <c r="N603" t="str">
        <f>"L200129"</f>
        <v>L200129</v>
      </c>
      <c r="O603" t="s">
        <v>28</v>
      </c>
      <c r="Q603" t="s">
        <v>29</v>
      </c>
      <c r="R603" t="s">
        <v>28</v>
      </c>
      <c r="S603" t="s">
        <v>2813</v>
      </c>
      <c r="T603" t="s">
        <v>2814</v>
      </c>
      <c r="U603" t="s">
        <v>60</v>
      </c>
      <c r="V603" t="s">
        <v>60</v>
      </c>
      <c r="W603" t="s">
        <v>214</v>
      </c>
      <c r="X603" t="s">
        <v>34</v>
      </c>
      <c r="Y603" t="str">
        <f>"774062382   "</f>
        <v xml:space="preserve">774062382   </v>
      </c>
    </row>
    <row r="604" spans="1:25" x14ac:dyDescent="0.25">
      <c r="A604" t="s">
        <v>2815</v>
      </c>
      <c r="B604" t="s">
        <v>2816</v>
      </c>
      <c r="C604">
        <v>2020</v>
      </c>
      <c r="D604">
        <v>8001</v>
      </c>
      <c r="E604">
        <v>4</v>
      </c>
      <c r="F604" t="s">
        <v>2817</v>
      </c>
      <c r="G604">
        <v>29874395</v>
      </c>
      <c r="J604">
        <v>481.73</v>
      </c>
      <c r="L604">
        <v>47519966</v>
      </c>
      <c r="M604" s="1">
        <v>44357</v>
      </c>
      <c r="N604" t="str">
        <f>"RC210616"</f>
        <v>RC210616</v>
      </c>
      <c r="O604" t="s">
        <v>28</v>
      </c>
      <c r="Q604" t="s">
        <v>29</v>
      </c>
      <c r="R604" t="s">
        <v>28</v>
      </c>
      <c r="S604" t="s">
        <v>2818</v>
      </c>
      <c r="T604" t="s">
        <v>2819</v>
      </c>
      <c r="U604" t="s">
        <v>2820</v>
      </c>
      <c r="V604" t="s">
        <v>2821</v>
      </c>
      <c r="W604" t="s">
        <v>936</v>
      </c>
      <c r="X604" t="s">
        <v>34</v>
      </c>
      <c r="Y604" t="str">
        <f>"77379"</f>
        <v>77379</v>
      </c>
    </row>
    <row r="605" spans="1:25" x14ac:dyDescent="0.25">
      <c r="A605" t="s">
        <v>2822</v>
      </c>
      <c r="B605" t="s">
        <v>2823</v>
      </c>
      <c r="C605">
        <v>2020</v>
      </c>
      <c r="D605">
        <v>8001</v>
      </c>
      <c r="E605">
        <v>1</v>
      </c>
      <c r="F605" t="s">
        <v>2824</v>
      </c>
      <c r="G605">
        <v>29489437</v>
      </c>
      <c r="J605">
        <v>244.36</v>
      </c>
      <c r="L605">
        <v>46782136</v>
      </c>
      <c r="M605" s="1">
        <v>44231</v>
      </c>
      <c r="N605" t="str">
        <f>"CC210204"</f>
        <v>CC210204</v>
      </c>
      <c r="O605" t="s">
        <v>28</v>
      </c>
      <c r="Q605" t="s">
        <v>29</v>
      </c>
      <c r="R605" t="s">
        <v>28</v>
      </c>
      <c r="S605" t="s">
        <v>2825</v>
      </c>
      <c r="T605" t="s">
        <v>2826</v>
      </c>
      <c r="W605" t="s">
        <v>586</v>
      </c>
      <c r="X605" t="s">
        <v>34</v>
      </c>
      <c r="Y605" t="str">
        <f>"77584"</f>
        <v>77584</v>
      </c>
    </row>
    <row r="606" spans="1:25" x14ac:dyDescent="0.25">
      <c r="A606" t="s">
        <v>2827</v>
      </c>
      <c r="B606" t="s">
        <v>2828</v>
      </c>
      <c r="C606">
        <v>2020</v>
      </c>
      <c r="D606">
        <v>8001</v>
      </c>
      <c r="E606">
        <v>1</v>
      </c>
      <c r="F606" t="s">
        <v>2829</v>
      </c>
      <c r="G606">
        <v>29461899</v>
      </c>
      <c r="J606">
        <v>105.03</v>
      </c>
      <c r="L606">
        <v>46728899</v>
      </c>
      <c r="M606" s="1">
        <v>44230</v>
      </c>
      <c r="N606" t="str">
        <f>"EK210203"</f>
        <v>EK210203</v>
      </c>
      <c r="O606" t="s">
        <v>28</v>
      </c>
      <c r="Q606" t="s">
        <v>29</v>
      </c>
      <c r="R606" t="s">
        <v>28</v>
      </c>
      <c r="S606" t="s">
        <v>2830</v>
      </c>
      <c r="T606" t="s">
        <v>2831</v>
      </c>
      <c r="W606" t="s">
        <v>2832</v>
      </c>
      <c r="X606" t="s">
        <v>34</v>
      </c>
      <c r="Y606" t="str">
        <f>"77642"</f>
        <v>77642</v>
      </c>
    </row>
    <row r="607" spans="1:25" x14ac:dyDescent="0.25">
      <c r="A607" t="s">
        <v>2833</v>
      </c>
      <c r="B607" t="s">
        <v>2834</v>
      </c>
      <c r="C607">
        <v>2019</v>
      </c>
      <c r="D607">
        <v>8001</v>
      </c>
      <c r="E607">
        <v>4</v>
      </c>
      <c r="F607" t="s">
        <v>2835</v>
      </c>
      <c r="G607">
        <v>0</v>
      </c>
      <c r="J607">
        <v>184.06</v>
      </c>
      <c r="L607">
        <v>43885510</v>
      </c>
      <c r="M607" s="1">
        <v>43895</v>
      </c>
      <c r="N607" t="str">
        <f>"J200305K2"</f>
        <v>J200305K2</v>
      </c>
      <c r="O607" t="s">
        <v>28</v>
      </c>
      <c r="Q607" t="s">
        <v>29</v>
      </c>
      <c r="R607" t="s">
        <v>28</v>
      </c>
      <c r="S607" t="s">
        <v>2835</v>
      </c>
      <c r="T607" t="s">
        <v>2836</v>
      </c>
      <c r="U607" t="s">
        <v>60</v>
      </c>
      <c r="V607" t="s">
        <v>60</v>
      </c>
      <c r="W607" t="s">
        <v>214</v>
      </c>
      <c r="X607" t="s">
        <v>34</v>
      </c>
      <c r="Y607" t="str">
        <f>"774066814   "</f>
        <v xml:space="preserve">774066814   </v>
      </c>
    </row>
    <row r="608" spans="1:25" x14ac:dyDescent="0.25">
      <c r="A608" t="s">
        <v>2837</v>
      </c>
      <c r="B608" t="s">
        <v>2838</v>
      </c>
      <c r="C608">
        <v>2019</v>
      </c>
      <c r="D608">
        <v>8001</v>
      </c>
      <c r="E608">
        <v>1</v>
      </c>
      <c r="F608" t="s">
        <v>2839</v>
      </c>
      <c r="G608">
        <v>0</v>
      </c>
      <c r="J608">
        <v>30</v>
      </c>
      <c r="L608">
        <v>43032370</v>
      </c>
      <c r="M608" s="1">
        <v>43851</v>
      </c>
      <c r="N608" t="str">
        <f>"O200121AG8"</f>
        <v>O200121AG8</v>
      </c>
      <c r="O608" t="s">
        <v>28</v>
      </c>
      <c r="Q608" t="s">
        <v>29</v>
      </c>
      <c r="R608" t="s">
        <v>28</v>
      </c>
      <c r="S608" t="s">
        <v>2839</v>
      </c>
      <c r="T608" t="s">
        <v>2840</v>
      </c>
      <c r="U608" t="s">
        <v>60</v>
      </c>
      <c r="V608" t="s">
        <v>60</v>
      </c>
      <c r="W608" t="s">
        <v>214</v>
      </c>
      <c r="X608" t="s">
        <v>34</v>
      </c>
      <c r="Y608" t="str">
        <f>"774066848   "</f>
        <v xml:space="preserve">774066848   </v>
      </c>
    </row>
    <row r="609" spans="1:25" x14ac:dyDescent="0.25">
      <c r="A609" t="s">
        <v>2841</v>
      </c>
      <c r="B609" t="s">
        <v>2842</v>
      </c>
      <c r="C609">
        <v>2019</v>
      </c>
      <c r="D609">
        <v>8001</v>
      </c>
      <c r="E609">
        <v>1</v>
      </c>
      <c r="F609" t="s">
        <v>2843</v>
      </c>
      <c r="G609">
        <v>27687617</v>
      </c>
      <c r="J609">
        <v>258.39999999999998</v>
      </c>
      <c r="L609">
        <v>44295656</v>
      </c>
      <c r="M609" s="1">
        <v>43992</v>
      </c>
      <c r="N609" t="str">
        <f>"J200610K5"</f>
        <v>J200610K5</v>
      </c>
      <c r="O609" t="s">
        <v>28</v>
      </c>
      <c r="Q609" t="s">
        <v>29</v>
      </c>
      <c r="R609" t="s">
        <v>28</v>
      </c>
      <c r="S609" t="s">
        <v>561</v>
      </c>
      <c r="T609" t="s">
        <v>562</v>
      </c>
      <c r="W609" t="s">
        <v>563</v>
      </c>
      <c r="X609" t="s">
        <v>34</v>
      </c>
      <c r="Y609" t="str">
        <f>"750630156"</f>
        <v>750630156</v>
      </c>
    </row>
    <row r="610" spans="1:25" x14ac:dyDescent="0.25">
      <c r="A610" t="s">
        <v>2844</v>
      </c>
      <c r="B610" t="s">
        <v>2845</v>
      </c>
      <c r="C610">
        <v>2020</v>
      </c>
      <c r="D610">
        <v>8001</v>
      </c>
      <c r="E610">
        <v>26</v>
      </c>
      <c r="F610" t="s">
        <v>2846</v>
      </c>
      <c r="G610">
        <v>27377231</v>
      </c>
      <c r="J610">
        <v>40.92</v>
      </c>
      <c r="L610">
        <v>44520042</v>
      </c>
      <c r="M610" s="1">
        <v>44147</v>
      </c>
      <c r="N610" t="str">
        <f>"TE201112"</f>
        <v>TE201112</v>
      </c>
      <c r="O610" t="s">
        <v>28</v>
      </c>
      <c r="Q610" t="s">
        <v>29</v>
      </c>
      <c r="R610" t="s">
        <v>28</v>
      </c>
      <c r="S610" t="s">
        <v>2847</v>
      </c>
      <c r="T610" t="s">
        <v>2848</v>
      </c>
      <c r="W610" t="s">
        <v>81</v>
      </c>
      <c r="X610" t="s">
        <v>34</v>
      </c>
      <c r="Y610" t="str">
        <f>"774062388"</f>
        <v>774062388</v>
      </c>
    </row>
    <row r="611" spans="1:25" x14ac:dyDescent="0.25">
      <c r="A611" t="s">
        <v>2844</v>
      </c>
      <c r="B611" t="s">
        <v>2845</v>
      </c>
      <c r="C611">
        <v>2020</v>
      </c>
      <c r="D611">
        <v>8001</v>
      </c>
      <c r="E611">
        <v>26</v>
      </c>
      <c r="F611" t="s">
        <v>2846</v>
      </c>
      <c r="G611">
        <v>27377231</v>
      </c>
      <c r="J611">
        <v>251.63</v>
      </c>
      <c r="L611">
        <v>44564097</v>
      </c>
      <c r="M611" s="1">
        <v>44147</v>
      </c>
      <c r="N611" t="str">
        <f>"TE201112"</f>
        <v>TE201112</v>
      </c>
      <c r="O611" t="s">
        <v>28</v>
      </c>
      <c r="Q611" t="s">
        <v>29</v>
      </c>
      <c r="R611" t="s">
        <v>28</v>
      </c>
      <c r="S611" t="s">
        <v>2847</v>
      </c>
      <c r="T611" t="s">
        <v>2848</v>
      </c>
      <c r="W611" t="s">
        <v>81</v>
      </c>
      <c r="X611" t="s">
        <v>34</v>
      </c>
      <c r="Y611" t="str">
        <f>"774062388"</f>
        <v>774062388</v>
      </c>
    </row>
    <row r="612" spans="1:25" x14ac:dyDescent="0.25">
      <c r="A612" t="s">
        <v>2844</v>
      </c>
      <c r="B612" t="s">
        <v>2845</v>
      </c>
      <c r="C612">
        <v>2020</v>
      </c>
      <c r="D612">
        <v>8001</v>
      </c>
      <c r="E612">
        <v>26</v>
      </c>
      <c r="F612" t="s">
        <v>2846</v>
      </c>
      <c r="G612">
        <v>27377231</v>
      </c>
      <c r="J612">
        <v>251.63</v>
      </c>
      <c r="L612">
        <v>44683741</v>
      </c>
      <c r="M612" s="1">
        <v>44147</v>
      </c>
      <c r="N612" t="str">
        <f>"TE201112"</f>
        <v>TE201112</v>
      </c>
      <c r="O612" t="s">
        <v>28</v>
      </c>
      <c r="Q612" t="s">
        <v>29</v>
      </c>
      <c r="R612" t="s">
        <v>28</v>
      </c>
      <c r="S612" t="s">
        <v>2847</v>
      </c>
      <c r="T612" t="s">
        <v>2848</v>
      </c>
      <c r="W612" t="s">
        <v>81</v>
      </c>
      <c r="X612" t="s">
        <v>34</v>
      </c>
      <c r="Y612" t="str">
        <f>"774062388"</f>
        <v>774062388</v>
      </c>
    </row>
    <row r="613" spans="1:25" x14ac:dyDescent="0.25">
      <c r="A613" t="s">
        <v>2849</v>
      </c>
      <c r="B613" t="s">
        <v>2850</v>
      </c>
      <c r="C613">
        <v>2020</v>
      </c>
      <c r="D613">
        <v>8001</v>
      </c>
      <c r="E613">
        <v>1</v>
      </c>
      <c r="F613" t="s">
        <v>2851</v>
      </c>
      <c r="G613">
        <v>0</v>
      </c>
      <c r="J613" s="2">
        <v>1121.31</v>
      </c>
      <c r="L613">
        <v>46526863</v>
      </c>
      <c r="M613" s="1">
        <v>44225</v>
      </c>
      <c r="N613" t="str">
        <f>"L210129A"</f>
        <v>L210129A</v>
      </c>
      <c r="O613" t="s">
        <v>28</v>
      </c>
      <c r="Q613" t="s">
        <v>29</v>
      </c>
      <c r="R613" t="s">
        <v>28</v>
      </c>
      <c r="S613" t="s">
        <v>2851</v>
      </c>
      <c r="T613" t="s">
        <v>2852</v>
      </c>
      <c r="U613" t="s">
        <v>60</v>
      </c>
      <c r="V613" t="s">
        <v>60</v>
      </c>
      <c r="W613" t="s">
        <v>214</v>
      </c>
      <c r="X613" t="s">
        <v>34</v>
      </c>
      <c r="Y613" t="str">
        <f>"774066730   "</f>
        <v xml:space="preserve">774066730   </v>
      </c>
    </row>
    <row r="614" spans="1:25" x14ac:dyDescent="0.25">
      <c r="A614" t="s">
        <v>2853</v>
      </c>
      <c r="B614" t="s">
        <v>2854</v>
      </c>
      <c r="C614">
        <v>2021</v>
      </c>
      <c r="D614">
        <v>8001</v>
      </c>
      <c r="E614">
        <v>1</v>
      </c>
      <c r="F614" t="s">
        <v>2855</v>
      </c>
      <c r="G614">
        <v>30503281</v>
      </c>
      <c r="J614">
        <v>116.33</v>
      </c>
      <c r="L614">
        <v>48386292</v>
      </c>
      <c r="M614" s="1">
        <v>44539</v>
      </c>
      <c r="N614" t="str">
        <f>"RC220113"</f>
        <v>RC220113</v>
      </c>
      <c r="O614" t="s">
        <v>28</v>
      </c>
      <c r="Q614" t="s">
        <v>29</v>
      </c>
      <c r="R614" t="s">
        <v>28</v>
      </c>
      <c r="S614" t="s">
        <v>686</v>
      </c>
      <c r="T614" t="s">
        <v>203</v>
      </c>
      <c r="U614" t="s">
        <v>2856</v>
      </c>
      <c r="W614" t="s">
        <v>2857</v>
      </c>
      <c r="X614" t="s">
        <v>34</v>
      </c>
      <c r="Y614" t="str">
        <f>"76028"</f>
        <v>76028</v>
      </c>
    </row>
    <row r="615" spans="1:25" x14ac:dyDescent="0.25">
      <c r="A615" t="s">
        <v>2858</v>
      </c>
      <c r="B615" t="s">
        <v>2859</v>
      </c>
      <c r="C615">
        <v>2021</v>
      </c>
      <c r="D615">
        <v>8001</v>
      </c>
      <c r="E615">
        <v>1</v>
      </c>
      <c r="F615" t="s">
        <v>2860</v>
      </c>
      <c r="G615">
        <v>30512693</v>
      </c>
      <c r="J615">
        <v>543.75</v>
      </c>
      <c r="L615">
        <v>48517709</v>
      </c>
      <c r="M615" s="1">
        <v>44546</v>
      </c>
      <c r="N615" t="str">
        <f>"RC220114"</f>
        <v>RC220114</v>
      </c>
      <c r="O615" t="s">
        <v>28</v>
      </c>
      <c r="Q615" t="s">
        <v>29</v>
      </c>
      <c r="R615" t="s">
        <v>28</v>
      </c>
      <c r="S615" t="s">
        <v>2861</v>
      </c>
      <c r="T615" t="s">
        <v>2862</v>
      </c>
      <c r="U615" t="s">
        <v>2863</v>
      </c>
      <c r="W615" t="s">
        <v>2864</v>
      </c>
      <c r="X615" t="s">
        <v>2865</v>
      </c>
      <c r="Y615" t="str">
        <f>"58701"</f>
        <v>58701</v>
      </c>
    </row>
    <row r="616" spans="1:25" x14ac:dyDescent="0.25">
      <c r="A616" t="s">
        <v>2866</v>
      </c>
      <c r="B616" t="s">
        <v>2867</v>
      </c>
      <c r="C616">
        <v>2020</v>
      </c>
      <c r="D616">
        <v>8001</v>
      </c>
      <c r="E616">
        <v>1</v>
      </c>
      <c r="F616" t="s">
        <v>2868</v>
      </c>
      <c r="G616">
        <v>29955705</v>
      </c>
      <c r="J616">
        <v>89.34</v>
      </c>
      <c r="L616">
        <v>47679389</v>
      </c>
      <c r="M616" s="1">
        <v>44413</v>
      </c>
      <c r="N616" t="str">
        <f>"CC210805"</f>
        <v>CC210805</v>
      </c>
      <c r="O616" t="s">
        <v>28</v>
      </c>
      <c r="Q616" t="s">
        <v>29</v>
      </c>
      <c r="R616" t="s">
        <v>28</v>
      </c>
      <c r="S616" t="s">
        <v>2869</v>
      </c>
      <c r="T616" t="s">
        <v>2870</v>
      </c>
      <c r="W616" t="s">
        <v>81</v>
      </c>
      <c r="X616" t="s">
        <v>34</v>
      </c>
      <c r="Y616" t="str">
        <f>"77406"</f>
        <v>77406</v>
      </c>
    </row>
    <row r="617" spans="1:25" x14ac:dyDescent="0.25">
      <c r="A617" t="s">
        <v>2871</v>
      </c>
      <c r="B617" t="s">
        <v>2872</v>
      </c>
      <c r="C617">
        <v>2020</v>
      </c>
      <c r="D617">
        <v>8001</v>
      </c>
      <c r="E617">
        <v>1</v>
      </c>
      <c r="F617" t="s">
        <v>2873</v>
      </c>
      <c r="G617">
        <v>29461836</v>
      </c>
      <c r="J617">
        <v>472.93</v>
      </c>
      <c r="L617">
        <v>46728836</v>
      </c>
      <c r="M617" s="1">
        <v>44230</v>
      </c>
      <c r="N617" t="str">
        <f>"EK210203"</f>
        <v>EK210203</v>
      </c>
      <c r="O617" t="s">
        <v>28</v>
      </c>
      <c r="Q617" t="s">
        <v>29</v>
      </c>
      <c r="R617" t="s">
        <v>28</v>
      </c>
      <c r="S617" t="s">
        <v>2874</v>
      </c>
      <c r="T617" t="s">
        <v>2875</v>
      </c>
      <c r="W617" t="s">
        <v>40</v>
      </c>
      <c r="X617" t="s">
        <v>34</v>
      </c>
      <c r="Y617" t="str">
        <f>"77074"</f>
        <v>77074</v>
      </c>
    </row>
    <row r="618" spans="1:25" x14ac:dyDescent="0.25">
      <c r="A618" t="s">
        <v>2876</v>
      </c>
      <c r="B618" t="s">
        <v>2877</v>
      </c>
      <c r="C618">
        <v>2020</v>
      </c>
      <c r="D618">
        <v>8001</v>
      </c>
      <c r="E618">
        <v>1</v>
      </c>
      <c r="F618" t="s">
        <v>2878</v>
      </c>
      <c r="G618">
        <v>29052462</v>
      </c>
      <c r="J618" s="2">
        <v>6496.72</v>
      </c>
      <c r="L618">
        <v>45301160</v>
      </c>
      <c r="M618" s="1">
        <v>44181</v>
      </c>
      <c r="N618" t="str">
        <f>"RC210107"</f>
        <v>RC210107</v>
      </c>
      <c r="O618" t="s">
        <v>28</v>
      </c>
      <c r="Q618" t="s">
        <v>29</v>
      </c>
      <c r="R618" t="s">
        <v>28</v>
      </c>
      <c r="S618" t="s">
        <v>2879</v>
      </c>
      <c r="T618" t="s">
        <v>2880</v>
      </c>
      <c r="U618" t="s">
        <v>2881</v>
      </c>
      <c r="W618" t="s">
        <v>332</v>
      </c>
      <c r="X618" t="s">
        <v>34</v>
      </c>
      <c r="Y618" t="str">
        <f>"75205"</f>
        <v>75205</v>
      </c>
    </row>
    <row r="619" spans="1:25" x14ac:dyDescent="0.25">
      <c r="A619" t="s">
        <v>2882</v>
      </c>
      <c r="B619" t="s">
        <v>2883</v>
      </c>
      <c r="C619">
        <v>2020</v>
      </c>
      <c r="D619">
        <v>8001</v>
      </c>
      <c r="E619">
        <v>1</v>
      </c>
      <c r="F619" t="s">
        <v>2884</v>
      </c>
      <c r="G619">
        <v>29461849</v>
      </c>
      <c r="J619">
        <v>45.64</v>
      </c>
      <c r="L619">
        <v>46728849</v>
      </c>
      <c r="M619" s="1">
        <v>44230</v>
      </c>
      <c r="N619" t="str">
        <f>"EK210203"</f>
        <v>EK210203</v>
      </c>
      <c r="O619" t="s">
        <v>28</v>
      </c>
      <c r="Q619" t="s">
        <v>29</v>
      </c>
      <c r="R619" t="s">
        <v>28</v>
      </c>
      <c r="S619" t="s">
        <v>2885</v>
      </c>
      <c r="T619" t="s">
        <v>2886</v>
      </c>
      <c r="W619" t="s">
        <v>81</v>
      </c>
      <c r="X619" t="s">
        <v>34</v>
      </c>
      <c r="Y619" t="str">
        <f>"77406"</f>
        <v>77406</v>
      </c>
    </row>
    <row r="620" spans="1:25" x14ac:dyDescent="0.25">
      <c r="A620" t="s">
        <v>2887</v>
      </c>
      <c r="B620" t="s">
        <v>2888</v>
      </c>
      <c r="C620">
        <v>2020</v>
      </c>
      <c r="D620">
        <v>8001</v>
      </c>
      <c r="E620">
        <v>1</v>
      </c>
      <c r="F620" t="s">
        <v>2889</v>
      </c>
      <c r="G620">
        <v>29461917</v>
      </c>
      <c r="J620">
        <v>45.64</v>
      </c>
      <c r="L620">
        <v>46728917</v>
      </c>
      <c r="M620" s="1">
        <v>44230</v>
      </c>
      <c r="N620" t="str">
        <f>"EK210203"</f>
        <v>EK210203</v>
      </c>
      <c r="O620" t="s">
        <v>28</v>
      </c>
      <c r="Q620" t="s">
        <v>29</v>
      </c>
      <c r="R620" t="s">
        <v>28</v>
      </c>
      <c r="S620" t="s">
        <v>2890</v>
      </c>
      <c r="T620" t="s">
        <v>2891</v>
      </c>
      <c r="W620" t="s">
        <v>81</v>
      </c>
      <c r="X620" t="s">
        <v>34</v>
      </c>
      <c r="Y620" t="str">
        <f>"77406"</f>
        <v>77406</v>
      </c>
    </row>
    <row r="621" spans="1:25" x14ac:dyDescent="0.25">
      <c r="A621" t="s">
        <v>2892</v>
      </c>
      <c r="B621" t="s">
        <v>2893</v>
      </c>
      <c r="C621">
        <v>2021</v>
      </c>
      <c r="D621">
        <v>8001</v>
      </c>
      <c r="E621">
        <v>6</v>
      </c>
      <c r="F621" t="s">
        <v>2894</v>
      </c>
      <c r="G621">
        <v>29817416</v>
      </c>
      <c r="J621">
        <v>737.65</v>
      </c>
      <c r="L621">
        <v>47752609</v>
      </c>
      <c r="M621" s="1">
        <v>44516</v>
      </c>
      <c r="N621" t="str">
        <f>"TE211116"</f>
        <v>TE211116</v>
      </c>
      <c r="O621" t="s">
        <v>28</v>
      </c>
      <c r="Q621" t="s">
        <v>29</v>
      </c>
      <c r="R621" t="s">
        <v>28</v>
      </c>
      <c r="S621" t="s">
        <v>2895</v>
      </c>
      <c r="T621" t="s">
        <v>2896</v>
      </c>
      <c r="W621" t="s">
        <v>81</v>
      </c>
      <c r="X621" t="s">
        <v>34</v>
      </c>
      <c r="Y621" t="str">
        <f>"774062907"</f>
        <v>774062907</v>
      </c>
    </row>
    <row r="622" spans="1:25" x14ac:dyDescent="0.25">
      <c r="A622" t="s">
        <v>2897</v>
      </c>
      <c r="B622" t="s">
        <v>2898</v>
      </c>
      <c r="C622">
        <v>2019</v>
      </c>
      <c r="D622">
        <v>8001</v>
      </c>
      <c r="E622">
        <v>1</v>
      </c>
      <c r="F622" t="s">
        <v>2899</v>
      </c>
      <c r="G622">
        <v>27819363</v>
      </c>
      <c r="J622">
        <v>894.88</v>
      </c>
      <c r="L622">
        <v>42553210</v>
      </c>
      <c r="M622" s="1">
        <v>43832</v>
      </c>
      <c r="N622" t="str">
        <f>"J200102AW1"</f>
        <v>J200102AW1</v>
      </c>
      <c r="O622" t="s">
        <v>28</v>
      </c>
      <c r="Q622" t="s">
        <v>29</v>
      </c>
      <c r="R622" t="s">
        <v>28</v>
      </c>
      <c r="S622" t="s">
        <v>2900</v>
      </c>
      <c r="T622" t="s">
        <v>2901</v>
      </c>
      <c r="W622" t="s">
        <v>2902</v>
      </c>
      <c r="X622" t="s">
        <v>317</v>
      </c>
      <c r="Y622" t="str">
        <f>"91301"</f>
        <v>91301</v>
      </c>
    </row>
    <row r="623" spans="1:25" x14ac:dyDescent="0.25">
      <c r="A623" t="s">
        <v>2903</v>
      </c>
      <c r="B623" t="s">
        <v>2904</v>
      </c>
      <c r="C623">
        <v>2019</v>
      </c>
      <c r="D623">
        <v>8001</v>
      </c>
      <c r="E623">
        <v>3</v>
      </c>
      <c r="F623" t="s">
        <v>2905</v>
      </c>
      <c r="G623">
        <v>28449425</v>
      </c>
      <c r="J623">
        <v>106.14</v>
      </c>
      <c r="L623">
        <v>44315099</v>
      </c>
      <c r="M623" s="1">
        <v>43999</v>
      </c>
      <c r="N623" t="str">
        <f>"J200617AW2"</f>
        <v>J200617AW2</v>
      </c>
      <c r="O623" t="s">
        <v>28</v>
      </c>
      <c r="Q623" t="s">
        <v>29</v>
      </c>
      <c r="R623" t="s">
        <v>28</v>
      </c>
      <c r="S623" t="s">
        <v>2906</v>
      </c>
      <c r="T623" t="s">
        <v>2907</v>
      </c>
      <c r="U623" t="s">
        <v>2908</v>
      </c>
      <c r="V623" t="s">
        <v>2909</v>
      </c>
      <c r="W623" t="s">
        <v>2910</v>
      </c>
      <c r="X623" t="s">
        <v>317</v>
      </c>
      <c r="Y623" t="str">
        <f>"91768"</f>
        <v>91768</v>
      </c>
    </row>
    <row r="624" spans="1:25" x14ac:dyDescent="0.25">
      <c r="A624" t="s">
        <v>2911</v>
      </c>
      <c r="B624" t="s">
        <v>2912</v>
      </c>
      <c r="C624">
        <v>2021</v>
      </c>
      <c r="D624">
        <v>8001</v>
      </c>
      <c r="E624">
        <v>9</v>
      </c>
      <c r="F624" t="s">
        <v>2913</v>
      </c>
      <c r="G624">
        <v>0</v>
      </c>
      <c r="J624">
        <v>5</v>
      </c>
      <c r="L624">
        <v>50089355</v>
      </c>
      <c r="M624" s="1">
        <v>44600</v>
      </c>
      <c r="N624" t="str">
        <f>"L220208"</f>
        <v>L220208</v>
      </c>
      <c r="O624" t="s">
        <v>28</v>
      </c>
      <c r="Q624" t="s">
        <v>29</v>
      </c>
      <c r="R624" t="s">
        <v>28</v>
      </c>
      <c r="S624" t="s">
        <v>2913</v>
      </c>
      <c r="T624" t="s">
        <v>2914</v>
      </c>
      <c r="U624" t="s">
        <v>60</v>
      </c>
      <c r="V624" t="s">
        <v>60</v>
      </c>
      <c r="W624" t="s">
        <v>1333</v>
      </c>
      <c r="X624" t="s">
        <v>34</v>
      </c>
      <c r="Y624" t="str">
        <f>"774892119   "</f>
        <v xml:space="preserve">774892119   </v>
      </c>
    </row>
    <row r="625" spans="1:25" x14ac:dyDescent="0.25">
      <c r="A625" t="s">
        <v>2915</v>
      </c>
      <c r="B625" t="s">
        <v>2916</v>
      </c>
      <c r="C625">
        <v>2020</v>
      </c>
      <c r="D625">
        <v>8001</v>
      </c>
      <c r="E625">
        <v>3</v>
      </c>
      <c r="F625" t="s">
        <v>2917</v>
      </c>
      <c r="G625">
        <v>28745868</v>
      </c>
      <c r="J625">
        <v>46.21</v>
      </c>
      <c r="L625">
        <v>44761991</v>
      </c>
      <c r="M625" s="1">
        <v>44139</v>
      </c>
      <c r="N625" t="str">
        <f>"CC501104"</f>
        <v>CC501104</v>
      </c>
      <c r="O625" t="s">
        <v>28</v>
      </c>
      <c r="Q625" t="s">
        <v>29</v>
      </c>
      <c r="R625" t="s">
        <v>28</v>
      </c>
      <c r="S625" t="s">
        <v>2918</v>
      </c>
      <c r="T625" t="s">
        <v>2919</v>
      </c>
      <c r="W625" t="s">
        <v>75</v>
      </c>
      <c r="X625" t="s">
        <v>34</v>
      </c>
      <c r="Y625" t="str">
        <f>"77035"</f>
        <v>77035</v>
      </c>
    </row>
    <row r="626" spans="1:25" x14ac:dyDescent="0.25">
      <c r="A626" t="s">
        <v>2920</v>
      </c>
      <c r="B626" t="s">
        <v>2921</v>
      </c>
      <c r="C626">
        <v>2021</v>
      </c>
      <c r="D626">
        <v>8001</v>
      </c>
      <c r="E626">
        <v>1</v>
      </c>
      <c r="F626" t="s">
        <v>2922</v>
      </c>
      <c r="G626">
        <v>23368460</v>
      </c>
      <c r="J626">
        <v>286.3</v>
      </c>
      <c r="L626">
        <v>50023128</v>
      </c>
      <c r="M626" s="1">
        <v>44596</v>
      </c>
      <c r="N626" t="str">
        <f>"RC220303"</f>
        <v>RC220303</v>
      </c>
      <c r="O626" t="s">
        <v>28</v>
      </c>
      <c r="Q626" t="s">
        <v>29</v>
      </c>
      <c r="R626" t="s">
        <v>28</v>
      </c>
      <c r="S626" t="s">
        <v>341</v>
      </c>
      <c r="T626" t="s">
        <v>2923</v>
      </c>
      <c r="W626" t="s">
        <v>40</v>
      </c>
      <c r="X626" t="s">
        <v>34</v>
      </c>
      <c r="Y626" t="str">
        <f>"774783481"</f>
        <v>774783481</v>
      </c>
    </row>
    <row r="627" spans="1:25" x14ac:dyDescent="0.25">
      <c r="A627" t="s">
        <v>2924</v>
      </c>
      <c r="B627" t="s">
        <v>2925</v>
      </c>
      <c r="C627">
        <v>2020</v>
      </c>
      <c r="D627">
        <v>8001</v>
      </c>
      <c r="E627">
        <v>1</v>
      </c>
      <c r="F627" t="s">
        <v>2926</v>
      </c>
      <c r="G627">
        <v>29134533</v>
      </c>
      <c r="J627">
        <v>493.23</v>
      </c>
      <c r="L627">
        <v>45769414</v>
      </c>
      <c r="M627" s="1">
        <v>44202</v>
      </c>
      <c r="N627" t="str">
        <f>"RC210120"</f>
        <v>RC210120</v>
      </c>
      <c r="O627" t="s">
        <v>28</v>
      </c>
      <c r="Q627" t="s">
        <v>29</v>
      </c>
      <c r="R627" t="s">
        <v>28</v>
      </c>
      <c r="S627" t="s">
        <v>2927</v>
      </c>
      <c r="T627" t="s">
        <v>2928</v>
      </c>
      <c r="U627" t="s">
        <v>2929</v>
      </c>
      <c r="W627" t="s">
        <v>75</v>
      </c>
      <c r="X627" t="s">
        <v>34</v>
      </c>
      <c r="Y627" t="str">
        <f>"77095"</f>
        <v>77095</v>
      </c>
    </row>
    <row r="628" spans="1:25" x14ac:dyDescent="0.25">
      <c r="A628" t="s">
        <v>2934</v>
      </c>
      <c r="B628" t="s">
        <v>2935</v>
      </c>
      <c r="C628">
        <v>2020</v>
      </c>
      <c r="D628">
        <v>8001</v>
      </c>
      <c r="E628">
        <v>1</v>
      </c>
      <c r="F628" t="s">
        <v>2936</v>
      </c>
      <c r="G628">
        <v>29875276</v>
      </c>
      <c r="J628">
        <v>38.4</v>
      </c>
      <c r="L628">
        <v>47506073</v>
      </c>
      <c r="M628" s="1">
        <v>44354</v>
      </c>
      <c r="N628" t="str">
        <f>"RC210616"</f>
        <v>RC210616</v>
      </c>
      <c r="O628" t="s">
        <v>28</v>
      </c>
      <c r="Q628" t="s">
        <v>29</v>
      </c>
      <c r="R628" t="s">
        <v>28</v>
      </c>
      <c r="S628" t="s">
        <v>2317</v>
      </c>
      <c r="T628" t="s">
        <v>2937</v>
      </c>
      <c r="W628" t="s">
        <v>2938</v>
      </c>
      <c r="X628" t="s">
        <v>317</v>
      </c>
      <c r="Y628" t="str">
        <f>"92806"</f>
        <v>92806</v>
      </c>
    </row>
    <row r="629" spans="1:25" x14ac:dyDescent="0.25">
      <c r="A629" t="s">
        <v>2939</v>
      </c>
      <c r="B629" t="s">
        <v>2940</v>
      </c>
      <c r="C629">
        <v>2020</v>
      </c>
      <c r="D629">
        <v>8001</v>
      </c>
      <c r="E629">
        <v>1</v>
      </c>
      <c r="F629" t="s">
        <v>2941</v>
      </c>
      <c r="G629">
        <v>29461565</v>
      </c>
      <c r="J629">
        <v>64.290000000000006</v>
      </c>
      <c r="L629">
        <v>46728565</v>
      </c>
      <c r="M629" s="1">
        <v>44230</v>
      </c>
      <c r="N629" t="str">
        <f>"EK210203"</f>
        <v>EK210203</v>
      </c>
      <c r="O629" t="s">
        <v>28</v>
      </c>
      <c r="Q629" t="s">
        <v>29</v>
      </c>
      <c r="R629" t="s">
        <v>28</v>
      </c>
      <c r="S629" t="s">
        <v>2942</v>
      </c>
      <c r="T629" t="s">
        <v>2943</v>
      </c>
      <c r="W629" t="s">
        <v>392</v>
      </c>
      <c r="X629" t="s">
        <v>34</v>
      </c>
      <c r="Y629" t="str">
        <f>"77489"</f>
        <v>77489</v>
      </c>
    </row>
    <row r="630" spans="1:25" x14ac:dyDescent="0.25">
      <c r="A630" t="s">
        <v>2944</v>
      </c>
      <c r="B630" t="s">
        <v>2945</v>
      </c>
      <c r="C630">
        <v>2019</v>
      </c>
      <c r="D630">
        <v>8001</v>
      </c>
      <c r="E630">
        <v>1</v>
      </c>
      <c r="F630" t="s">
        <v>2946</v>
      </c>
      <c r="G630">
        <v>0</v>
      </c>
      <c r="J630">
        <v>78.16</v>
      </c>
      <c r="L630">
        <v>43044866</v>
      </c>
      <c r="M630" s="1">
        <v>43852</v>
      </c>
      <c r="N630" t="str">
        <f>"J200122AW3"</f>
        <v>J200122AW3</v>
      </c>
      <c r="O630" t="s">
        <v>28</v>
      </c>
      <c r="Q630" t="s">
        <v>29</v>
      </c>
      <c r="R630" t="s">
        <v>28</v>
      </c>
      <c r="S630" t="s">
        <v>2946</v>
      </c>
      <c r="T630" t="s">
        <v>2947</v>
      </c>
      <c r="U630" t="s">
        <v>60</v>
      </c>
      <c r="V630" t="s">
        <v>60</v>
      </c>
      <c r="W630" t="s">
        <v>135</v>
      </c>
      <c r="X630" t="s">
        <v>34</v>
      </c>
      <c r="Y630" t="str">
        <f>"770151799   "</f>
        <v xml:space="preserve">770151799   </v>
      </c>
    </row>
    <row r="631" spans="1:25" x14ac:dyDescent="0.25">
      <c r="A631" t="s">
        <v>2948</v>
      </c>
      <c r="B631" t="s">
        <v>2949</v>
      </c>
      <c r="C631">
        <v>2018</v>
      </c>
      <c r="D631">
        <v>8001</v>
      </c>
      <c r="E631">
        <v>1</v>
      </c>
      <c r="F631" t="s">
        <v>2950</v>
      </c>
      <c r="G631">
        <v>27254742</v>
      </c>
      <c r="J631">
        <v>28.02</v>
      </c>
      <c r="L631">
        <v>40888044</v>
      </c>
      <c r="M631" s="1">
        <v>43528</v>
      </c>
      <c r="N631" t="str">
        <f>"CC290304"</f>
        <v>CC290304</v>
      </c>
      <c r="O631" t="s">
        <v>28</v>
      </c>
      <c r="Q631" t="s">
        <v>29</v>
      </c>
      <c r="R631" t="s">
        <v>28</v>
      </c>
      <c r="S631" t="s">
        <v>2951</v>
      </c>
      <c r="T631" t="s">
        <v>2952</v>
      </c>
      <c r="W631" t="s">
        <v>392</v>
      </c>
      <c r="X631" t="s">
        <v>34</v>
      </c>
      <c r="Y631" t="str">
        <f>"77489"</f>
        <v>77489</v>
      </c>
    </row>
    <row r="632" spans="1:25" x14ac:dyDescent="0.25">
      <c r="A632" t="s">
        <v>2953</v>
      </c>
      <c r="B632" t="s">
        <v>2954</v>
      </c>
      <c r="C632">
        <v>2021</v>
      </c>
      <c r="D632">
        <v>8001</v>
      </c>
      <c r="E632">
        <v>1</v>
      </c>
      <c r="F632" t="s">
        <v>2955</v>
      </c>
      <c r="G632">
        <v>31035980</v>
      </c>
      <c r="J632">
        <v>293.41000000000003</v>
      </c>
      <c r="L632">
        <v>49219614</v>
      </c>
      <c r="M632" s="1">
        <v>44575</v>
      </c>
      <c r="N632" t="str">
        <f>"RC220221"</f>
        <v>RC220221</v>
      </c>
      <c r="O632" t="s">
        <v>28</v>
      </c>
      <c r="Q632" t="s">
        <v>29</v>
      </c>
      <c r="R632" t="s">
        <v>28</v>
      </c>
      <c r="S632" t="s">
        <v>2956</v>
      </c>
      <c r="T632" t="s">
        <v>2957</v>
      </c>
      <c r="U632" t="s">
        <v>2958</v>
      </c>
      <c r="W632" t="s">
        <v>75</v>
      </c>
      <c r="X632" t="s">
        <v>34</v>
      </c>
      <c r="Y632" t="str">
        <f>"770365717"</f>
        <v>770365717</v>
      </c>
    </row>
    <row r="633" spans="1:25" x14ac:dyDescent="0.25">
      <c r="A633" t="s">
        <v>2959</v>
      </c>
      <c r="B633" t="s">
        <v>2960</v>
      </c>
      <c r="C633">
        <v>2020</v>
      </c>
      <c r="D633">
        <v>8001</v>
      </c>
      <c r="E633">
        <v>2</v>
      </c>
      <c r="F633" t="s">
        <v>2961</v>
      </c>
      <c r="G633">
        <v>22993666</v>
      </c>
      <c r="J633">
        <v>7.62</v>
      </c>
      <c r="L633">
        <v>46617352</v>
      </c>
      <c r="M633" s="1">
        <v>44229</v>
      </c>
      <c r="N633" t="str">
        <f>"O210202R7"</f>
        <v>O210202R7</v>
      </c>
      <c r="O633" t="s">
        <v>28</v>
      </c>
      <c r="Q633" t="s">
        <v>29</v>
      </c>
      <c r="R633" t="s">
        <v>28</v>
      </c>
      <c r="S633" t="s">
        <v>2962</v>
      </c>
      <c r="T633" t="s">
        <v>2963</v>
      </c>
      <c r="U633" t="s">
        <v>2964</v>
      </c>
      <c r="V633" t="s">
        <v>2965</v>
      </c>
      <c r="W633" t="s">
        <v>392</v>
      </c>
      <c r="X633" t="s">
        <v>34</v>
      </c>
      <c r="Y633" t="str">
        <f>"774894203"</f>
        <v>774894203</v>
      </c>
    </row>
    <row r="634" spans="1:25" x14ac:dyDescent="0.25">
      <c r="A634" t="s">
        <v>2966</v>
      </c>
      <c r="B634" t="s">
        <v>2967</v>
      </c>
      <c r="C634">
        <v>2018</v>
      </c>
      <c r="D634">
        <v>8001</v>
      </c>
      <c r="E634">
        <v>1</v>
      </c>
      <c r="F634" t="s">
        <v>2968</v>
      </c>
      <c r="G634">
        <v>23309068</v>
      </c>
      <c r="J634">
        <v>63.22</v>
      </c>
      <c r="L634">
        <v>41062526</v>
      </c>
      <c r="M634" s="1">
        <v>43558</v>
      </c>
      <c r="N634" t="str">
        <f>"J190403K5"</f>
        <v>J190403K5</v>
      </c>
      <c r="O634" t="s">
        <v>28</v>
      </c>
      <c r="Q634" t="s">
        <v>29</v>
      </c>
      <c r="R634" t="s">
        <v>28</v>
      </c>
      <c r="S634" t="s">
        <v>1421</v>
      </c>
      <c r="T634" t="s">
        <v>1422</v>
      </c>
      <c r="W634" t="s">
        <v>75</v>
      </c>
      <c r="X634" t="s">
        <v>34</v>
      </c>
      <c r="Y634" t="str">
        <f>"770556942"</f>
        <v>770556942</v>
      </c>
    </row>
    <row r="635" spans="1:25" x14ac:dyDescent="0.25">
      <c r="A635" t="s">
        <v>2969</v>
      </c>
      <c r="B635" t="s">
        <v>2970</v>
      </c>
      <c r="C635">
        <v>2019</v>
      </c>
      <c r="D635">
        <v>8001</v>
      </c>
      <c r="E635">
        <v>2</v>
      </c>
      <c r="F635" t="s">
        <v>2971</v>
      </c>
      <c r="G635">
        <v>146173</v>
      </c>
      <c r="J635">
        <v>183.27</v>
      </c>
      <c r="L635">
        <v>44496651</v>
      </c>
      <c r="M635" s="1">
        <v>44061</v>
      </c>
      <c r="N635" t="str">
        <f>"J200818K1"</f>
        <v>J200818K1</v>
      </c>
      <c r="O635" t="s">
        <v>28</v>
      </c>
      <c r="Q635" t="s">
        <v>29</v>
      </c>
      <c r="R635" t="s">
        <v>28</v>
      </c>
      <c r="S635" t="s">
        <v>2972</v>
      </c>
      <c r="T635" t="s">
        <v>2973</v>
      </c>
      <c r="U635" t="s">
        <v>2974</v>
      </c>
      <c r="V635" t="s">
        <v>2975</v>
      </c>
      <c r="Y635" t="str">
        <f>""</f>
        <v/>
      </c>
    </row>
    <row r="636" spans="1:25" x14ac:dyDescent="0.25">
      <c r="A636" t="s">
        <v>2976</v>
      </c>
      <c r="B636" t="s">
        <v>2977</v>
      </c>
      <c r="C636">
        <v>2018</v>
      </c>
      <c r="D636">
        <v>8001</v>
      </c>
      <c r="E636">
        <v>2</v>
      </c>
      <c r="F636" t="s">
        <v>2978</v>
      </c>
      <c r="G636">
        <v>25959574</v>
      </c>
      <c r="J636">
        <v>76.84</v>
      </c>
      <c r="L636">
        <v>41247226</v>
      </c>
      <c r="M636" s="1">
        <v>43614</v>
      </c>
      <c r="N636" t="str">
        <f>"J190529B3"</f>
        <v>J190529B3</v>
      </c>
      <c r="O636" t="s">
        <v>28</v>
      </c>
      <c r="Q636" t="s">
        <v>29</v>
      </c>
      <c r="R636" t="s">
        <v>28</v>
      </c>
      <c r="S636" t="s">
        <v>2979</v>
      </c>
      <c r="T636" t="s">
        <v>2980</v>
      </c>
      <c r="W636" t="s">
        <v>2981</v>
      </c>
      <c r="X636" t="s">
        <v>34</v>
      </c>
      <c r="Y636" t="str">
        <f>"75234"</f>
        <v>75234</v>
      </c>
    </row>
    <row r="637" spans="1:25" x14ac:dyDescent="0.25">
      <c r="A637" t="s">
        <v>2982</v>
      </c>
      <c r="B637" t="s">
        <v>2983</v>
      </c>
      <c r="C637">
        <v>2020</v>
      </c>
      <c r="D637">
        <v>8001</v>
      </c>
      <c r="E637">
        <v>2</v>
      </c>
      <c r="F637" t="s">
        <v>2984</v>
      </c>
      <c r="G637">
        <v>26435183</v>
      </c>
      <c r="J637">
        <v>39.74</v>
      </c>
      <c r="L637">
        <v>47078237</v>
      </c>
      <c r="M637" s="1">
        <v>44266</v>
      </c>
      <c r="N637" t="str">
        <f>"RC210317"</f>
        <v>RC210317</v>
      </c>
      <c r="O637" t="s">
        <v>28</v>
      </c>
      <c r="Q637" t="s">
        <v>29</v>
      </c>
      <c r="R637" t="s">
        <v>28</v>
      </c>
      <c r="S637" t="s">
        <v>2985</v>
      </c>
      <c r="T637" t="s">
        <v>2986</v>
      </c>
      <c r="W637" t="s">
        <v>75</v>
      </c>
      <c r="X637" t="s">
        <v>34</v>
      </c>
      <c r="Y637" t="str">
        <f>"77070"</f>
        <v>77070</v>
      </c>
    </row>
    <row r="638" spans="1:25" x14ac:dyDescent="0.25">
      <c r="A638" t="s">
        <v>2987</v>
      </c>
      <c r="B638" t="s">
        <v>2988</v>
      </c>
      <c r="C638">
        <v>2019</v>
      </c>
      <c r="D638">
        <v>8001</v>
      </c>
      <c r="E638">
        <v>4</v>
      </c>
      <c r="F638" t="s">
        <v>2989</v>
      </c>
      <c r="G638">
        <v>26478588</v>
      </c>
      <c r="J638">
        <v>600.02</v>
      </c>
      <c r="L638">
        <v>44250418</v>
      </c>
      <c r="M638" s="1">
        <v>43983</v>
      </c>
      <c r="N638" t="str">
        <f>"J200601U4"</f>
        <v>J200601U4</v>
      </c>
      <c r="O638" t="s">
        <v>28</v>
      </c>
      <c r="Q638" t="s">
        <v>29</v>
      </c>
      <c r="R638" t="s">
        <v>28</v>
      </c>
      <c r="S638" t="s">
        <v>2990</v>
      </c>
      <c r="T638" t="s">
        <v>2991</v>
      </c>
      <c r="U638" t="s">
        <v>1266</v>
      </c>
      <c r="W638" t="s">
        <v>332</v>
      </c>
      <c r="X638" t="s">
        <v>34</v>
      </c>
      <c r="Y638" t="str">
        <f>"752359788"</f>
        <v>752359788</v>
      </c>
    </row>
    <row r="639" spans="1:25" x14ac:dyDescent="0.25">
      <c r="A639" t="s">
        <v>2992</v>
      </c>
      <c r="B639" t="s">
        <v>2993</v>
      </c>
      <c r="C639">
        <v>2020</v>
      </c>
      <c r="D639">
        <v>8001</v>
      </c>
      <c r="E639">
        <v>1</v>
      </c>
      <c r="F639" t="s">
        <v>2994</v>
      </c>
      <c r="G639">
        <v>21526721</v>
      </c>
      <c r="J639">
        <v>746.01</v>
      </c>
      <c r="L639">
        <v>46709450</v>
      </c>
      <c r="M639" s="1">
        <v>44230</v>
      </c>
      <c r="N639" t="str">
        <f>"RC210301"</f>
        <v>RC210301</v>
      </c>
      <c r="O639" t="s">
        <v>28</v>
      </c>
      <c r="Q639" t="s">
        <v>29</v>
      </c>
      <c r="R639" t="s">
        <v>28</v>
      </c>
      <c r="S639" t="s">
        <v>2995</v>
      </c>
      <c r="T639" t="s">
        <v>2996</v>
      </c>
      <c r="U639" t="s">
        <v>2997</v>
      </c>
      <c r="W639" t="s">
        <v>75</v>
      </c>
      <c r="X639" t="s">
        <v>34</v>
      </c>
      <c r="Y639" t="str">
        <f>"77056"</f>
        <v>77056</v>
      </c>
    </row>
    <row r="640" spans="1:25" x14ac:dyDescent="0.25">
      <c r="A640" t="s">
        <v>2998</v>
      </c>
      <c r="B640" t="s">
        <v>2999</v>
      </c>
      <c r="C640">
        <v>2021</v>
      </c>
      <c r="D640">
        <v>8001</v>
      </c>
      <c r="E640">
        <v>2</v>
      </c>
      <c r="F640" t="s">
        <v>3000</v>
      </c>
      <c r="G640">
        <v>0</v>
      </c>
      <c r="J640">
        <v>129.22999999999999</v>
      </c>
      <c r="L640">
        <v>49862803</v>
      </c>
      <c r="M640" s="1">
        <v>44593</v>
      </c>
      <c r="N640" t="str">
        <f>"O220201BZ6"</f>
        <v>O220201BZ6</v>
      </c>
      <c r="O640" t="s">
        <v>28</v>
      </c>
      <c r="Q640" t="s">
        <v>29</v>
      </c>
      <c r="R640" t="s">
        <v>28</v>
      </c>
      <c r="S640" t="s">
        <v>3000</v>
      </c>
      <c r="T640" t="s">
        <v>3001</v>
      </c>
      <c r="U640" t="s">
        <v>60</v>
      </c>
      <c r="V640" t="s">
        <v>60</v>
      </c>
      <c r="W640" t="s">
        <v>135</v>
      </c>
      <c r="X640" t="s">
        <v>34</v>
      </c>
      <c r="Y640" t="str">
        <f>"770994414   "</f>
        <v xml:space="preserve">770994414   </v>
      </c>
    </row>
    <row r="641" spans="1:25" x14ac:dyDescent="0.25">
      <c r="A641" t="s">
        <v>3002</v>
      </c>
      <c r="B641" t="s">
        <v>3003</v>
      </c>
      <c r="C641">
        <v>2020</v>
      </c>
      <c r="D641">
        <v>8001</v>
      </c>
      <c r="E641">
        <v>2</v>
      </c>
      <c r="F641" t="s">
        <v>3004</v>
      </c>
      <c r="G641">
        <v>28746077</v>
      </c>
      <c r="J641">
        <v>9.4700000000000006</v>
      </c>
      <c r="L641">
        <v>44763177</v>
      </c>
      <c r="M641" s="1">
        <v>44139</v>
      </c>
      <c r="N641" t="str">
        <f>"EK201104"</f>
        <v>EK201104</v>
      </c>
      <c r="O641" t="s">
        <v>28</v>
      </c>
      <c r="Q641" t="s">
        <v>29</v>
      </c>
      <c r="R641" t="s">
        <v>28</v>
      </c>
      <c r="S641" t="s">
        <v>3005</v>
      </c>
      <c r="T641" t="s">
        <v>3006</v>
      </c>
      <c r="W641" t="s">
        <v>154</v>
      </c>
      <c r="X641" t="s">
        <v>34</v>
      </c>
      <c r="Y641" t="str">
        <f>"77471"</f>
        <v>77471</v>
      </c>
    </row>
    <row r="642" spans="1:25" x14ac:dyDescent="0.25">
      <c r="A642" t="s">
        <v>3007</v>
      </c>
      <c r="B642" t="s">
        <v>3008</v>
      </c>
      <c r="C642">
        <v>2021</v>
      </c>
      <c r="D642">
        <v>8001</v>
      </c>
      <c r="E642">
        <v>1</v>
      </c>
      <c r="F642" t="s">
        <v>3009</v>
      </c>
      <c r="G642">
        <v>0</v>
      </c>
      <c r="J642">
        <v>55.3</v>
      </c>
      <c r="L642">
        <v>49493543</v>
      </c>
      <c r="M642" s="1">
        <v>44586</v>
      </c>
      <c r="N642" t="str">
        <f>"L220125"</f>
        <v>L220125</v>
      </c>
      <c r="O642" t="s">
        <v>28</v>
      </c>
      <c r="Q642" t="s">
        <v>29</v>
      </c>
      <c r="R642" t="s">
        <v>28</v>
      </c>
      <c r="S642" t="s">
        <v>3009</v>
      </c>
      <c r="T642" t="s">
        <v>3010</v>
      </c>
      <c r="U642" t="s">
        <v>60</v>
      </c>
      <c r="V642" t="s">
        <v>60</v>
      </c>
      <c r="W642" t="s">
        <v>135</v>
      </c>
      <c r="X642" t="s">
        <v>34</v>
      </c>
      <c r="Y642" t="str">
        <f>"770993809   "</f>
        <v xml:space="preserve">770993809   </v>
      </c>
    </row>
    <row r="643" spans="1:25" x14ac:dyDescent="0.25">
      <c r="A643" t="s">
        <v>3011</v>
      </c>
      <c r="B643" t="s">
        <v>3012</v>
      </c>
      <c r="C643">
        <v>2020</v>
      </c>
      <c r="D643">
        <v>8001</v>
      </c>
      <c r="E643">
        <v>1</v>
      </c>
      <c r="F643" t="s">
        <v>3013</v>
      </c>
      <c r="G643">
        <v>29461824</v>
      </c>
      <c r="J643">
        <v>37.57</v>
      </c>
      <c r="L643">
        <v>46728824</v>
      </c>
      <c r="M643" s="1">
        <v>44230</v>
      </c>
      <c r="N643" t="str">
        <f>"EK210203"</f>
        <v>EK210203</v>
      </c>
      <c r="O643" t="s">
        <v>28</v>
      </c>
      <c r="Q643" t="s">
        <v>29</v>
      </c>
      <c r="R643" t="s">
        <v>28</v>
      </c>
      <c r="S643" t="s">
        <v>3014</v>
      </c>
      <c r="T643" t="s">
        <v>3015</v>
      </c>
      <c r="W643" t="s">
        <v>75</v>
      </c>
      <c r="X643" t="s">
        <v>34</v>
      </c>
      <c r="Y643" t="str">
        <f>"77024"</f>
        <v>77024</v>
      </c>
    </row>
    <row r="644" spans="1:25" x14ac:dyDescent="0.25">
      <c r="A644" t="s">
        <v>3016</v>
      </c>
      <c r="B644" t="s">
        <v>3017</v>
      </c>
      <c r="C644">
        <v>2020</v>
      </c>
      <c r="D644">
        <v>8001</v>
      </c>
      <c r="E644">
        <v>1</v>
      </c>
      <c r="F644" t="s">
        <v>3013</v>
      </c>
      <c r="G644">
        <v>29461827</v>
      </c>
      <c r="J644">
        <v>37.57</v>
      </c>
      <c r="L644">
        <v>46728827</v>
      </c>
      <c r="M644" s="1">
        <v>44230</v>
      </c>
      <c r="N644" t="str">
        <f>"EK210203"</f>
        <v>EK210203</v>
      </c>
      <c r="O644" t="s">
        <v>28</v>
      </c>
      <c r="Q644" t="s">
        <v>29</v>
      </c>
      <c r="R644" t="s">
        <v>28</v>
      </c>
      <c r="S644" t="s">
        <v>3014</v>
      </c>
      <c r="T644" t="s">
        <v>3015</v>
      </c>
      <c r="W644" t="s">
        <v>75</v>
      </c>
      <c r="X644" t="s">
        <v>34</v>
      </c>
      <c r="Y644" t="str">
        <f>"77024"</f>
        <v>77024</v>
      </c>
    </row>
    <row r="645" spans="1:25" x14ac:dyDescent="0.25">
      <c r="A645" t="s">
        <v>3018</v>
      </c>
      <c r="B645" t="s">
        <v>3019</v>
      </c>
      <c r="C645">
        <v>2020</v>
      </c>
      <c r="D645">
        <v>8001</v>
      </c>
      <c r="E645">
        <v>1</v>
      </c>
      <c r="F645" t="s">
        <v>3013</v>
      </c>
      <c r="G645">
        <v>29461829</v>
      </c>
      <c r="J645">
        <v>37.57</v>
      </c>
      <c r="L645">
        <v>46728829</v>
      </c>
      <c r="M645" s="1">
        <v>44230</v>
      </c>
      <c r="N645" t="str">
        <f>"EK210203"</f>
        <v>EK210203</v>
      </c>
      <c r="O645" t="s">
        <v>28</v>
      </c>
      <c r="Q645" t="s">
        <v>29</v>
      </c>
      <c r="R645" t="s">
        <v>28</v>
      </c>
      <c r="S645" t="s">
        <v>3014</v>
      </c>
      <c r="T645" t="s">
        <v>3015</v>
      </c>
      <c r="W645" t="s">
        <v>75</v>
      </c>
      <c r="X645" t="s">
        <v>34</v>
      </c>
      <c r="Y645" t="str">
        <f>"77024"</f>
        <v>77024</v>
      </c>
    </row>
    <row r="646" spans="1:25" x14ac:dyDescent="0.25">
      <c r="A646" t="s">
        <v>3020</v>
      </c>
      <c r="B646" t="s">
        <v>3021</v>
      </c>
      <c r="C646">
        <v>2020</v>
      </c>
      <c r="D646">
        <v>8001</v>
      </c>
      <c r="E646">
        <v>1</v>
      </c>
      <c r="F646" t="s">
        <v>3013</v>
      </c>
      <c r="G646">
        <v>29461830</v>
      </c>
      <c r="J646">
        <v>37.57</v>
      </c>
      <c r="L646">
        <v>46728830</v>
      </c>
      <c r="M646" s="1">
        <v>44230</v>
      </c>
      <c r="N646" t="str">
        <f>"EK210203"</f>
        <v>EK210203</v>
      </c>
      <c r="O646" t="s">
        <v>28</v>
      </c>
      <c r="Q646" t="s">
        <v>29</v>
      </c>
      <c r="R646" t="s">
        <v>28</v>
      </c>
      <c r="S646" t="s">
        <v>3022</v>
      </c>
      <c r="T646" t="s">
        <v>3015</v>
      </c>
      <c r="W646" t="s">
        <v>75</v>
      </c>
      <c r="X646" t="s">
        <v>34</v>
      </c>
      <c r="Y646" t="str">
        <f>"77024"</f>
        <v>77024</v>
      </c>
    </row>
    <row r="647" spans="1:25" x14ac:dyDescent="0.25">
      <c r="A647" t="s">
        <v>3023</v>
      </c>
      <c r="B647" t="s">
        <v>3024</v>
      </c>
      <c r="C647">
        <v>2021</v>
      </c>
      <c r="D647">
        <v>8001</v>
      </c>
      <c r="E647">
        <v>1</v>
      </c>
      <c r="F647" t="s">
        <v>3025</v>
      </c>
      <c r="G647">
        <v>1725836</v>
      </c>
      <c r="J647">
        <v>298.54000000000002</v>
      </c>
      <c r="L647">
        <v>48445159</v>
      </c>
      <c r="M647" s="1">
        <v>44543</v>
      </c>
      <c r="N647" t="str">
        <f>"RC220114"</f>
        <v>RC220114</v>
      </c>
      <c r="O647" t="s">
        <v>28</v>
      </c>
      <c r="Q647" t="s">
        <v>29</v>
      </c>
      <c r="R647" t="s">
        <v>28</v>
      </c>
      <c r="S647" t="s">
        <v>3026</v>
      </c>
      <c r="T647" t="s">
        <v>3027</v>
      </c>
      <c r="W647" t="s">
        <v>392</v>
      </c>
      <c r="X647" t="s">
        <v>34</v>
      </c>
      <c r="Y647" t="str">
        <f>"77489"</f>
        <v>77489</v>
      </c>
    </row>
    <row r="648" spans="1:25" x14ac:dyDescent="0.25">
      <c r="A648" t="s">
        <v>3028</v>
      </c>
      <c r="B648" t="s">
        <v>3029</v>
      </c>
      <c r="C648">
        <v>2020</v>
      </c>
      <c r="D648">
        <v>8001</v>
      </c>
      <c r="E648">
        <v>2</v>
      </c>
      <c r="F648" t="s">
        <v>3030</v>
      </c>
      <c r="G648">
        <v>26867431</v>
      </c>
      <c r="J648">
        <v>10.32</v>
      </c>
      <c r="L648">
        <v>47946212</v>
      </c>
      <c r="M648" s="1">
        <v>44502</v>
      </c>
      <c r="N648" t="str">
        <f>"RC211208"</f>
        <v>RC211208</v>
      </c>
      <c r="O648" t="s">
        <v>28</v>
      </c>
      <c r="Q648" t="s">
        <v>29</v>
      </c>
      <c r="R648" t="s">
        <v>28</v>
      </c>
      <c r="S648" t="s">
        <v>1699</v>
      </c>
      <c r="T648" t="s">
        <v>3031</v>
      </c>
      <c r="U648" t="s">
        <v>562</v>
      </c>
      <c r="W648" t="s">
        <v>563</v>
      </c>
      <c r="X648" t="s">
        <v>34</v>
      </c>
      <c r="Y648" t="str">
        <f>"750630156"</f>
        <v>750630156</v>
      </c>
    </row>
    <row r="649" spans="1:25" x14ac:dyDescent="0.25">
      <c r="A649" t="s">
        <v>3032</v>
      </c>
      <c r="B649" t="s">
        <v>3033</v>
      </c>
      <c r="C649">
        <v>2019</v>
      </c>
      <c r="D649">
        <v>8001</v>
      </c>
      <c r="E649">
        <v>1</v>
      </c>
      <c r="F649" t="s">
        <v>3034</v>
      </c>
      <c r="G649">
        <v>0</v>
      </c>
      <c r="J649">
        <v>93.79</v>
      </c>
      <c r="L649">
        <v>42894218</v>
      </c>
      <c r="M649" s="1">
        <v>43845</v>
      </c>
      <c r="N649" t="str">
        <f>"J200115K1"</f>
        <v>J200115K1</v>
      </c>
      <c r="O649" t="s">
        <v>28</v>
      </c>
      <c r="Q649" t="s">
        <v>29</v>
      </c>
      <c r="R649" t="s">
        <v>28</v>
      </c>
      <c r="S649" t="s">
        <v>3034</v>
      </c>
      <c r="T649" t="s">
        <v>3035</v>
      </c>
      <c r="U649" t="s">
        <v>60</v>
      </c>
      <c r="V649" t="s">
        <v>60</v>
      </c>
      <c r="W649" t="s">
        <v>135</v>
      </c>
      <c r="X649" t="s">
        <v>34</v>
      </c>
      <c r="Y649" t="str">
        <f>"770713644   "</f>
        <v xml:space="preserve">770713644   </v>
      </c>
    </row>
    <row r="650" spans="1:25" x14ac:dyDescent="0.25">
      <c r="A650" t="s">
        <v>3036</v>
      </c>
      <c r="B650" t="s">
        <v>3037</v>
      </c>
      <c r="C650">
        <v>2020</v>
      </c>
      <c r="D650">
        <v>8001</v>
      </c>
      <c r="E650">
        <v>1</v>
      </c>
      <c r="F650" t="s">
        <v>3038</v>
      </c>
      <c r="G650">
        <v>29670602</v>
      </c>
      <c r="J650">
        <v>18.95</v>
      </c>
      <c r="L650">
        <v>47118203</v>
      </c>
      <c r="M650" s="1">
        <v>44273</v>
      </c>
      <c r="N650" t="str">
        <f>"RC210324"</f>
        <v>RC210324</v>
      </c>
      <c r="O650" t="s">
        <v>28</v>
      </c>
      <c r="Q650" t="s">
        <v>29</v>
      </c>
      <c r="R650" t="s">
        <v>28</v>
      </c>
      <c r="S650" t="s">
        <v>3039</v>
      </c>
      <c r="T650" t="s">
        <v>3040</v>
      </c>
      <c r="W650" t="s">
        <v>3041</v>
      </c>
      <c r="X650" t="s">
        <v>3042</v>
      </c>
      <c r="Y650" t="str">
        <f>"74101"</f>
        <v>74101</v>
      </c>
    </row>
    <row r="651" spans="1:25" x14ac:dyDescent="0.25">
      <c r="A651" t="s">
        <v>3043</v>
      </c>
      <c r="B651" t="s">
        <v>3044</v>
      </c>
      <c r="C651">
        <v>2019</v>
      </c>
      <c r="D651">
        <v>8001</v>
      </c>
      <c r="E651">
        <v>1</v>
      </c>
      <c r="F651" t="s">
        <v>3045</v>
      </c>
      <c r="G651">
        <v>26601301</v>
      </c>
      <c r="J651">
        <v>17.62</v>
      </c>
      <c r="L651">
        <v>44114370</v>
      </c>
      <c r="M651" s="1">
        <v>43951</v>
      </c>
      <c r="N651" t="str">
        <f>"RC200506"</f>
        <v>RC200506</v>
      </c>
      <c r="O651" t="s">
        <v>28</v>
      </c>
      <c r="Q651" t="s">
        <v>29</v>
      </c>
      <c r="R651" t="s">
        <v>28</v>
      </c>
      <c r="S651" t="s">
        <v>3046</v>
      </c>
      <c r="T651" t="s">
        <v>3047</v>
      </c>
      <c r="W651" t="s">
        <v>75</v>
      </c>
      <c r="X651" t="s">
        <v>34</v>
      </c>
      <c r="Y651" t="str">
        <f>"770277405"</f>
        <v>770277405</v>
      </c>
    </row>
    <row r="652" spans="1:25" x14ac:dyDescent="0.25">
      <c r="A652" t="s">
        <v>3048</v>
      </c>
      <c r="B652" t="s">
        <v>3049</v>
      </c>
      <c r="C652">
        <v>2019</v>
      </c>
      <c r="D652">
        <v>8001</v>
      </c>
      <c r="E652">
        <v>1</v>
      </c>
      <c r="F652" t="s">
        <v>3050</v>
      </c>
      <c r="G652">
        <v>28305697</v>
      </c>
      <c r="J652">
        <v>15.61</v>
      </c>
      <c r="L652">
        <v>43875752</v>
      </c>
      <c r="M652" s="1">
        <v>43894</v>
      </c>
      <c r="N652" t="str">
        <f>"EK200304"</f>
        <v>EK200304</v>
      </c>
      <c r="O652" t="s">
        <v>28</v>
      </c>
      <c r="Q652" t="s">
        <v>29</v>
      </c>
      <c r="R652" t="s">
        <v>28</v>
      </c>
      <c r="S652" t="s">
        <v>3051</v>
      </c>
      <c r="T652" t="s">
        <v>3052</v>
      </c>
      <c r="W652" t="s">
        <v>75</v>
      </c>
      <c r="X652" t="s">
        <v>34</v>
      </c>
      <c r="Y652" t="str">
        <f>"770713314"</f>
        <v>770713314</v>
      </c>
    </row>
    <row r="653" spans="1:25" x14ac:dyDescent="0.25">
      <c r="A653" t="s">
        <v>3053</v>
      </c>
      <c r="B653" t="s">
        <v>3054</v>
      </c>
      <c r="C653">
        <v>2020</v>
      </c>
      <c r="D653">
        <v>8001</v>
      </c>
      <c r="E653">
        <v>2</v>
      </c>
      <c r="F653" t="s">
        <v>3055</v>
      </c>
      <c r="G653">
        <v>22117032</v>
      </c>
      <c r="J653">
        <v>16.57</v>
      </c>
      <c r="L653">
        <v>47513819</v>
      </c>
      <c r="M653" s="1">
        <v>44356</v>
      </c>
      <c r="N653" t="str">
        <f>"RC210616"</f>
        <v>RC210616</v>
      </c>
      <c r="O653" t="s">
        <v>28</v>
      </c>
      <c r="Q653" t="s">
        <v>29</v>
      </c>
      <c r="R653" t="s">
        <v>28</v>
      </c>
      <c r="S653" t="s">
        <v>3056</v>
      </c>
      <c r="T653" t="s">
        <v>3057</v>
      </c>
      <c r="W653" t="s">
        <v>664</v>
      </c>
      <c r="X653" t="s">
        <v>665</v>
      </c>
      <c r="Y653" t="str">
        <f>"50306-0335"</f>
        <v>50306-0335</v>
      </c>
    </row>
    <row r="654" spans="1:25" x14ac:dyDescent="0.25">
      <c r="A654" t="s">
        <v>3058</v>
      </c>
      <c r="B654" t="s">
        <v>3059</v>
      </c>
      <c r="C654">
        <v>2020</v>
      </c>
      <c r="D654">
        <v>8001</v>
      </c>
      <c r="E654">
        <v>1</v>
      </c>
      <c r="F654" t="s">
        <v>3060</v>
      </c>
      <c r="G654">
        <v>29824177</v>
      </c>
      <c r="J654">
        <v>47.62</v>
      </c>
      <c r="L654">
        <v>47421508</v>
      </c>
      <c r="M654" s="1">
        <v>44336</v>
      </c>
      <c r="N654" t="str">
        <f>"RC210524"</f>
        <v>RC210524</v>
      </c>
      <c r="O654" t="s">
        <v>28</v>
      </c>
      <c r="Q654" t="s">
        <v>29</v>
      </c>
      <c r="R654" t="s">
        <v>28</v>
      </c>
      <c r="S654" t="s">
        <v>3061</v>
      </c>
      <c r="T654" t="s">
        <v>3062</v>
      </c>
      <c r="U654" t="s">
        <v>3063</v>
      </c>
      <c r="W654" t="s">
        <v>75</v>
      </c>
      <c r="X654" t="s">
        <v>34</v>
      </c>
      <c r="Y654" t="str">
        <f>"770713311"</f>
        <v>770713311</v>
      </c>
    </row>
    <row r="655" spans="1:25" x14ac:dyDescent="0.25">
      <c r="A655" t="s">
        <v>3064</v>
      </c>
      <c r="B655" t="s">
        <v>3065</v>
      </c>
      <c r="C655">
        <v>2020</v>
      </c>
      <c r="D655">
        <v>8001</v>
      </c>
      <c r="E655">
        <v>1</v>
      </c>
      <c r="F655" t="s">
        <v>3066</v>
      </c>
      <c r="G655">
        <v>0</v>
      </c>
      <c r="J655">
        <v>57.54</v>
      </c>
      <c r="L655">
        <v>46880557</v>
      </c>
      <c r="M655" s="1">
        <v>44236</v>
      </c>
      <c r="N655" t="str">
        <f>"J210209K5"</f>
        <v>J210209K5</v>
      </c>
      <c r="O655" t="s">
        <v>28</v>
      </c>
      <c r="Q655" t="s">
        <v>29</v>
      </c>
      <c r="R655" t="s">
        <v>28</v>
      </c>
      <c r="S655" t="s">
        <v>3066</v>
      </c>
      <c r="T655" t="s">
        <v>3067</v>
      </c>
      <c r="U655" t="s">
        <v>60</v>
      </c>
      <c r="V655" t="s">
        <v>60</v>
      </c>
      <c r="W655" t="s">
        <v>135</v>
      </c>
      <c r="X655" t="s">
        <v>34</v>
      </c>
      <c r="Y655" t="str">
        <f>"770713229   "</f>
        <v xml:space="preserve">770713229   </v>
      </c>
    </row>
    <row r="656" spans="1:25" x14ac:dyDescent="0.25">
      <c r="A656" t="s">
        <v>3068</v>
      </c>
      <c r="B656" t="s">
        <v>3069</v>
      </c>
      <c r="C656">
        <v>2021</v>
      </c>
      <c r="D656">
        <v>8001</v>
      </c>
      <c r="E656">
        <v>2</v>
      </c>
      <c r="F656" t="s">
        <v>3070</v>
      </c>
      <c r="G656">
        <v>0</v>
      </c>
      <c r="J656">
        <v>127.33</v>
      </c>
      <c r="L656">
        <v>49386831</v>
      </c>
      <c r="M656" s="1">
        <v>44582</v>
      </c>
      <c r="N656" t="str">
        <f>"EL220121"</f>
        <v>EL220121</v>
      </c>
      <c r="O656" t="s">
        <v>28</v>
      </c>
      <c r="Q656" t="s">
        <v>29</v>
      </c>
      <c r="R656" t="s">
        <v>28</v>
      </c>
      <c r="S656" t="s">
        <v>3070</v>
      </c>
      <c r="T656" t="s">
        <v>3071</v>
      </c>
      <c r="U656" t="s">
        <v>60</v>
      </c>
      <c r="V656" t="s">
        <v>60</v>
      </c>
      <c r="W656" t="s">
        <v>1137</v>
      </c>
      <c r="X656" t="s">
        <v>34</v>
      </c>
      <c r="Y656" t="str">
        <f>"774943459   "</f>
        <v xml:space="preserve">774943459   </v>
      </c>
    </row>
    <row r="657" spans="1:25" x14ac:dyDescent="0.25">
      <c r="A657" t="s">
        <v>3072</v>
      </c>
      <c r="B657" t="s">
        <v>3073</v>
      </c>
      <c r="C657">
        <v>2021</v>
      </c>
      <c r="D657">
        <v>8001</v>
      </c>
      <c r="E657">
        <v>2</v>
      </c>
      <c r="F657" t="s">
        <v>3074</v>
      </c>
      <c r="G657">
        <v>22844536</v>
      </c>
      <c r="J657">
        <v>639.11</v>
      </c>
      <c r="L657">
        <v>48464997</v>
      </c>
      <c r="M657" s="1">
        <v>44544</v>
      </c>
      <c r="N657" t="str">
        <f>"RC220113"</f>
        <v>RC220113</v>
      </c>
      <c r="O657" t="s">
        <v>28</v>
      </c>
      <c r="Q657" t="s">
        <v>29</v>
      </c>
      <c r="R657" t="s">
        <v>28</v>
      </c>
      <c r="S657" t="s">
        <v>3075</v>
      </c>
      <c r="T657" t="s">
        <v>3076</v>
      </c>
      <c r="W657" t="s">
        <v>75</v>
      </c>
      <c r="X657" t="s">
        <v>34</v>
      </c>
      <c r="Y657" t="str">
        <f>"770279083"</f>
        <v>770279083</v>
      </c>
    </row>
    <row r="658" spans="1:25" x14ac:dyDescent="0.25">
      <c r="A658" t="s">
        <v>3077</v>
      </c>
      <c r="B658" t="s">
        <v>3078</v>
      </c>
      <c r="C658">
        <v>2021</v>
      </c>
      <c r="D658">
        <v>8001</v>
      </c>
      <c r="E658">
        <v>1</v>
      </c>
      <c r="F658" t="s">
        <v>3079</v>
      </c>
      <c r="G658">
        <v>0</v>
      </c>
      <c r="J658">
        <v>60.19</v>
      </c>
      <c r="L658">
        <v>49298721</v>
      </c>
      <c r="M658" s="1">
        <v>44580</v>
      </c>
      <c r="N658" t="str">
        <f>"L220119"</f>
        <v>L220119</v>
      </c>
      <c r="O658" t="s">
        <v>28</v>
      </c>
      <c r="Q658" t="s">
        <v>29</v>
      </c>
      <c r="R658" t="s">
        <v>28</v>
      </c>
      <c r="S658" t="s">
        <v>3079</v>
      </c>
      <c r="T658" t="s">
        <v>3080</v>
      </c>
      <c r="U658" t="s">
        <v>60</v>
      </c>
      <c r="V658" t="s">
        <v>60</v>
      </c>
      <c r="W658" t="s">
        <v>135</v>
      </c>
      <c r="X658" t="s">
        <v>34</v>
      </c>
      <c r="Y658" t="str">
        <f>"770713236   "</f>
        <v xml:space="preserve">770713236   </v>
      </c>
    </row>
    <row r="659" spans="1:25" x14ac:dyDescent="0.25">
      <c r="A659" t="s">
        <v>3081</v>
      </c>
      <c r="B659" t="s">
        <v>3082</v>
      </c>
      <c r="C659">
        <v>2019</v>
      </c>
      <c r="D659">
        <v>8001</v>
      </c>
      <c r="E659">
        <v>1</v>
      </c>
      <c r="F659" t="s">
        <v>3083</v>
      </c>
      <c r="G659">
        <v>27299940</v>
      </c>
      <c r="J659">
        <v>16.04</v>
      </c>
      <c r="L659">
        <v>44283301</v>
      </c>
      <c r="M659" s="1">
        <v>43987</v>
      </c>
      <c r="N659" t="str">
        <f>"J200605K2"</f>
        <v>J200605K2</v>
      </c>
      <c r="O659" t="s">
        <v>28</v>
      </c>
      <c r="Q659" t="s">
        <v>29</v>
      </c>
      <c r="R659" t="s">
        <v>28</v>
      </c>
      <c r="S659" t="s">
        <v>3084</v>
      </c>
      <c r="T659" t="s">
        <v>3085</v>
      </c>
      <c r="W659" t="s">
        <v>392</v>
      </c>
      <c r="X659" t="s">
        <v>34</v>
      </c>
      <c r="Y659" t="str">
        <f>"774591732"</f>
        <v>774591732</v>
      </c>
    </row>
    <row r="660" spans="1:25" x14ac:dyDescent="0.25">
      <c r="A660" t="s">
        <v>3086</v>
      </c>
      <c r="B660" t="s">
        <v>3087</v>
      </c>
      <c r="C660">
        <v>2020</v>
      </c>
      <c r="D660">
        <v>8001</v>
      </c>
      <c r="E660">
        <v>1</v>
      </c>
      <c r="F660" t="s">
        <v>3088</v>
      </c>
      <c r="G660">
        <v>28994527</v>
      </c>
      <c r="J660">
        <v>41.13</v>
      </c>
      <c r="L660">
        <v>45563502</v>
      </c>
      <c r="M660" s="1">
        <v>44203</v>
      </c>
      <c r="N660" t="str">
        <f>"T210107U1"</f>
        <v>T210107U1</v>
      </c>
      <c r="O660" t="s">
        <v>28</v>
      </c>
      <c r="Q660" t="s">
        <v>29</v>
      </c>
      <c r="R660" t="s">
        <v>28</v>
      </c>
      <c r="S660" t="s">
        <v>3089</v>
      </c>
      <c r="T660" t="s">
        <v>3090</v>
      </c>
      <c r="W660" t="s">
        <v>371</v>
      </c>
      <c r="X660" t="s">
        <v>34</v>
      </c>
      <c r="Y660" t="str">
        <f>"774771520"</f>
        <v>774771520</v>
      </c>
    </row>
    <row r="661" spans="1:25" x14ac:dyDescent="0.25">
      <c r="A661" t="s">
        <v>3091</v>
      </c>
      <c r="B661" t="s">
        <v>3092</v>
      </c>
      <c r="C661">
        <v>2020</v>
      </c>
      <c r="D661">
        <v>8001</v>
      </c>
      <c r="E661">
        <v>1</v>
      </c>
      <c r="F661" t="s">
        <v>3093</v>
      </c>
      <c r="G661">
        <v>29461832</v>
      </c>
      <c r="J661">
        <v>54.29</v>
      </c>
      <c r="L661">
        <v>46728832</v>
      </c>
      <c r="M661" s="1">
        <v>44230</v>
      </c>
      <c r="N661" t="str">
        <f>"EK210203"</f>
        <v>EK210203</v>
      </c>
      <c r="O661" t="s">
        <v>28</v>
      </c>
      <c r="Q661" t="s">
        <v>29</v>
      </c>
      <c r="R661" t="s">
        <v>28</v>
      </c>
      <c r="S661" t="s">
        <v>3094</v>
      </c>
      <c r="T661" t="s">
        <v>3095</v>
      </c>
      <c r="W661" t="s">
        <v>75</v>
      </c>
      <c r="X661" t="s">
        <v>34</v>
      </c>
      <c r="Y661" t="str">
        <f>"77071"</f>
        <v>77071</v>
      </c>
    </row>
    <row r="662" spans="1:25" x14ac:dyDescent="0.25">
      <c r="A662" t="s">
        <v>3096</v>
      </c>
      <c r="B662" t="s">
        <v>3097</v>
      </c>
      <c r="C662">
        <v>2019</v>
      </c>
      <c r="D662">
        <v>8001</v>
      </c>
      <c r="E662">
        <v>2</v>
      </c>
      <c r="F662" t="s">
        <v>3098</v>
      </c>
      <c r="G662">
        <v>28333619</v>
      </c>
      <c r="J662">
        <v>201.14</v>
      </c>
      <c r="L662">
        <v>44378384</v>
      </c>
      <c r="M662" s="1">
        <v>44020</v>
      </c>
      <c r="N662" t="str">
        <f>"J200708K1"</f>
        <v>J200708K1</v>
      </c>
      <c r="O662" t="s">
        <v>28</v>
      </c>
      <c r="Q662" t="s">
        <v>29</v>
      </c>
      <c r="R662" t="s">
        <v>28</v>
      </c>
      <c r="S662" t="s">
        <v>2317</v>
      </c>
      <c r="T662" t="s">
        <v>1685</v>
      </c>
      <c r="U662" t="s">
        <v>3099</v>
      </c>
      <c r="W662" t="s">
        <v>2938</v>
      </c>
      <c r="X662" t="s">
        <v>317</v>
      </c>
      <c r="Y662" t="str">
        <f>"92806"</f>
        <v>92806</v>
      </c>
    </row>
    <row r="663" spans="1:25" x14ac:dyDescent="0.25">
      <c r="A663" t="s">
        <v>3100</v>
      </c>
      <c r="B663" t="s">
        <v>3101</v>
      </c>
      <c r="C663">
        <v>2020</v>
      </c>
      <c r="D663">
        <v>8001</v>
      </c>
      <c r="E663">
        <v>3</v>
      </c>
      <c r="F663" t="s">
        <v>3102</v>
      </c>
      <c r="G663">
        <v>0</v>
      </c>
      <c r="J663">
        <v>41.93</v>
      </c>
      <c r="L663">
        <v>47001543</v>
      </c>
      <c r="M663" s="1">
        <v>44256</v>
      </c>
      <c r="N663" t="str">
        <f>"O210301BZ1"</f>
        <v>O210301BZ1</v>
      </c>
      <c r="O663" t="s">
        <v>28</v>
      </c>
      <c r="Q663" t="s">
        <v>29</v>
      </c>
      <c r="R663" t="s">
        <v>28</v>
      </c>
      <c r="S663" t="s">
        <v>3102</v>
      </c>
      <c r="T663" t="s">
        <v>3103</v>
      </c>
      <c r="U663" t="s">
        <v>60</v>
      </c>
      <c r="V663" t="s">
        <v>60</v>
      </c>
      <c r="W663" t="s">
        <v>61</v>
      </c>
      <c r="X663" t="s">
        <v>34</v>
      </c>
      <c r="Y663" t="str">
        <f>"774859669   "</f>
        <v xml:space="preserve">774859669   </v>
      </c>
    </row>
    <row r="664" spans="1:25" x14ac:dyDescent="0.25">
      <c r="A664" t="s">
        <v>3104</v>
      </c>
      <c r="B664" t="s">
        <v>3105</v>
      </c>
      <c r="C664">
        <v>2018</v>
      </c>
      <c r="D664">
        <v>8001</v>
      </c>
      <c r="E664">
        <v>2</v>
      </c>
      <c r="F664" t="s">
        <v>3106</v>
      </c>
      <c r="G664">
        <v>27348266</v>
      </c>
      <c r="J664">
        <v>9.9700000000000006</v>
      </c>
      <c r="L664">
        <v>41104503</v>
      </c>
      <c r="M664" s="1">
        <v>43570</v>
      </c>
      <c r="N664" t="str">
        <f>"CC190415"</f>
        <v>CC190415</v>
      </c>
      <c r="O664" t="s">
        <v>28</v>
      </c>
      <c r="Q664" t="s">
        <v>29</v>
      </c>
      <c r="R664" t="s">
        <v>28</v>
      </c>
      <c r="S664" t="s">
        <v>3107</v>
      </c>
      <c r="T664" t="s">
        <v>3108</v>
      </c>
      <c r="W664" t="s">
        <v>40</v>
      </c>
      <c r="X664" t="s">
        <v>34</v>
      </c>
      <c r="Y664" t="str">
        <f>"77498"</f>
        <v>77498</v>
      </c>
    </row>
    <row r="665" spans="1:25" x14ac:dyDescent="0.25">
      <c r="A665" t="s">
        <v>3109</v>
      </c>
      <c r="B665" t="s">
        <v>3110</v>
      </c>
      <c r="C665">
        <v>2019</v>
      </c>
      <c r="D665">
        <v>8001</v>
      </c>
      <c r="E665">
        <v>1</v>
      </c>
      <c r="F665" t="s">
        <v>3111</v>
      </c>
      <c r="G665">
        <v>27453668</v>
      </c>
      <c r="J665">
        <v>317.41000000000003</v>
      </c>
      <c r="L665">
        <v>43698268</v>
      </c>
      <c r="M665" s="1">
        <v>43871</v>
      </c>
      <c r="N665" t="str">
        <f>"J200210AW7"</f>
        <v>J200210AW7</v>
      </c>
      <c r="O665" t="s">
        <v>28</v>
      </c>
      <c r="Q665" t="s">
        <v>29</v>
      </c>
      <c r="R665" t="s">
        <v>28</v>
      </c>
      <c r="S665" t="s">
        <v>3112</v>
      </c>
      <c r="T665" t="s">
        <v>203</v>
      </c>
      <c r="U665" t="s">
        <v>1475</v>
      </c>
      <c r="W665" t="s">
        <v>33</v>
      </c>
      <c r="X665" t="s">
        <v>34</v>
      </c>
      <c r="Y665" t="str">
        <f>"750938768"</f>
        <v>750938768</v>
      </c>
    </row>
    <row r="666" spans="1:25" x14ac:dyDescent="0.25">
      <c r="A666" t="s">
        <v>3113</v>
      </c>
      <c r="B666" t="s">
        <v>3114</v>
      </c>
      <c r="C666">
        <v>2019</v>
      </c>
      <c r="D666">
        <v>8001</v>
      </c>
      <c r="E666">
        <v>1</v>
      </c>
      <c r="F666" t="s">
        <v>3115</v>
      </c>
      <c r="G666">
        <v>28317461</v>
      </c>
      <c r="J666">
        <v>49.74</v>
      </c>
      <c r="L666">
        <v>43909357</v>
      </c>
      <c r="M666" s="1">
        <v>43899</v>
      </c>
      <c r="N666" t="str">
        <f>"J200309AW5"</f>
        <v>J200309AW5</v>
      </c>
      <c r="O666" t="s">
        <v>28</v>
      </c>
      <c r="Q666" t="s">
        <v>29</v>
      </c>
      <c r="R666" t="s">
        <v>28</v>
      </c>
      <c r="S666" t="s">
        <v>65</v>
      </c>
      <c r="U666" t="s">
        <v>66</v>
      </c>
      <c r="V666" t="s">
        <v>67</v>
      </c>
      <c r="W666" t="s">
        <v>68</v>
      </c>
      <c r="X666" t="s">
        <v>69</v>
      </c>
      <c r="Y666" t="str">
        <f>"29601"</f>
        <v>29601</v>
      </c>
    </row>
    <row r="667" spans="1:25" x14ac:dyDescent="0.25">
      <c r="A667" t="s">
        <v>3116</v>
      </c>
      <c r="B667" t="s">
        <v>3117</v>
      </c>
      <c r="C667">
        <v>2020</v>
      </c>
      <c r="D667">
        <v>8001</v>
      </c>
      <c r="E667">
        <v>1</v>
      </c>
      <c r="F667" t="s">
        <v>3118</v>
      </c>
      <c r="G667">
        <v>29489468</v>
      </c>
      <c r="J667">
        <v>219.54</v>
      </c>
      <c r="L667">
        <v>46782167</v>
      </c>
      <c r="M667" s="1">
        <v>44231</v>
      </c>
      <c r="N667" t="str">
        <f>"CC210204"</f>
        <v>CC210204</v>
      </c>
      <c r="O667" t="s">
        <v>28</v>
      </c>
      <c r="Q667" t="s">
        <v>29</v>
      </c>
      <c r="R667" t="s">
        <v>28</v>
      </c>
      <c r="S667" t="s">
        <v>3119</v>
      </c>
      <c r="T667" t="s">
        <v>3120</v>
      </c>
      <c r="W667" t="s">
        <v>154</v>
      </c>
      <c r="X667" t="s">
        <v>34</v>
      </c>
      <c r="Y667" t="str">
        <f>"77471"</f>
        <v>77471</v>
      </c>
    </row>
    <row r="668" spans="1:25" x14ac:dyDescent="0.25">
      <c r="A668" t="s">
        <v>3121</v>
      </c>
      <c r="B668" t="s">
        <v>3122</v>
      </c>
      <c r="C668">
        <v>2019</v>
      </c>
      <c r="D668">
        <v>8001</v>
      </c>
      <c r="E668">
        <v>3</v>
      </c>
      <c r="F668" t="s">
        <v>3123</v>
      </c>
      <c r="G668">
        <v>0</v>
      </c>
      <c r="J668">
        <v>27.34</v>
      </c>
      <c r="L668">
        <v>44289413</v>
      </c>
      <c r="M668" s="1">
        <v>43991</v>
      </c>
      <c r="N668" t="str">
        <f>"J200609K1"</f>
        <v>J200609K1</v>
      </c>
      <c r="O668" t="s">
        <v>28</v>
      </c>
      <c r="Q668" t="s">
        <v>29</v>
      </c>
      <c r="R668" t="s">
        <v>28</v>
      </c>
      <c r="S668" t="s">
        <v>3123</v>
      </c>
      <c r="T668" t="s">
        <v>3124</v>
      </c>
      <c r="U668" t="s">
        <v>60</v>
      </c>
      <c r="V668" t="s">
        <v>60</v>
      </c>
      <c r="W668" t="s">
        <v>649</v>
      </c>
      <c r="X668" t="s">
        <v>34</v>
      </c>
      <c r="Y668" t="str">
        <f>"774717134   "</f>
        <v xml:space="preserve">774717134   </v>
      </c>
    </row>
    <row r="669" spans="1:25" x14ac:dyDescent="0.25">
      <c r="A669" t="s">
        <v>3125</v>
      </c>
      <c r="B669" t="s">
        <v>3126</v>
      </c>
      <c r="C669">
        <v>2021</v>
      </c>
      <c r="D669">
        <v>8001</v>
      </c>
      <c r="E669">
        <v>1</v>
      </c>
      <c r="F669" t="s">
        <v>3127</v>
      </c>
      <c r="G669">
        <v>26419208</v>
      </c>
      <c r="J669">
        <v>75.36</v>
      </c>
      <c r="L669">
        <v>48244942</v>
      </c>
      <c r="M669" s="1">
        <v>44530</v>
      </c>
      <c r="N669" t="str">
        <f>"RC211222"</f>
        <v>RC211222</v>
      </c>
      <c r="O669" t="s">
        <v>28</v>
      </c>
      <c r="Q669" t="s">
        <v>29</v>
      </c>
      <c r="R669" t="s">
        <v>28</v>
      </c>
      <c r="S669" t="s">
        <v>1073</v>
      </c>
      <c r="T669" t="s">
        <v>1074</v>
      </c>
      <c r="W669" t="s">
        <v>1075</v>
      </c>
      <c r="X669" t="s">
        <v>34</v>
      </c>
      <c r="Y669" t="str">
        <f>"76177"</f>
        <v>76177</v>
      </c>
    </row>
    <row r="670" spans="1:25" x14ac:dyDescent="0.25">
      <c r="A670" t="s">
        <v>3128</v>
      </c>
      <c r="B670" t="s">
        <v>3129</v>
      </c>
      <c r="C670">
        <v>2019</v>
      </c>
      <c r="D670">
        <v>8001</v>
      </c>
      <c r="E670">
        <v>1</v>
      </c>
      <c r="F670" t="s">
        <v>3130</v>
      </c>
      <c r="G670">
        <v>28310308</v>
      </c>
      <c r="J670">
        <v>39.43</v>
      </c>
      <c r="L670">
        <v>43887129</v>
      </c>
      <c r="M670" s="1">
        <v>43895</v>
      </c>
      <c r="N670" t="str">
        <f>"CC200305"</f>
        <v>CC200305</v>
      </c>
      <c r="O670" t="s">
        <v>28</v>
      </c>
      <c r="Q670" t="s">
        <v>29</v>
      </c>
      <c r="R670" t="s">
        <v>28</v>
      </c>
      <c r="S670" t="s">
        <v>3131</v>
      </c>
      <c r="T670" t="s">
        <v>3132</v>
      </c>
      <c r="W670" t="s">
        <v>2481</v>
      </c>
      <c r="X670" t="s">
        <v>34</v>
      </c>
      <c r="Y670" t="str">
        <f>"77423"</f>
        <v>77423</v>
      </c>
    </row>
    <row r="671" spans="1:25" x14ac:dyDescent="0.25">
      <c r="A671" t="s">
        <v>3133</v>
      </c>
      <c r="B671" t="s">
        <v>3134</v>
      </c>
      <c r="C671">
        <v>2019</v>
      </c>
      <c r="D671">
        <v>8001</v>
      </c>
      <c r="E671">
        <v>1</v>
      </c>
      <c r="F671" t="s">
        <v>3135</v>
      </c>
      <c r="G671">
        <v>0</v>
      </c>
      <c r="J671" s="2">
        <v>13423.2</v>
      </c>
      <c r="L671">
        <v>43323674</v>
      </c>
      <c r="M671" s="1">
        <v>43859</v>
      </c>
      <c r="N671" t="str">
        <f>"L200129"</f>
        <v>L200129</v>
      </c>
      <c r="O671" t="s">
        <v>28</v>
      </c>
      <c r="Q671" t="s">
        <v>29</v>
      </c>
      <c r="R671" t="s">
        <v>28</v>
      </c>
      <c r="S671" t="s">
        <v>3135</v>
      </c>
      <c r="T671" t="s">
        <v>3136</v>
      </c>
      <c r="U671" t="s">
        <v>3137</v>
      </c>
      <c r="V671" t="s">
        <v>60</v>
      </c>
      <c r="W671" t="s">
        <v>135</v>
      </c>
      <c r="X671" t="s">
        <v>34</v>
      </c>
      <c r="Y671" t="str">
        <f>"770424698   "</f>
        <v xml:space="preserve">770424698   </v>
      </c>
    </row>
    <row r="672" spans="1:25" x14ac:dyDescent="0.25">
      <c r="A672" t="s">
        <v>3138</v>
      </c>
      <c r="B672" t="s">
        <v>3139</v>
      </c>
      <c r="C672">
        <v>2020</v>
      </c>
      <c r="D672">
        <v>8001</v>
      </c>
      <c r="E672">
        <v>2</v>
      </c>
      <c r="F672" t="s">
        <v>3140</v>
      </c>
      <c r="G672">
        <v>21600983</v>
      </c>
      <c r="J672">
        <v>102.67</v>
      </c>
      <c r="L672">
        <v>47257081</v>
      </c>
      <c r="M672" s="1">
        <v>44292</v>
      </c>
      <c r="N672" t="str">
        <f>"RC210414"</f>
        <v>RC210414</v>
      </c>
      <c r="O672" t="s">
        <v>28</v>
      </c>
      <c r="Q672" t="s">
        <v>29</v>
      </c>
      <c r="R672" t="s">
        <v>28</v>
      </c>
      <c r="S672" t="s">
        <v>1454</v>
      </c>
      <c r="T672" t="s">
        <v>1455</v>
      </c>
      <c r="W672" t="s">
        <v>1456</v>
      </c>
      <c r="X672" t="s">
        <v>1457</v>
      </c>
      <c r="Y672" t="str">
        <f>"234504968"</f>
        <v>234504968</v>
      </c>
    </row>
    <row r="673" spans="1:25" x14ac:dyDescent="0.25">
      <c r="A673" t="s">
        <v>3141</v>
      </c>
      <c r="B673" t="s">
        <v>3142</v>
      </c>
      <c r="C673">
        <v>2020</v>
      </c>
      <c r="D673">
        <v>8001</v>
      </c>
      <c r="E673">
        <v>1</v>
      </c>
      <c r="F673" t="s">
        <v>3143</v>
      </c>
      <c r="G673">
        <v>28872867</v>
      </c>
      <c r="J673">
        <v>54</v>
      </c>
      <c r="L673">
        <v>45159814</v>
      </c>
      <c r="M673" s="1">
        <v>44173</v>
      </c>
      <c r="N673" t="str">
        <f>"RC201217"</f>
        <v>RC201217</v>
      </c>
      <c r="O673" t="s">
        <v>28</v>
      </c>
      <c r="Q673" t="s">
        <v>29</v>
      </c>
      <c r="R673" t="s">
        <v>28</v>
      </c>
      <c r="S673" t="s">
        <v>3144</v>
      </c>
      <c r="T673" t="s">
        <v>3145</v>
      </c>
      <c r="U673" t="s">
        <v>3146</v>
      </c>
      <c r="V673" t="s">
        <v>3147</v>
      </c>
      <c r="W673" t="s">
        <v>75</v>
      </c>
      <c r="X673" t="s">
        <v>34</v>
      </c>
      <c r="Y673" t="str">
        <f>"770643589"</f>
        <v>770643589</v>
      </c>
    </row>
    <row r="674" spans="1:25" x14ac:dyDescent="0.25">
      <c r="A674" t="s">
        <v>3148</v>
      </c>
      <c r="B674" t="s">
        <v>3149</v>
      </c>
      <c r="C674">
        <v>2021</v>
      </c>
      <c r="D674">
        <v>8001</v>
      </c>
      <c r="E674">
        <v>1</v>
      </c>
      <c r="F674" t="s">
        <v>3150</v>
      </c>
      <c r="G674">
        <v>22132648</v>
      </c>
      <c r="J674">
        <v>10.59</v>
      </c>
      <c r="L674">
        <v>48763573</v>
      </c>
      <c r="M674" s="1">
        <v>44559</v>
      </c>
      <c r="N674" t="str">
        <f>"RC220125"</f>
        <v>RC220125</v>
      </c>
      <c r="O674" t="s">
        <v>28</v>
      </c>
      <c r="Q674" t="s">
        <v>29</v>
      </c>
      <c r="R674" t="s">
        <v>28</v>
      </c>
      <c r="S674" t="s">
        <v>2995</v>
      </c>
      <c r="T674" t="s">
        <v>2997</v>
      </c>
      <c r="W674" t="s">
        <v>75</v>
      </c>
      <c r="X674" t="s">
        <v>34</v>
      </c>
      <c r="Y674" t="str">
        <f>"770563204"</f>
        <v>770563204</v>
      </c>
    </row>
    <row r="675" spans="1:25" x14ac:dyDescent="0.25">
      <c r="A675" t="s">
        <v>3151</v>
      </c>
      <c r="B675" t="s">
        <v>3152</v>
      </c>
      <c r="C675">
        <v>2018</v>
      </c>
      <c r="D675">
        <v>8001</v>
      </c>
      <c r="E675">
        <v>3</v>
      </c>
      <c r="F675" t="s">
        <v>3153</v>
      </c>
      <c r="G675">
        <v>23061629</v>
      </c>
      <c r="J675">
        <v>134.84</v>
      </c>
      <c r="L675">
        <v>41527753</v>
      </c>
      <c r="M675" s="1">
        <v>43711</v>
      </c>
      <c r="N675" t="str">
        <f>"O190903BL1"</f>
        <v>O190903BL1</v>
      </c>
      <c r="O675" t="s">
        <v>28</v>
      </c>
      <c r="Q675" t="s">
        <v>29</v>
      </c>
      <c r="R675" t="s">
        <v>28</v>
      </c>
      <c r="S675" t="s">
        <v>3154</v>
      </c>
      <c r="T675" t="s">
        <v>3155</v>
      </c>
      <c r="W675" t="s">
        <v>81</v>
      </c>
      <c r="X675" t="s">
        <v>34</v>
      </c>
      <c r="Y675" t="str">
        <f>"774698887"</f>
        <v>774698887</v>
      </c>
    </row>
    <row r="676" spans="1:25" x14ac:dyDescent="0.25">
      <c r="A676" t="s">
        <v>3156</v>
      </c>
      <c r="B676" t="s">
        <v>3157</v>
      </c>
      <c r="C676">
        <v>2019</v>
      </c>
      <c r="D676">
        <v>8001</v>
      </c>
      <c r="E676">
        <v>1</v>
      </c>
      <c r="F676" t="s">
        <v>3158</v>
      </c>
      <c r="G676">
        <v>28310279</v>
      </c>
      <c r="J676">
        <v>28.66</v>
      </c>
      <c r="L676">
        <v>43887100</v>
      </c>
      <c r="M676" s="1">
        <v>43895</v>
      </c>
      <c r="N676" t="str">
        <f>"CC200305"</f>
        <v>CC200305</v>
      </c>
      <c r="O676" t="s">
        <v>28</v>
      </c>
      <c r="Q676" t="s">
        <v>29</v>
      </c>
      <c r="R676" t="s">
        <v>28</v>
      </c>
      <c r="S676" t="s">
        <v>3159</v>
      </c>
      <c r="T676" t="s">
        <v>3160</v>
      </c>
      <c r="W676" t="s">
        <v>81</v>
      </c>
      <c r="X676" t="s">
        <v>34</v>
      </c>
      <c r="Y676" t="str">
        <f>"77469"</f>
        <v>77469</v>
      </c>
    </row>
    <row r="677" spans="1:25" x14ac:dyDescent="0.25">
      <c r="A677" t="s">
        <v>3161</v>
      </c>
      <c r="B677" t="s">
        <v>3162</v>
      </c>
      <c r="C677">
        <v>2019</v>
      </c>
      <c r="D677">
        <v>8001</v>
      </c>
      <c r="E677">
        <v>1</v>
      </c>
      <c r="F677" t="s">
        <v>3163</v>
      </c>
      <c r="G677">
        <v>28310280</v>
      </c>
      <c r="J677">
        <v>9.24</v>
      </c>
      <c r="L677">
        <v>43887101</v>
      </c>
      <c r="M677" s="1">
        <v>43895</v>
      </c>
      <c r="N677" t="str">
        <f>"CC200305"</f>
        <v>CC200305</v>
      </c>
      <c r="O677" t="s">
        <v>28</v>
      </c>
      <c r="Q677" t="s">
        <v>29</v>
      </c>
      <c r="R677" t="s">
        <v>28</v>
      </c>
      <c r="S677" t="s">
        <v>3159</v>
      </c>
      <c r="T677" t="s">
        <v>3160</v>
      </c>
      <c r="W677" t="s">
        <v>81</v>
      </c>
      <c r="X677" t="s">
        <v>34</v>
      </c>
      <c r="Y677" t="str">
        <f>"77469"</f>
        <v>77469</v>
      </c>
    </row>
    <row r="678" spans="1:25" x14ac:dyDescent="0.25">
      <c r="A678" t="s">
        <v>3164</v>
      </c>
      <c r="B678" t="s">
        <v>3165</v>
      </c>
      <c r="C678">
        <v>2020</v>
      </c>
      <c r="D678">
        <v>8001</v>
      </c>
      <c r="E678">
        <v>1</v>
      </c>
      <c r="F678" t="s">
        <v>3166</v>
      </c>
      <c r="G678">
        <v>29461906</v>
      </c>
      <c r="J678">
        <v>239.12</v>
      </c>
      <c r="L678">
        <v>46728906</v>
      </c>
      <c r="M678" s="1">
        <v>44230</v>
      </c>
      <c r="N678" t="str">
        <f>"EK210203"</f>
        <v>EK210203</v>
      </c>
      <c r="O678" t="s">
        <v>28</v>
      </c>
      <c r="Q678" t="s">
        <v>29</v>
      </c>
      <c r="R678" t="s">
        <v>28</v>
      </c>
      <c r="S678" t="s">
        <v>3167</v>
      </c>
      <c r="T678" t="s">
        <v>3168</v>
      </c>
      <c r="W678" t="s">
        <v>75</v>
      </c>
      <c r="X678" t="s">
        <v>34</v>
      </c>
      <c r="Y678" t="str">
        <f>"77083"</f>
        <v>77083</v>
      </c>
    </row>
    <row r="679" spans="1:25" x14ac:dyDescent="0.25">
      <c r="A679" t="s">
        <v>3169</v>
      </c>
      <c r="B679" t="s">
        <v>3170</v>
      </c>
      <c r="C679">
        <v>2019</v>
      </c>
      <c r="D679">
        <v>8001</v>
      </c>
      <c r="E679">
        <v>1</v>
      </c>
      <c r="F679" t="s">
        <v>3171</v>
      </c>
      <c r="G679">
        <v>27426072</v>
      </c>
      <c r="J679">
        <v>64.47</v>
      </c>
      <c r="L679">
        <v>43999401</v>
      </c>
      <c r="M679" s="1">
        <v>43920</v>
      </c>
      <c r="N679" t="str">
        <f>"J200330AW4"</f>
        <v>J200330AW4</v>
      </c>
      <c r="O679" t="s">
        <v>28</v>
      </c>
      <c r="Q679" t="s">
        <v>29</v>
      </c>
      <c r="R679" t="s">
        <v>28</v>
      </c>
      <c r="S679" t="s">
        <v>178</v>
      </c>
      <c r="T679" t="s">
        <v>179</v>
      </c>
      <c r="U679" t="s">
        <v>180</v>
      </c>
      <c r="W679" t="s">
        <v>107</v>
      </c>
      <c r="X679" t="s">
        <v>34</v>
      </c>
      <c r="Y679" t="str">
        <f>"774943095"</f>
        <v>774943095</v>
      </c>
    </row>
    <row r="680" spans="1:25" x14ac:dyDescent="0.25">
      <c r="A680" t="s">
        <v>3172</v>
      </c>
      <c r="B680" t="s">
        <v>3173</v>
      </c>
      <c r="C680">
        <v>2019</v>
      </c>
      <c r="D680">
        <v>8001</v>
      </c>
      <c r="E680">
        <v>1</v>
      </c>
      <c r="F680" t="s">
        <v>3174</v>
      </c>
      <c r="G680">
        <v>27598383</v>
      </c>
      <c r="J680">
        <v>8.9499999999999993</v>
      </c>
      <c r="L680">
        <v>41678789</v>
      </c>
      <c r="M680" s="1">
        <v>43770</v>
      </c>
      <c r="N680" t="str">
        <f>"T191101F1"</f>
        <v>T191101F1</v>
      </c>
      <c r="O680" t="s">
        <v>28</v>
      </c>
      <c r="Q680" t="s">
        <v>29</v>
      </c>
      <c r="R680" t="s">
        <v>28</v>
      </c>
      <c r="S680" t="s">
        <v>3175</v>
      </c>
      <c r="T680" t="s">
        <v>3176</v>
      </c>
      <c r="U680" t="s">
        <v>3177</v>
      </c>
      <c r="W680" t="s">
        <v>75</v>
      </c>
      <c r="X680" t="s">
        <v>34</v>
      </c>
      <c r="Y680" t="str">
        <f>"770835973"</f>
        <v>770835973</v>
      </c>
    </row>
    <row r="681" spans="1:25" x14ac:dyDescent="0.25">
      <c r="A681" t="s">
        <v>3178</v>
      </c>
      <c r="B681" t="s">
        <v>3179</v>
      </c>
      <c r="C681">
        <v>2020</v>
      </c>
      <c r="D681">
        <v>8001</v>
      </c>
      <c r="E681">
        <v>1</v>
      </c>
      <c r="F681" t="s">
        <v>3180</v>
      </c>
      <c r="G681">
        <v>24811977</v>
      </c>
      <c r="J681" s="2">
        <v>1727.65</v>
      </c>
      <c r="L681">
        <v>44784025</v>
      </c>
      <c r="M681" s="1">
        <v>44147</v>
      </c>
      <c r="N681" t="str">
        <f>"TE201112"</f>
        <v>TE201112</v>
      </c>
      <c r="O681" t="s">
        <v>28</v>
      </c>
      <c r="Q681" t="s">
        <v>29</v>
      </c>
      <c r="R681" t="s">
        <v>28</v>
      </c>
      <c r="S681" t="s">
        <v>775</v>
      </c>
      <c r="T681" t="s">
        <v>3181</v>
      </c>
      <c r="U681" t="s">
        <v>3182</v>
      </c>
      <c r="W681" t="s">
        <v>75</v>
      </c>
      <c r="X681" t="s">
        <v>34</v>
      </c>
      <c r="Y681" t="str">
        <f>"770941009"</f>
        <v>770941009</v>
      </c>
    </row>
    <row r="682" spans="1:25" x14ac:dyDescent="0.25">
      <c r="A682" t="s">
        <v>3183</v>
      </c>
      <c r="B682" t="s">
        <v>3184</v>
      </c>
      <c r="C682">
        <v>2020</v>
      </c>
      <c r="D682">
        <v>8001</v>
      </c>
      <c r="E682">
        <v>1</v>
      </c>
      <c r="F682" t="s">
        <v>3185</v>
      </c>
      <c r="G682">
        <v>29461571</v>
      </c>
      <c r="J682">
        <v>619.6</v>
      </c>
      <c r="L682">
        <v>46728571</v>
      </c>
      <c r="M682" s="1">
        <v>44230</v>
      </c>
      <c r="N682" t="str">
        <f>"EK210203"</f>
        <v>EK210203</v>
      </c>
      <c r="O682" t="s">
        <v>28</v>
      </c>
      <c r="Q682" t="s">
        <v>29</v>
      </c>
      <c r="R682" t="s">
        <v>28</v>
      </c>
      <c r="S682" t="s">
        <v>3186</v>
      </c>
      <c r="T682" t="s">
        <v>3187</v>
      </c>
      <c r="W682" t="s">
        <v>107</v>
      </c>
      <c r="X682" t="s">
        <v>34</v>
      </c>
      <c r="Y682" t="str">
        <f>"77450"</f>
        <v>77450</v>
      </c>
    </row>
    <row r="683" spans="1:25" x14ac:dyDescent="0.25">
      <c r="A683" t="s">
        <v>3188</v>
      </c>
      <c r="B683" t="s">
        <v>3189</v>
      </c>
      <c r="C683">
        <v>2019</v>
      </c>
      <c r="D683">
        <v>8001</v>
      </c>
      <c r="E683">
        <v>1</v>
      </c>
      <c r="F683" t="s">
        <v>3190</v>
      </c>
      <c r="G683">
        <v>0</v>
      </c>
      <c r="J683">
        <v>21.64</v>
      </c>
      <c r="L683">
        <v>43613217</v>
      </c>
      <c r="M683" s="1">
        <v>43866</v>
      </c>
      <c r="N683" t="str">
        <f>"J200205AW15"</f>
        <v>J200205AW15</v>
      </c>
      <c r="O683" t="s">
        <v>28</v>
      </c>
      <c r="Q683" t="s">
        <v>29</v>
      </c>
      <c r="R683" t="s">
        <v>28</v>
      </c>
      <c r="S683" t="s">
        <v>3190</v>
      </c>
      <c r="T683" t="s">
        <v>3191</v>
      </c>
      <c r="U683" t="s">
        <v>60</v>
      </c>
      <c r="V683" t="s">
        <v>60</v>
      </c>
      <c r="W683" t="s">
        <v>1137</v>
      </c>
      <c r="X683" t="s">
        <v>34</v>
      </c>
      <c r="Y683" t="str">
        <f>"774505953   "</f>
        <v xml:space="preserve">774505953   </v>
      </c>
    </row>
    <row r="684" spans="1:25" x14ac:dyDescent="0.25">
      <c r="A684" t="s">
        <v>3192</v>
      </c>
      <c r="B684" t="s">
        <v>3193</v>
      </c>
      <c r="C684">
        <v>2021</v>
      </c>
      <c r="D684">
        <v>8001</v>
      </c>
      <c r="E684">
        <v>1</v>
      </c>
      <c r="F684" t="s">
        <v>3194</v>
      </c>
      <c r="G684">
        <v>28895097</v>
      </c>
      <c r="J684">
        <v>84.65</v>
      </c>
      <c r="L684">
        <v>45255889</v>
      </c>
      <c r="M684" s="1">
        <v>44518</v>
      </c>
      <c r="N684" t="str">
        <f>"T211118U1"</f>
        <v>T211118U1</v>
      </c>
      <c r="O684" t="s">
        <v>260</v>
      </c>
      <c r="Q684" t="s">
        <v>29</v>
      </c>
      <c r="R684" t="s">
        <v>260</v>
      </c>
      <c r="S684" t="s">
        <v>2818</v>
      </c>
      <c r="T684" t="s">
        <v>3195</v>
      </c>
      <c r="W684" t="s">
        <v>75</v>
      </c>
      <c r="X684" t="s">
        <v>34</v>
      </c>
      <c r="Y684" t="str">
        <f>"77057"</f>
        <v>77057</v>
      </c>
    </row>
    <row r="685" spans="1:25" x14ac:dyDescent="0.25">
      <c r="A685" t="s">
        <v>3196</v>
      </c>
      <c r="B685" t="s">
        <v>3197</v>
      </c>
      <c r="C685">
        <v>2020</v>
      </c>
      <c r="D685">
        <v>8001</v>
      </c>
      <c r="E685">
        <v>2</v>
      </c>
      <c r="F685" t="s">
        <v>3198</v>
      </c>
      <c r="G685">
        <v>29974066</v>
      </c>
      <c r="J685">
        <v>45</v>
      </c>
      <c r="L685">
        <v>47689381</v>
      </c>
      <c r="M685" s="1">
        <v>44418</v>
      </c>
      <c r="N685" t="str">
        <f>"RC210820"</f>
        <v>RC210820</v>
      </c>
      <c r="O685" t="s">
        <v>28</v>
      </c>
      <c r="Q685" t="s">
        <v>29</v>
      </c>
      <c r="R685" t="s">
        <v>28</v>
      </c>
      <c r="S685" t="s">
        <v>561</v>
      </c>
      <c r="T685" t="s">
        <v>562</v>
      </c>
      <c r="W685" t="s">
        <v>563</v>
      </c>
      <c r="X685" t="s">
        <v>34</v>
      </c>
      <c r="Y685" t="str">
        <f>"750630156"</f>
        <v>750630156</v>
      </c>
    </row>
    <row r="686" spans="1:25" x14ac:dyDescent="0.25">
      <c r="A686" t="s">
        <v>3199</v>
      </c>
      <c r="B686" t="s">
        <v>3200</v>
      </c>
      <c r="C686">
        <v>2020</v>
      </c>
      <c r="D686">
        <v>8001</v>
      </c>
      <c r="E686">
        <v>1</v>
      </c>
      <c r="F686" t="s">
        <v>3201</v>
      </c>
      <c r="G686">
        <v>28686596</v>
      </c>
      <c r="J686">
        <v>45</v>
      </c>
      <c r="L686">
        <v>45907638</v>
      </c>
      <c r="M686" s="1">
        <v>44208</v>
      </c>
      <c r="N686" t="str">
        <f>"RC210128"</f>
        <v>RC210128</v>
      </c>
      <c r="O686" t="s">
        <v>28</v>
      </c>
      <c r="Q686" t="s">
        <v>29</v>
      </c>
      <c r="R686" t="s">
        <v>28</v>
      </c>
      <c r="S686" t="s">
        <v>3202</v>
      </c>
      <c r="T686" t="s">
        <v>3203</v>
      </c>
      <c r="W686" t="s">
        <v>3204</v>
      </c>
      <c r="X686" t="s">
        <v>3205</v>
      </c>
      <c r="Y686" t="str">
        <f>"727030044"</f>
        <v>727030044</v>
      </c>
    </row>
    <row r="687" spans="1:25" x14ac:dyDescent="0.25">
      <c r="A687" t="s">
        <v>3206</v>
      </c>
      <c r="B687" t="s">
        <v>3207</v>
      </c>
      <c r="C687">
        <v>2019</v>
      </c>
      <c r="D687">
        <v>8001</v>
      </c>
      <c r="E687">
        <v>1</v>
      </c>
      <c r="F687" t="s">
        <v>3208</v>
      </c>
      <c r="G687">
        <v>0</v>
      </c>
      <c r="J687">
        <v>89.52</v>
      </c>
      <c r="L687">
        <v>43782483</v>
      </c>
      <c r="M687" s="1">
        <v>43885</v>
      </c>
      <c r="N687" t="str">
        <f>"L200224"</f>
        <v>L200224</v>
      </c>
      <c r="O687" t="s">
        <v>28</v>
      </c>
      <c r="Q687" t="s">
        <v>29</v>
      </c>
      <c r="R687" t="s">
        <v>28</v>
      </c>
      <c r="S687" t="s">
        <v>3208</v>
      </c>
      <c r="T687" t="s">
        <v>3209</v>
      </c>
      <c r="U687" t="s">
        <v>60</v>
      </c>
      <c r="V687" t="s">
        <v>60</v>
      </c>
      <c r="W687" t="s">
        <v>219</v>
      </c>
      <c r="X687" t="s">
        <v>34</v>
      </c>
      <c r="Y687" t="str">
        <f>"774782313   "</f>
        <v xml:space="preserve">774782313   </v>
      </c>
    </row>
    <row r="688" spans="1:25" x14ac:dyDescent="0.25">
      <c r="A688" t="s">
        <v>3210</v>
      </c>
      <c r="B688" t="s">
        <v>3211</v>
      </c>
      <c r="C688">
        <v>2021</v>
      </c>
      <c r="D688">
        <v>8001</v>
      </c>
      <c r="E688">
        <v>1</v>
      </c>
      <c r="F688" t="s">
        <v>3212</v>
      </c>
      <c r="G688">
        <v>26853859</v>
      </c>
      <c r="J688">
        <v>448.9</v>
      </c>
      <c r="L688">
        <v>49219540</v>
      </c>
      <c r="M688" s="1">
        <v>44575</v>
      </c>
      <c r="N688" t="str">
        <f>"RC220218"</f>
        <v>RC220218</v>
      </c>
      <c r="O688" t="s">
        <v>28</v>
      </c>
      <c r="Q688" t="s">
        <v>29</v>
      </c>
      <c r="R688" t="s">
        <v>28</v>
      </c>
      <c r="S688" t="s">
        <v>3213</v>
      </c>
      <c r="T688" t="s">
        <v>3214</v>
      </c>
      <c r="U688" t="s">
        <v>3215</v>
      </c>
      <c r="W688" t="s">
        <v>107</v>
      </c>
      <c r="X688" t="s">
        <v>34</v>
      </c>
      <c r="Y688" t="str">
        <f>"774945033"</f>
        <v>774945033</v>
      </c>
    </row>
    <row r="689" spans="1:25" x14ac:dyDescent="0.25">
      <c r="A689" t="s">
        <v>3216</v>
      </c>
      <c r="B689" t="s">
        <v>3217</v>
      </c>
      <c r="C689">
        <v>2019</v>
      </c>
      <c r="D689">
        <v>8001</v>
      </c>
      <c r="E689">
        <v>1</v>
      </c>
      <c r="F689" t="s">
        <v>3218</v>
      </c>
      <c r="G689">
        <v>0</v>
      </c>
      <c r="J689">
        <v>93.96</v>
      </c>
      <c r="L689">
        <v>43915135</v>
      </c>
      <c r="M689" s="1">
        <v>43900</v>
      </c>
      <c r="N689" t="str">
        <f>"J200310AW3"</f>
        <v>J200310AW3</v>
      </c>
      <c r="O689" t="s">
        <v>28</v>
      </c>
      <c r="Q689" t="s">
        <v>29</v>
      </c>
      <c r="R689" t="s">
        <v>28</v>
      </c>
      <c r="S689" t="s">
        <v>3218</v>
      </c>
      <c r="T689" t="s">
        <v>3219</v>
      </c>
      <c r="U689" t="s">
        <v>60</v>
      </c>
      <c r="V689" t="s">
        <v>60</v>
      </c>
      <c r="W689" t="s">
        <v>1137</v>
      </c>
      <c r="X689" t="s">
        <v>34</v>
      </c>
      <c r="Y689" t="str">
        <f>"774945339   "</f>
        <v xml:space="preserve">774945339   </v>
      </c>
    </row>
    <row r="690" spans="1:25" x14ac:dyDescent="0.25">
      <c r="A690" t="s">
        <v>3220</v>
      </c>
      <c r="B690" t="s">
        <v>3221</v>
      </c>
      <c r="C690">
        <v>2021</v>
      </c>
      <c r="D690">
        <v>8001</v>
      </c>
      <c r="E690">
        <v>1</v>
      </c>
      <c r="F690" t="s">
        <v>3222</v>
      </c>
      <c r="G690">
        <v>30592794</v>
      </c>
      <c r="J690">
        <v>267.39</v>
      </c>
      <c r="L690">
        <v>48794129</v>
      </c>
      <c r="M690" s="1">
        <v>44560</v>
      </c>
      <c r="N690" t="str">
        <f>"RC220125"</f>
        <v>RC220125</v>
      </c>
      <c r="O690" t="s">
        <v>28</v>
      </c>
      <c r="Q690" t="s">
        <v>29</v>
      </c>
      <c r="R690" t="s">
        <v>28</v>
      </c>
      <c r="S690" t="s">
        <v>2046</v>
      </c>
      <c r="T690" t="s">
        <v>2047</v>
      </c>
      <c r="W690" t="s">
        <v>75</v>
      </c>
      <c r="X690" t="s">
        <v>34</v>
      </c>
      <c r="Y690" t="str">
        <f>"770963307"</f>
        <v>770963307</v>
      </c>
    </row>
    <row r="691" spans="1:25" x14ac:dyDescent="0.25">
      <c r="A691" t="s">
        <v>3223</v>
      </c>
      <c r="B691" t="s">
        <v>3224</v>
      </c>
      <c r="C691">
        <v>2020</v>
      </c>
      <c r="D691">
        <v>8001</v>
      </c>
      <c r="E691">
        <v>1</v>
      </c>
      <c r="F691" t="s">
        <v>3225</v>
      </c>
      <c r="G691">
        <v>29461773</v>
      </c>
      <c r="J691">
        <v>285.17</v>
      </c>
      <c r="L691">
        <v>46728773</v>
      </c>
      <c r="M691" s="1">
        <v>44230</v>
      </c>
      <c r="N691" t="str">
        <f>"EK210203"</f>
        <v>EK210203</v>
      </c>
      <c r="O691" t="s">
        <v>28</v>
      </c>
      <c r="Q691" t="s">
        <v>29</v>
      </c>
      <c r="R691" t="s">
        <v>28</v>
      </c>
      <c r="S691" t="s">
        <v>3226</v>
      </c>
      <c r="T691" t="s">
        <v>3227</v>
      </c>
      <c r="W691" t="s">
        <v>3228</v>
      </c>
      <c r="X691" t="s">
        <v>2538</v>
      </c>
      <c r="Y691" t="str">
        <f>"87111"</f>
        <v>87111</v>
      </c>
    </row>
    <row r="692" spans="1:25" x14ac:dyDescent="0.25">
      <c r="A692" t="s">
        <v>3229</v>
      </c>
      <c r="B692" t="s">
        <v>3230</v>
      </c>
      <c r="C692">
        <v>2020</v>
      </c>
      <c r="D692">
        <v>8001</v>
      </c>
      <c r="E692">
        <v>1</v>
      </c>
      <c r="F692" t="s">
        <v>3231</v>
      </c>
      <c r="G692">
        <v>29596060</v>
      </c>
      <c r="J692">
        <v>77.64</v>
      </c>
      <c r="L692">
        <v>47018829</v>
      </c>
      <c r="M692" s="1">
        <v>44258</v>
      </c>
      <c r="N692" t="str">
        <f>"EK210303"</f>
        <v>EK210303</v>
      </c>
      <c r="O692" t="s">
        <v>28</v>
      </c>
      <c r="Q692" t="s">
        <v>29</v>
      </c>
      <c r="R692" t="s">
        <v>28</v>
      </c>
      <c r="S692" t="s">
        <v>3232</v>
      </c>
      <c r="T692" t="s">
        <v>3233</v>
      </c>
      <c r="W692" t="s">
        <v>371</v>
      </c>
      <c r="X692" t="s">
        <v>34</v>
      </c>
      <c r="Y692" t="str">
        <f>"77477"</f>
        <v>77477</v>
      </c>
    </row>
    <row r="693" spans="1:25" x14ac:dyDescent="0.25">
      <c r="A693" t="s">
        <v>3234</v>
      </c>
      <c r="B693" t="s">
        <v>3235</v>
      </c>
      <c r="C693">
        <v>2019</v>
      </c>
      <c r="D693">
        <v>8001</v>
      </c>
      <c r="E693">
        <v>2</v>
      </c>
      <c r="F693" t="s">
        <v>3236</v>
      </c>
      <c r="G693">
        <v>0</v>
      </c>
      <c r="J693">
        <v>95.19</v>
      </c>
      <c r="L693">
        <v>43408498</v>
      </c>
      <c r="M693" s="1">
        <v>43861</v>
      </c>
      <c r="N693" t="str">
        <f>"J200131AW3"</f>
        <v>J200131AW3</v>
      </c>
      <c r="O693" t="s">
        <v>28</v>
      </c>
      <c r="Q693" t="s">
        <v>29</v>
      </c>
      <c r="R693" t="s">
        <v>28</v>
      </c>
      <c r="S693" t="s">
        <v>3237</v>
      </c>
      <c r="T693" t="s">
        <v>3238</v>
      </c>
      <c r="U693" t="s">
        <v>60</v>
      </c>
      <c r="V693" t="s">
        <v>60</v>
      </c>
      <c r="W693" t="s">
        <v>376</v>
      </c>
      <c r="X693" t="s">
        <v>34</v>
      </c>
      <c r="Y693" t="str">
        <f>"774776243   "</f>
        <v xml:space="preserve">774776243   </v>
      </c>
    </row>
    <row r="694" spans="1:25" x14ac:dyDescent="0.25">
      <c r="A694" t="s">
        <v>3239</v>
      </c>
      <c r="B694" t="s">
        <v>3240</v>
      </c>
      <c r="C694">
        <v>2019</v>
      </c>
      <c r="D694">
        <v>8001</v>
      </c>
      <c r="E694">
        <v>1</v>
      </c>
      <c r="F694" t="s">
        <v>3241</v>
      </c>
      <c r="G694">
        <v>28305677</v>
      </c>
      <c r="J694">
        <v>42.14</v>
      </c>
      <c r="L694">
        <v>43875732</v>
      </c>
      <c r="M694" s="1">
        <v>43894</v>
      </c>
      <c r="N694" t="str">
        <f>"EK200304"</f>
        <v>EK200304</v>
      </c>
      <c r="O694" t="s">
        <v>28</v>
      </c>
      <c r="Q694" t="s">
        <v>29</v>
      </c>
      <c r="R694" t="s">
        <v>28</v>
      </c>
      <c r="S694" t="s">
        <v>3242</v>
      </c>
      <c r="T694" t="s">
        <v>3243</v>
      </c>
      <c r="W694" t="s">
        <v>371</v>
      </c>
      <c r="X694" t="s">
        <v>34</v>
      </c>
      <c r="Y694" t="str">
        <f>"77477"</f>
        <v>77477</v>
      </c>
    </row>
    <row r="695" spans="1:25" x14ac:dyDescent="0.25">
      <c r="A695" t="s">
        <v>3244</v>
      </c>
      <c r="B695" t="s">
        <v>3245</v>
      </c>
      <c r="C695">
        <v>2021</v>
      </c>
      <c r="D695">
        <v>8001</v>
      </c>
      <c r="E695">
        <v>2</v>
      </c>
      <c r="F695" t="s">
        <v>3246</v>
      </c>
      <c r="G695">
        <v>23501380</v>
      </c>
      <c r="J695">
        <v>18.39</v>
      </c>
      <c r="L695">
        <v>49977640</v>
      </c>
      <c r="M695" s="1">
        <v>44595</v>
      </c>
      <c r="N695" t="str">
        <f>"O220203F1"</f>
        <v>O220203F1</v>
      </c>
      <c r="O695" t="s">
        <v>28</v>
      </c>
      <c r="Q695" t="s">
        <v>29</v>
      </c>
      <c r="R695" t="s">
        <v>28</v>
      </c>
      <c r="S695" t="s">
        <v>3247</v>
      </c>
      <c r="T695" t="s">
        <v>3248</v>
      </c>
      <c r="W695" t="s">
        <v>154</v>
      </c>
      <c r="X695" t="s">
        <v>34</v>
      </c>
      <c r="Y695" t="str">
        <f>"774712414"</f>
        <v>774712414</v>
      </c>
    </row>
    <row r="696" spans="1:25" x14ac:dyDescent="0.25">
      <c r="A696" t="s">
        <v>3249</v>
      </c>
      <c r="B696" t="s">
        <v>3250</v>
      </c>
      <c r="C696">
        <v>2020</v>
      </c>
      <c r="D696">
        <v>8001</v>
      </c>
      <c r="E696">
        <v>1</v>
      </c>
      <c r="F696" t="s">
        <v>3251</v>
      </c>
      <c r="G696">
        <v>0</v>
      </c>
      <c r="J696">
        <v>41.39</v>
      </c>
      <c r="L696">
        <v>46880572</v>
      </c>
      <c r="M696" s="1">
        <v>44236</v>
      </c>
      <c r="N696" t="str">
        <f>"J210209K5"</f>
        <v>J210209K5</v>
      </c>
      <c r="O696" t="s">
        <v>28</v>
      </c>
      <c r="Q696" t="s">
        <v>29</v>
      </c>
      <c r="R696" t="s">
        <v>28</v>
      </c>
      <c r="S696" t="s">
        <v>3251</v>
      </c>
      <c r="T696" t="s">
        <v>3252</v>
      </c>
      <c r="U696" t="s">
        <v>60</v>
      </c>
      <c r="V696" t="s">
        <v>60</v>
      </c>
      <c r="W696" t="s">
        <v>214</v>
      </c>
      <c r="X696" t="s">
        <v>34</v>
      </c>
      <c r="Y696" t="str">
        <f>"774062524   "</f>
        <v xml:space="preserve">774062524   </v>
      </c>
    </row>
    <row r="697" spans="1:25" x14ac:dyDescent="0.25">
      <c r="A697" t="s">
        <v>3253</v>
      </c>
      <c r="B697" t="s">
        <v>3254</v>
      </c>
      <c r="C697">
        <v>2020</v>
      </c>
      <c r="D697">
        <v>8001</v>
      </c>
      <c r="E697">
        <v>1</v>
      </c>
      <c r="F697" t="s">
        <v>3255</v>
      </c>
      <c r="G697">
        <v>29025185</v>
      </c>
      <c r="J697">
        <v>83.42</v>
      </c>
      <c r="L697">
        <v>45651716</v>
      </c>
      <c r="M697" s="1">
        <v>44200</v>
      </c>
      <c r="N697" t="str">
        <f>"O210104M1"</f>
        <v>O210104M1</v>
      </c>
      <c r="O697" t="s">
        <v>28</v>
      </c>
      <c r="Q697" t="s">
        <v>29</v>
      </c>
      <c r="R697" t="s">
        <v>28</v>
      </c>
      <c r="S697" t="s">
        <v>3256</v>
      </c>
      <c r="T697" t="s">
        <v>3257</v>
      </c>
      <c r="W697" t="s">
        <v>154</v>
      </c>
      <c r="X697" t="s">
        <v>34</v>
      </c>
      <c r="Y697" t="str">
        <f>"774714830"</f>
        <v>774714830</v>
      </c>
    </row>
    <row r="698" spans="1:25" x14ac:dyDescent="0.25">
      <c r="A698" t="s">
        <v>3258</v>
      </c>
      <c r="B698" t="s">
        <v>3259</v>
      </c>
      <c r="C698">
        <v>2020</v>
      </c>
      <c r="D698">
        <v>8001</v>
      </c>
      <c r="E698">
        <v>1</v>
      </c>
      <c r="F698" t="s">
        <v>3260</v>
      </c>
      <c r="G698">
        <v>0</v>
      </c>
      <c r="J698">
        <v>90.56</v>
      </c>
      <c r="L698">
        <v>45975197</v>
      </c>
      <c r="M698" s="1">
        <v>44210</v>
      </c>
      <c r="N698" t="str">
        <f>"L210114"</f>
        <v>L210114</v>
      </c>
      <c r="O698" t="s">
        <v>28</v>
      </c>
      <c r="Q698" t="s">
        <v>29</v>
      </c>
      <c r="R698" t="s">
        <v>28</v>
      </c>
      <c r="S698" t="s">
        <v>3260</v>
      </c>
      <c r="T698" t="s">
        <v>3261</v>
      </c>
      <c r="U698" t="s">
        <v>60</v>
      </c>
      <c r="V698" t="s">
        <v>60</v>
      </c>
      <c r="W698" t="s">
        <v>649</v>
      </c>
      <c r="X698" t="s">
        <v>34</v>
      </c>
      <c r="Y698" t="str">
        <f>"774714849   "</f>
        <v xml:space="preserve">774714849   </v>
      </c>
    </row>
    <row r="699" spans="1:25" x14ac:dyDescent="0.25">
      <c r="A699" t="s">
        <v>3262</v>
      </c>
      <c r="B699" t="s">
        <v>3263</v>
      </c>
      <c r="C699">
        <v>2019</v>
      </c>
      <c r="D699">
        <v>8001</v>
      </c>
      <c r="E699">
        <v>3</v>
      </c>
      <c r="F699" t="s">
        <v>3264</v>
      </c>
      <c r="G699">
        <v>0</v>
      </c>
      <c r="J699">
        <v>372.78</v>
      </c>
      <c r="L699">
        <v>43707844</v>
      </c>
      <c r="M699" s="1">
        <v>43872</v>
      </c>
      <c r="N699" t="str">
        <f>"J200211AW9"</f>
        <v>J200211AW9</v>
      </c>
      <c r="O699" t="s">
        <v>28</v>
      </c>
      <c r="Q699" t="s">
        <v>29</v>
      </c>
      <c r="R699" t="s">
        <v>28</v>
      </c>
      <c r="S699" t="s">
        <v>3264</v>
      </c>
      <c r="T699" t="s">
        <v>3265</v>
      </c>
      <c r="U699" t="s">
        <v>60</v>
      </c>
      <c r="V699" t="s">
        <v>60</v>
      </c>
      <c r="W699" t="s">
        <v>649</v>
      </c>
      <c r="X699" t="s">
        <v>34</v>
      </c>
      <c r="Y699" t="str">
        <f>"774719167   "</f>
        <v xml:space="preserve">774719167   </v>
      </c>
    </row>
    <row r="700" spans="1:25" x14ac:dyDescent="0.25">
      <c r="A700" t="s">
        <v>3266</v>
      </c>
      <c r="B700" t="s">
        <v>3267</v>
      </c>
      <c r="C700">
        <v>2020</v>
      </c>
      <c r="D700">
        <v>8001</v>
      </c>
      <c r="E700">
        <v>1</v>
      </c>
      <c r="F700" t="s">
        <v>3268</v>
      </c>
      <c r="G700">
        <v>29576645</v>
      </c>
      <c r="J700">
        <v>24.27</v>
      </c>
      <c r="L700">
        <v>46673432</v>
      </c>
      <c r="M700" s="1">
        <v>44229</v>
      </c>
      <c r="N700" t="str">
        <f>"RC210301"</f>
        <v>RC210301</v>
      </c>
      <c r="O700" t="s">
        <v>28</v>
      </c>
      <c r="Q700" t="s">
        <v>29</v>
      </c>
      <c r="R700" t="s">
        <v>28</v>
      </c>
      <c r="S700" t="s">
        <v>3269</v>
      </c>
      <c r="T700" t="s">
        <v>3270</v>
      </c>
      <c r="U700" t="s">
        <v>3271</v>
      </c>
      <c r="W700" t="s">
        <v>3272</v>
      </c>
      <c r="X700" t="s">
        <v>34</v>
      </c>
      <c r="Y700" t="str">
        <f>"787303593"</f>
        <v>787303593</v>
      </c>
    </row>
    <row r="701" spans="1:25" x14ac:dyDescent="0.25">
      <c r="A701" t="s">
        <v>3273</v>
      </c>
      <c r="B701" t="s">
        <v>3274</v>
      </c>
      <c r="C701">
        <v>2019</v>
      </c>
      <c r="D701">
        <v>8001</v>
      </c>
      <c r="E701">
        <v>1</v>
      </c>
      <c r="F701" t="s">
        <v>3275</v>
      </c>
      <c r="G701">
        <v>0</v>
      </c>
      <c r="J701">
        <v>7.24</v>
      </c>
      <c r="L701">
        <v>43566669</v>
      </c>
      <c r="M701" s="1">
        <v>43865</v>
      </c>
      <c r="N701" t="str">
        <f>"L200204"</f>
        <v>L200204</v>
      </c>
      <c r="O701" t="s">
        <v>28</v>
      </c>
      <c r="Q701" t="s">
        <v>29</v>
      </c>
      <c r="R701" t="s">
        <v>28</v>
      </c>
      <c r="S701" t="s">
        <v>3275</v>
      </c>
      <c r="T701" t="s">
        <v>3276</v>
      </c>
      <c r="U701" t="s">
        <v>60</v>
      </c>
      <c r="V701" t="s">
        <v>60</v>
      </c>
      <c r="W701" t="s">
        <v>1333</v>
      </c>
      <c r="X701" t="s">
        <v>34</v>
      </c>
      <c r="Y701" t="str">
        <f>"774895308   "</f>
        <v xml:space="preserve">774895308   </v>
      </c>
    </row>
    <row r="702" spans="1:25" x14ac:dyDescent="0.25">
      <c r="A702" t="s">
        <v>3277</v>
      </c>
      <c r="B702" t="s">
        <v>3278</v>
      </c>
      <c r="C702">
        <v>2021</v>
      </c>
      <c r="D702">
        <v>8001</v>
      </c>
      <c r="E702">
        <v>2</v>
      </c>
      <c r="F702" t="s">
        <v>3279</v>
      </c>
      <c r="G702">
        <v>30951695</v>
      </c>
      <c r="J702">
        <v>126.07</v>
      </c>
      <c r="L702">
        <v>50012433</v>
      </c>
      <c r="M702" s="1">
        <v>44596</v>
      </c>
      <c r="N702" t="str">
        <f>"CC220204"</f>
        <v>CC220204</v>
      </c>
      <c r="O702" t="s">
        <v>28</v>
      </c>
      <c r="Q702" t="s">
        <v>29</v>
      </c>
      <c r="R702" t="s">
        <v>28</v>
      </c>
      <c r="S702" t="s">
        <v>3280</v>
      </c>
      <c r="T702" t="s">
        <v>3281</v>
      </c>
      <c r="W702" t="s">
        <v>1160</v>
      </c>
      <c r="X702" t="s">
        <v>34</v>
      </c>
      <c r="Y702" t="str">
        <f>"77545"</f>
        <v>77545</v>
      </c>
    </row>
    <row r="703" spans="1:25" x14ac:dyDescent="0.25">
      <c r="A703" t="s">
        <v>3282</v>
      </c>
      <c r="B703" t="s">
        <v>3283</v>
      </c>
      <c r="C703">
        <v>2020</v>
      </c>
      <c r="D703">
        <v>8001</v>
      </c>
      <c r="E703">
        <v>1</v>
      </c>
      <c r="F703" t="s">
        <v>3284</v>
      </c>
      <c r="G703">
        <v>28721693</v>
      </c>
      <c r="J703">
        <v>7.88</v>
      </c>
      <c r="L703">
        <v>45295644</v>
      </c>
      <c r="M703" s="1">
        <v>44181</v>
      </c>
      <c r="N703" t="str">
        <f>"RC210107"</f>
        <v>RC210107</v>
      </c>
      <c r="O703" t="s">
        <v>28</v>
      </c>
      <c r="Q703" t="s">
        <v>29</v>
      </c>
      <c r="R703" t="s">
        <v>28</v>
      </c>
      <c r="S703" t="s">
        <v>3285</v>
      </c>
      <c r="T703" t="s">
        <v>3286</v>
      </c>
      <c r="U703" t="s">
        <v>3287</v>
      </c>
      <c r="W703" t="s">
        <v>40</v>
      </c>
      <c r="X703" t="s">
        <v>34</v>
      </c>
      <c r="Y703" t="str">
        <f>"774783683"</f>
        <v>774783683</v>
      </c>
    </row>
    <row r="704" spans="1:25" x14ac:dyDescent="0.25">
      <c r="A704" t="s">
        <v>3288</v>
      </c>
      <c r="B704" t="s">
        <v>3289</v>
      </c>
      <c r="C704">
        <v>2020</v>
      </c>
      <c r="D704">
        <v>8001</v>
      </c>
      <c r="E704">
        <v>2</v>
      </c>
      <c r="F704" t="s">
        <v>2452</v>
      </c>
      <c r="G704">
        <v>24463478</v>
      </c>
      <c r="J704">
        <v>122.93</v>
      </c>
      <c r="L704">
        <v>47291021</v>
      </c>
      <c r="M704" s="1">
        <v>44300</v>
      </c>
      <c r="N704" t="str">
        <f>"O210414F1"</f>
        <v>O210414F1</v>
      </c>
      <c r="O704" t="s">
        <v>28</v>
      </c>
      <c r="Q704" t="s">
        <v>29</v>
      </c>
      <c r="R704" t="s">
        <v>28</v>
      </c>
      <c r="S704" t="s">
        <v>2453</v>
      </c>
      <c r="T704" t="s">
        <v>2454</v>
      </c>
      <c r="W704" t="s">
        <v>2455</v>
      </c>
      <c r="X704" t="s">
        <v>900</v>
      </c>
      <c r="Y704" t="str">
        <f>"605631198"</f>
        <v>605631198</v>
      </c>
    </row>
    <row r="705" spans="1:25" x14ac:dyDescent="0.25">
      <c r="A705" t="s">
        <v>3290</v>
      </c>
      <c r="B705" t="s">
        <v>3291</v>
      </c>
      <c r="C705">
        <v>2019</v>
      </c>
      <c r="D705">
        <v>8001</v>
      </c>
      <c r="E705">
        <v>1</v>
      </c>
      <c r="F705" t="s">
        <v>3292</v>
      </c>
      <c r="G705">
        <v>25454703</v>
      </c>
      <c r="J705">
        <v>6.15</v>
      </c>
      <c r="L705">
        <v>43798969</v>
      </c>
      <c r="M705" s="1">
        <v>43888</v>
      </c>
      <c r="N705" t="str">
        <f>"QP200227"</f>
        <v>QP200227</v>
      </c>
      <c r="O705" t="s">
        <v>28</v>
      </c>
      <c r="Q705" t="s">
        <v>29</v>
      </c>
      <c r="R705" t="s">
        <v>28</v>
      </c>
      <c r="S705" t="s">
        <v>3293</v>
      </c>
      <c r="T705" t="s">
        <v>3294</v>
      </c>
      <c r="W705" t="s">
        <v>1160</v>
      </c>
      <c r="X705" t="s">
        <v>34</v>
      </c>
      <c r="Y705" t="str">
        <f>"775459631"</f>
        <v>775459631</v>
      </c>
    </row>
    <row r="706" spans="1:25" x14ac:dyDescent="0.25">
      <c r="A706" t="s">
        <v>3295</v>
      </c>
      <c r="B706" t="s">
        <v>3296</v>
      </c>
      <c r="C706">
        <v>2021</v>
      </c>
      <c r="D706">
        <v>8001</v>
      </c>
      <c r="E706">
        <v>3</v>
      </c>
      <c r="F706" t="s">
        <v>3297</v>
      </c>
      <c r="G706">
        <v>28034159</v>
      </c>
      <c r="J706">
        <v>14.92</v>
      </c>
      <c r="L706">
        <v>49646136</v>
      </c>
      <c r="M706" s="1">
        <v>44589</v>
      </c>
      <c r="N706" t="str">
        <f>"O220128AF7"</f>
        <v>O220128AF7</v>
      </c>
      <c r="O706" t="s">
        <v>28</v>
      </c>
      <c r="Q706" t="s">
        <v>29</v>
      </c>
      <c r="R706" t="s">
        <v>28</v>
      </c>
      <c r="S706" t="s">
        <v>3298</v>
      </c>
      <c r="T706" t="s">
        <v>3299</v>
      </c>
      <c r="W706" t="s">
        <v>1160</v>
      </c>
      <c r="X706" t="s">
        <v>34</v>
      </c>
      <c r="Y706" t="str">
        <f>"775452093"</f>
        <v>775452093</v>
      </c>
    </row>
    <row r="707" spans="1:25" x14ac:dyDescent="0.25">
      <c r="A707" t="s">
        <v>3300</v>
      </c>
      <c r="B707" t="s">
        <v>3301</v>
      </c>
      <c r="C707">
        <v>2020</v>
      </c>
      <c r="D707">
        <v>8001</v>
      </c>
      <c r="E707">
        <v>1</v>
      </c>
      <c r="F707" t="s">
        <v>3302</v>
      </c>
      <c r="G707">
        <v>29604580</v>
      </c>
      <c r="J707">
        <v>10.83</v>
      </c>
      <c r="L707">
        <v>47034762</v>
      </c>
      <c r="M707" s="1">
        <v>44259</v>
      </c>
      <c r="N707" t="str">
        <f>"CC210304"</f>
        <v>CC210304</v>
      </c>
      <c r="O707" t="s">
        <v>28</v>
      </c>
      <c r="Q707" t="s">
        <v>29</v>
      </c>
      <c r="R707" t="s">
        <v>28</v>
      </c>
      <c r="S707" t="s">
        <v>3303</v>
      </c>
      <c r="T707" t="s">
        <v>3304</v>
      </c>
      <c r="W707" t="s">
        <v>75</v>
      </c>
      <c r="X707" t="s">
        <v>34</v>
      </c>
      <c r="Y707" t="str">
        <f>"77075"</f>
        <v>77075</v>
      </c>
    </row>
    <row r="708" spans="1:25" x14ac:dyDescent="0.25">
      <c r="A708" t="s">
        <v>3305</v>
      </c>
      <c r="B708" t="s">
        <v>3306</v>
      </c>
      <c r="C708">
        <v>2018</v>
      </c>
      <c r="D708">
        <v>8001</v>
      </c>
      <c r="E708">
        <v>2</v>
      </c>
      <c r="F708" t="s">
        <v>3307</v>
      </c>
      <c r="G708">
        <v>26243303</v>
      </c>
      <c r="J708" s="2">
        <v>1357.69</v>
      </c>
      <c r="L708">
        <v>41381074</v>
      </c>
      <c r="M708" s="1">
        <v>43651</v>
      </c>
      <c r="N708" t="str">
        <f>"J190705K5"</f>
        <v>J190705K5</v>
      </c>
      <c r="O708" t="s">
        <v>28</v>
      </c>
      <c r="Q708" t="s">
        <v>29</v>
      </c>
      <c r="R708" t="s">
        <v>28</v>
      </c>
      <c r="S708" t="s">
        <v>79</v>
      </c>
      <c r="T708" t="s">
        <v>203</v>
      </c>
      <c r="U708" t="s">
        <v>3308</v>
      </c>
      <c r="W708" t="s">
        <v>392</v>
      </c>
      <c r="X708" t="s">
        <v>34</v>
      </c>
      <c r="Y708" t="str">
        <f>"77459"</f>
        <v>77459</v>
      </c>
    </row>
    <row r="709" spans="1:25" x14ac:dyDescent="0.25">
      <c r="A709" t="s">
        <v>3309</v>
      </c>
      <c r="B709" t="s">
        <v>3310</v>
      </c>
      <c r="C709">
        <v>2020</v>
      </c>
      <c r="D709">
        <v>8001</v>
      </c>
      <c r="E709">
        <v>1</v>
      </c>
      <c r="F709" t="s">
        <v>3311</v>
      </c>
      <c r="G709">
        <v>28798071</v>
      </c>
      <c r="J709">
        <v>40.049999999999997</v>
      </c>
      <c r="L709">
        <v>45200321</v>
      </c>
      <c r="M709" s="1">
        <v>44175</v>
      </c>
      <c r="N709" t="str">
        <f>"RC201217"</f>
        <v>RC201217</v>
      </c>
      <c r="O709" t="s">
        <v>28</v>
      </c>
      <c r="Q709" t="s">
        <v>29</v>
      </c>
      <c r="R709" t="s">
        <v>28</v>
      </c>
      <c r="S709" t="s">
        <v>2995</v>
      </c>
      <c r="T709" t="s">
        <v>203</v>
      </c>
      <c r="U709" t="s">
        <v>2997</v>
      </c>
      <c r="W709" t="s">
        <v>75</v>
      </c>
      <c r="X709" t="s">
        <v>34</v>
      </c>
      <c r="Y709" t="str">
        <f>"770563204"</f>
        <v>770563204</v>
      </c>
    </row>
    <row r="710" spans="1:25" x14ac:dyDescent="0.25">
      <c r="A710" t="s">
        <v>3312</v>
      </c>
      <c r="B710" t="s">
        <v>3313</v>
      </c>
      <c r="C710">
        <v>2020</v>
      </c>
      <c r="D710">
        <v>8001</v>
      </c>
      <c r="E710">
        <v>2</v>
      </c>
      <c r="F710" t="s">
        <v>3314</v>
      </c>
      <c r="G710">
        <v>28692840</v>
      </c>
      <c r="J710">
        <v>32.42</v>
      </c>
      <c r="L710">
        <v>47267086</v>
      </c>
      <c r="M710" s="1">
        <v>44294</v>
      </c>
      <c r="N710" t="str">
        <f>"RC210414"</f>
        <v>RC210414</v>
      </c>
      <c r="O710" t="s">
        <v>28</v>
      </c>
      <c r="Q710" t="s">
        <v>29</v>
      </c>
      <c r="R710" t="s">
        <v>28</v>
      </c>
      <c r="S710" t="s">
        <v>1019</v>
      </c>
      <c r="T710" t="s">
        <v>562</v>
      </c>
      <c r="W710" t="s">
        <v>563</v>
      </c>
      <c r="X710" t="s">
        <v>34</v>
      </c>
      <c r="Y710" t="str">
        <f>"750630156"</f>
        <v>750630156</v>
      </c>
    </row>
    <row r="711" spans="1:25" x14ac:dyDescent="0.25">
      <c r="A711" t="s">
        <v>3315</v>
      </c>
      <c r="B711" t="s">
        <v>3316</v>
      </c>
      <c r="C711">
        <v>2021</v>
      </c>
      <c r="D711">
        <v>8001</v>
      </c>
      <c r="E711">
        <v>1</v>
      </c>
      <c r="F711" t="s">
        <v>3317</v>
      </c>
      <c r="G711">
        <v>26962220</v>
      </c>
      <c r="J711">
        <v>156.96</v>
      </c>
      <c r="L711">
        <v>50135488</v>
      </c>
      <c r="M711" s="1">
        <v>44602</v>
      </c>
      <c r="N711" t="str">
        <f>"RC220314"</f>
        <v>RC220314</v>
      </c>
      <c r="O711" t="s">
        <v>28</v>
      </c>
      <c r="Q711" t="s">
        <v>29</v>
      </c>
      <c r="R711" t="s">
        <v>28</v>
      </c>
      <c r="S711" t="s">
        <v>561</v>
      </c>
      <c r="T711" t="s">
        <v>1015</v>
      </c>
      <c r="W711" t="s">
        <v>563</v>
      </c>
      <c r="X711" t="s">
        <v>34</v>
      </c>
      <c r="Y711" t="str">
        <f>"750630156"</f>
        <v>750630156</v>
      </c>
    </row>
    <row r="712" spans="1:25" x14ac:dyDescent="0.25">
      <c r="A712" t="s">
        <v>3318</v>
      </c>
      <c r="B712" t="s">
        <v>3319</v>
      </c>
      <c r="C712">
        <v>2021</v>
      </c>
      <c r="D712">
        <v>8001</v>
      </c>
      <c r="E712">
        <v>1</v>
      </c>
      <c r="F712" t="s">
        <v>3320</v>
      </c>
      <c r="G712">
        <v>27993803</v>
      </c>
      <c r="J712">
        <v>18.09</v>
      </c>
      <c r="L712">
        <v>47784505</v>
      </c>
      <c r="M712" s="1">
        <v>44516</v>
      </c>
      <c r="N712" t="str">
        <f>"TE211116"</f>
        <v>TE211116</v>
      </c>
      <c r="O712" t="s">
        <v>28</v>
      </c>
      <c r="Q712" t="s">
        <v>29</v>
      </c>
      <c r="R712" t="s">
        <v>28</v>
      </c>
      <c r="S712" t="s">
        <v>3321</v>
      </c>
      <c r="T712" t="s">
        <v>3322</v>
      </c>
      <c r="W712" t="s">
        <v>40</v>
      </c>
      <c r="X712" t="s">
        <v>34</v>
      </c>
      <c r="Y712" t="str">
        <f>"77478"</f>
        <v>77478</v>
      </c>
    </row>
    <row r="713" spans="1:25" x14ac:dyDescent="0.25">
      <c r="A713" t="s">
        <v>3323</v>
      </c>
      <c r="B713" t="s">
        <v>3324</v>
      </c>
      <c r="C713">
        <v>2020</v>
      </c>
      <c r="D713">
        <v>8001</v>
      </c>
      <c r="E713">
        <v>5</v>
      </c>
      <c r="F713" t="s">
        <v>3325</v>
      </c>
      <c r="G713">
        <v>20806654</v>
      </c>
      <c r="J713">
        <v>339.87</v>
      </c>
      <c r="L713">
        <v>47779165</v>
      </c>
      <c r="M713" s="1">
        <v>44474</v>
      </c>
      <c r="N713" t="str">
        <f>"RC211018"</f>
        <v>RC211018</v>
      </c>
      <c r="O713" t="s">
        <v>28</v>
      </c>
      <c r="Q713" t="s">
        <v>29</v>
      </c>
      <c r="R713" t="s">
        <v>28</v>
      </c>
      <c r="S713" t="s">
        <v>3326</v>
      </c>
      <c r="T713" t="s">
        <v>3327</v>
      </c>
      <c r="W713" t="s">
        <v>371</v>
      </c>
      <c r="X713" t="s">
        <v>34</v>
      </c>
      <c r="Y713" t="str">
        <f>"774774801"</f>
        <v>774774801</v>
      </c>
    </row>
    <row r="714" spans="1:25" x14ac:dyDescent="0.25">
      <c r="A714" t="s">
        <v>3328</v>
      </c>
      <c r="B714" t="s">
        <v>3329</v>
      </c>
      <c r="C714">
        <v>2021</v>
      </c>
      <c r="D714">
        <v>8001</v>
      </c>
      <c r="E714">
        <v>1</v>
      </c>
      <c r="F714" t="s">
        <v>3330</v>
      </c>
      <c r="G714">
        <v>31094713</v>
      </c>
      <c r="J714">
        <v>227.27</v>
      </c>
      <c r="L714">
        <v>49935230</v>
      </c>
      <c r="M714" s="1">
        <v>44594</v>
      </c>
      <c r="N714" t="str">
        <f>"RC220303"</f>
        <v>RC220303</v>
      </c>
      <c r="O714" t="s">
        <v>28</v>
      </c>
      <c r="Q714" t="s">
        <v>29</v>
      </c>
      <c r="R714" t="s">
        <v>28</v>
      </c>
      <c r="S714" t="s">
        <v>30</v>
      </c>
      <c r="T714" t="s">
        <v>3331</v>
      </c>
      <c r="U714" t="s">
        <v>3332</v>
      </c>
      <c r="W714" t="s">
        <v>40</v>
      </c>
      <c r="X714" t="s">
        <v>34</v>
      </c>
      <c r="Y714" t="str">
        <f>"774784390"</f>
        <v>774784390</v>
      </c>
    </row>
    <row r="715" spans="1:25" x14ac:dyDescent="0.25">
      <c r="A715" t="s">
        <v>3333</v>
      </c>
      <c r="B715" t="s">
        <v>3334</v>
      </c>
      <c r="C715">
        <v>2019</v>
      </c>
      <c r="D715">
        <v>8001</v>
      </c>
      <c r="E715">
        <v>1</v>
      </c>
      <c r="F715" t="s">
        <v>3335</v>
      </c>
      <c r="G715">
        <v>22263977</v>
      </c>
      <c r="J715">
        <v>149.54</v>
      </c>
      <c r="L715">
        <v>44050091</v>
      </c>
      <c r="M715" s="1">
        <v>43930</v>
      </c>
      <c r="N715" t="str">
        <f>"RC200414"</f>
        <v>RC200414</v>
      </c>
      <c r="O715" t="s">
        <v>28</v>
      </c>
      <c r="Q715" t="s">
        <v>29</v>
      </c>
      <c r="R715" t="s">
        <v>28</v>
      </c>
      <c r="S715" t="s">
        <v>2995</v>
      </c>
      <c r="T715" t="s">
        <v>2997</v>
      </c>
      <c r="W715" t="s">
        <v>75</v>
      </c>
      <c r="X715" t="s">
        <v>34</v>
      </c>
      <c r="Y715" t="str">
        <f>"77056"</f>
        <v>77056</v>
      </c>
    </row>
    <row r="716" spans="1:25" x14ac:dyDescent="0.25">
      <c r="A716" t="s">
        <v>3336</v>
      </c>
      <c r="B716" t="s">
        <v>3337</v>
      </c>
      <c r="C716">
        <v>2019</v>
      </c>
      <c r="D716">
        <v>8001</v>
      </c>
      <c r="E716">
        <v>1</v>
      </c>
      <c r="F716" t="s">
        <v>3338</v>
      </c>
      <c r="G716">
        <v>0</v>
      </c>
      <c r="J716">
        <v>283.14999999999998</v>
      </c>
      <c r="L716">
        <v>42916323</v>
      </c>
      <c r="M716" s="1">
        <v>43845</v>
      </c>
      <c r="N716" t="str">
        <f>"L200115"</f>
        <v>L200115</v>
      </c>
      <c r="O716" t="s">
        <v>28</v>
      </c>
      <c r="Q716" t="s">
        <v>29</v>
      </c>
      <c r="R716" t="s">
        <v>28</v>
      </c>
      <c r="S716" t="s">
        <v>3338</v>
      </c>
      <c r="T716" t="s">
        <v>3339</v>
      </c>
      <c r="U716" t="s">
        <v>60</v>
      </c>
      <c r="V716" t="s">
        <v>60</v>
      </c>
      <c r="W716" t="s">
        <v>649</v>
      </c>
      <c r="X716" t="s">
        <v>34</v>
      </c>
      <c r="Y716" t="str">
        <f>"774712255   "</f>
        <v xml:space="preserve">774712255   </v>
      </c>
    </row>
    <row r="717" spans="1:25" x14ac:dyDescent="0.25">
      <c r="A717" t="s">
        <v>3340</v>
      </c>
      <c r="B717" t="s">
        <v>3341</v>
      </c>
      <c r="C717">
        <v>2021</v>
      </c>
      <c r="D717">
        <v>8001</v>
      </c>
      <c r="E717">
        <v>1</v>
      </c>
      <c r="F717" t="s">
        <v>3342</v>
      </c>
      <c r="G717">
        <v>0</v>
      </c>
      <c r="J717">
        <v>18</v>
      </c>
      <c r="L717">
        <v>49241190</v>
      </c>
      <c r="M717" s="1">
        <v>44579</v>
      </c>
      <c r="N717" t="str">
        <f>"L220118"</f>
        <v>L220118</v>
      </c>
      <c r="O717" t="s">
        <v>28</v>
      </c>
      <c r="Q717" t="s">
        <v>29</v>
      </c>
      <c r="R717" t="s">
        <v>28</v>
      </c>
      <c r="S717" t="s">
        <v>3342</v>
      </c>
      <c r="T717" t="s">
        <v>3343</v>
      </c>
      <c r="U717" t="s">
        <v>60</v>
      </c>
      <c r="V717" t="s">
        <v>60</v>
      </c>
      <c r="W717" t="s">
        <v>219</v>
      </c>
      <c r="X717" t="s">
        <v>34</v>
      </c>
      <c r="Y717" t="str">
        <f>"774792125   "</f>
        <v xml:space="preserve">774792125   </v>
      </c>
    </row>
    <row r="718" spans="1:25" x14ac:dyDescent="0.25">
      <c r="A718" t="s">
        <v>3344</v>
      </c>
      <c r="B718" t="s">
        <v>3345</v>
      </c>
      <c r="C718">
        <v>2020</v>
      </c>
      <c r="D718">
        <v>8001</v>
      </c>
      <c r="E718">
        <v>2</v>
      </c>
      <c r="F718" t="s">
        <v>3346</v>
      </c>
      <c r="G718">
        <v>26518478</v>
      </c>
      <c r="J718">
        <v>77.53</v>
      </c>
      <c r="L718">
        <v>44763902</v>
      </c>
      <c r="M718" s="1">
        <v>44139</v>
      </c>
      <c r="N718" t="str">
        <f>"J201104AE2"</f>
        <v>J201104AE2</v>
      </c>
      <c r="O718" t="s">
        <v>28</v>
      </c>
      <c r="Q718" t="s">
        <v>29</v>
      </c>
      <c r="R718" t="s">
        <v>28</v>
      </c>
      <c r="S718" t="s">
        <v>3285</v>
      </c>
      <c r="T718" t="s">
        <v>3286</v>
      </c>
      <c r="U718" t="s">
        <v>3347</v>
      </c>
      <c r="W718" t="s">
        <v>40</v>
      </c>
      <c r="X718" t="s">
        <v>34</v>
      </c>
      <c r="Y718" t="str">
        <f>"774783683"</f>
        <v>774783683</v>
      </c>
    </row>
    <row r="719" spans="1:25" x14ac:dyDescent="0.25">
      <c r="A719" t="s">
        <v>3348</v>
      </c>
      <c r="B719" t="s">
        <v>3349</v>
      </c>
      <c r="C719">
        <v>2020</v>
      </c>
      <c r="D719">
        <v>8001</v>
      </c>
      <c r="E719">
        <v>1</v>
      </c>
      <c r="F719" t="s">
        <v>3350</v>
      </c>
      <c r="G719">
        <v>29593731</v>
      </c>
      <c r="J719" s="2">
        <v>1479.49</v>
      </c>
      <c r="L719">
        <v>47014693</v>
      </c>
      <c r="M719" s="1">
        <v>44257</v>
      </c>
      <c r="N719" t="str">
        <f>"O210302I9"</f>
        <v>O210302I9</v>
      </c>
      <c r="O719" t="s">
        <v>28</v>
      </c>
      <c r="Q719" t="s">
        <v>29</v>
      </c>
      <c r="R719" t="s">
        <v>28</v>
      </c>
      <c r="S719" t="s">
        <v>3351</v>
      </c>
      <c r="T719" t="s">
        <v>3352</v>
      </c>
      <c r="W719" t="s">
        <v>3353</v>
      </c>
      <c r="X719" t="s">
        <v>463</v>
      </c>
      <c r="Y719" t="str">
        <f>"352830953"</f>
        <v>352830953</v>
      </c>
    </row>
    <row r="720" spans="1:25" x14ac:dyDescent="0.25">
      <c r="A720" t="s">
        <v>3354</v>
      </c>
      <c r="B720" t="s">
        <v>3355</v>
      </c>
      <c r="C720">
        <v>2020</v>
      </c>
      <c r="D720">
        <v>8001</v>
      </c>
      <c r="E720">
        <v>1</v>
      </c>
      <c r="F720" t="s">
        <v>3356</v>
      </c>
      <c r="G720">
        <v>0</v>
      </c>
      <c r="J720">
        <v>90</v>
      </c>
      <c r="L720">
        <v>45607204</v>
      </c>
      <c r="M720" s="1">
        <v>44196</v>
      </c>
      <c r="N720" t="str">
        <f>"L201231"</f>
        <v>L201231</v>
      </c>
      <c r="O720" t="s">
        <v>28</v>
      </c>
      <c r="Q720" t="s">
        <v>29</v>
      </c>
      <c r="R720" t="s">
        <v>28</v>
      </c>
      <c r="S720" t="s">
        <v>3357</v>
      </c>
      <c r="T720" t="s">
        <v>3358</v>
      </c>
      <c r="U720" t="s">
        <v>60</v>
      </c>
      <c r="V720" t="s">
        <v>60</v>
      </c>
      <c r="W720" t="s">
        <v>1333</v>
      </c>
      <c r="X720" t="s">
        <v>34</v>
      </c>
      <c r="Y720" t="str">
        <f>"774591638   "</f>
        <v xml:space="preserve">774591638   </v>
      </c>
    </row>
    <row r="721" spans="1:25" x14ac:dyDescent="0.25">
      <c r="A721" t="s">
        <v>3359</v>
      </c>
      <c r="B721" t="s">
        <v>3360</v>
      </c>
      <c r="C721">
        <v>2021</v>
      </c>
      <c r="D721">
        <v>8001</v>
      </c>
      <c r="E721">
        <v>2</v>
      </c>
      <c r="F721" t="s">
        <v>3361</v>
      </c>
      <c r="G721">
        <v>0</v>
      </c>
      <c r="J721">
        <v>148</v>
      </c>
      <c r="L721">
        <v>50202399</v>
      </c>
      <c r="M721" s="1">
        <v>44614</v>
      </c>
      <c r="N721" t="str">
        <f>"J220222K1"</f>
        <v>J220222K1</v>
      </c>
      <c r="O721" t="s">
        <v>28</v>
      </c>
      <c r="Q721" t="s">
        <v>29</v>
      </c>
      <c r="R721" t="s">
        <v>28</v>
      </c>
      <c r="S721" t="s">
        <v>3361</v>
      </c>
      <c r="T721" t="s">
        <v>3362</v>
      </c>
      <c r="U721" t="s">
        <v>60</v>
      </c>
      <c r="V721" t="s">
        <v>60</v>
      </c>
      <c r="W721" t="s">
        <v>214</v>
      </c>
      <c r="X721" t="s">
        <v>34</v>
      </c>
      <c r="Y721" t="str">
        <f>"774064497   "</f>
        <v xml:space="preserve">774064497   </v>
      </c>
    </row>
    <row r="722" spans="1:25" x14ac:dyDescent="0.25">
      <c r="A722" t="s">
        <v>3363</v>
      </c>
      <c r="B722" t="s">
        <v>3364</v>
      </c>
      <c r="C722">
        <v>2020</v>
      </c>
      <c r="D722">
        <v>8001</v>
      </c>
      <c r="E722">
        <v>1</v>
      </c>
      <c r="F722" t="s">
        <v>3365</v>
      </c>
      <c r="G722">
        <v>28767630</v>
      </c>
      <c r="J722">
        <v>99.08</v>
      </c>
      <c r="L722">
        <v>44840046</v>
      </c>
      <c r="M722" s="1">
        <v>44151</v>
      </c>
      <c r="N722" t="str">
        <f>"T201116U1"</f>
        <v>T201116U1</v>
      </c>
      <c r="O722" t="s">
        <v>28</v>
      </c>
      <c r="Q722" t="s">
        <v>29</v>
      </c>
      <c r="R722" t="s">
        <v>28</v>
      </c>
      <c r="S722" t="s">
        <v>3366</v>
      </c>
      <c r="T722" t="s">
        <v>3367</v>
      </c>
      <c r="W722" t="s">
        <v>3368</v>
      </c>
      <c r="X722" t="s">
        <v>3369</v>
      </c>
      <c r="Y722" t="str">
        <f>"31311"</f>
        <v>31311</v>
      </c>
    </row>
    <row r="723" spans="1:25" x14ac:dyDescent="0.25">
      <c r="A723" t="s">
        <v>3370</v>
      </c>
      <c r="B723" t="s">
        <v>3371</v>
      </c>
      <c r="C723">
        <v>2018</v>
      </c>
      <c r="D723">
        <v>8001</v>
      </c>
      <c r="E723">
        <v>2</v>
      </c>
      <c r="F723" t="s">
        <v>3372</v>
      </c>
      <c r="G723">
        <v>27258716</v>
      </c>
      <c r="J723">
        <v>434.11</v>
      </c>
      <c r="L723">
        <v>41061873</v>
      </c>
      <c r="M723" s="1">
        <v>43558</v>
      </c>
      <c r="N723" t="str">
        <f>"J190403K4"</f>
        <v>J190403K4</v>
      </c>
      <c r="O723" t="s">
        <v>28</v>
      </c>
      <c r="Q723" t="s">
        <v>29</v>
      </c>
      <c r="R723" t="s">
        <v>28</v>
      </c>
      <c r="S723" t="s">
        <v>3373</v>
      </c>
      <c r="T723" t="s">
        <v>3374</v>
      </c>
      <c r="U723" t="s">
        <v>3375</v>
      </c>
      <c r="W723" t="s">
        <v>3376</v>
      </c>
      <c r="X723" t="s">
        <v>34</v>
      </c>
      <c r="Y723" t="str">
        <f>"75070"</f>
        <v>75070</v>
      </c>
    </row>
    <row r="724" spans="1:25" x14ac:dyDescent="0.25">
      <c r="A724" t="s">
        <v>3377</v>
      </c>
      <c r="B724" t="s">
        <v>3378</v>
      </c>
      <c r="C724">
        <v>2019</v>
      </c>
      <c r="D724">
        <v>8001</v>
      </c>
      <c r="E724">
        <v>1</v>
      </c>
      <c r="F724" t="s">
        <v>3379</v>
      </c>
      <c r="G724">
        <v>0</v>
      </c>
      <c r="J724">
        <v>138.41999999999999</v>
      </c>
      <c r="L724">
        <v>42272987</v>
      </c>
      <c r="M724" s="1">
        <v>43815</v>
      </c>
      <c r="N724" t="str">
        <f>"J191216AW18"</f>
        <v>J191216AW18</v>
      </c>
      <c r="O724" t="s">
        <v>28</v>
      </c>
      <c r="Q724" t="s">
        <v>29</v>
      </c>
      <c r="R724" t="s">
        <v>28</v>
      </c>
      <c r="S724" t="s">
        <v>3379</v>
      </c>
      <c r="T724" t="s">
        <v>3380</v>
      </c>
      <c r="U724" t="s">
        <v>60</v>
      </c>
      <c r="V724" t="s">
        <v>60</v>
      </c>
      <c r="W724" t="s">
        <v>214</v>
      </c>
      <c r="X724" t="s">
        <v>34</v>
      </c>
      <c r="Y724" t="str">
        <f>"774064511   "</f>
        <v xml:space="preserve">774064511   </v>
      </c>
    </row>
    <row r="725" spans="1:25" x14ac:dyDescent="0.25">
      <c r="A725" t="s">
        <v>3381</v>
      </c>
      <c r="B725" t="s">
        <v>3382</v>
      </c>
      <c r="C725">
        <v>2019</v>
      </c>
      <c r="D725">
        <v>8001</v>
      </c>
      <c r="E725">
        <v>5</v>
      </c>
      <c r="F725" t="s">
        <v>3383</v>
      </c>
      <c r="G725">
        <v>28449425</v>
      </c>
      <c r="J725">
        <v>386.95</v>
      </c>
      <c r="L725">
        <v>44330903</v>
      </c>
      <c r="M725" s="1">
        <v>44006</v>
      </c>
      <c r="N725" t="str">
        <f>"J200624K2"</f>
        <v>J200624K2</v>
      </c>
      <c r="O725" t="s">
        <v>28</v>
      </c>
      <c r="Q725" t="s">
        <v>29</v>
      </c>
      <c r="R725" t="s">
        <v>28</v>
      </c>
      <c r="S725" t="s">
        <v>2906</v>
      </c>
      <c r="T725" t="s">
        <v>2907</v>
      </c>
      <c r="U725" t="s">
        <v>2908</v>
      </c>
      <c r="V725" t="s">
        <v>2909</v>
      </c>
      <c r="W725" t="s">
        <v>2910</v>
      </c>
      <c r="X725" t="s">
        <v>317</v>
      </c>
      <c r="Y725" t="str">
        <f>"91768"</f>
        <v>91768</v>
      </c>
    </row>
    <row r="726" spans="1:25" x14ac:dyDescent="0.25">
      <c r="A726" t="s">
        <v>3384</v>
      </c>
      <c r="B726" t="s">
        <v>3385</v>
      </c>
      <c r="C726">
        <v>2020</v>
      </c>
      <c r="D726">
        <v>8001</v>
      </c>
      <c r="E726">
        <v>1</v>
      </c>
      <c r="F726" t="s">
        <v>3386</v>
      </c>
      <c r="G726">
        <v>0</v>
      </c>
      <c r="J726">
        <v>360.58</v>
      </c>
      <c r="L726">
        <v>46918026</v>
      </c>
      <c r="M726" s="1">
        <v>44239</v>
      </c>
      <c r="N726" t="str">
        <f>"J210212BW8"</f>
        <v>J210212BW8</v>
      </c>
      <c r="O726" t="s">
        <v>28</v>
      </c>
      <c r="Q726" t="s">
        <v>29</v>
      </c>
      <c r="R726" t="s">
        <v>28</v>
      </c>
      <c r="S726" t="s">
        <v>3387</v>
      </c>
      <c r="T726" t="s">
        <v>3388</v>
      </c>
      <c r="U726" t="s">
        <v>60</v>
      </c>
      <c r="V726" t="s">
        <v>60</v>
      </c>
      <c r="W726" t="s">
        <v>214</v>
      </c>
      <c r="X726" t="s">
        <v>34</v>
      </c>
      <c r="Y726" t="str">
        <f>"774064519   "</f>
        <v xml:space="preserve">774064519   </v>
      </c>
    </row>
    <row r="727" spans="1:25" x14ac:dyDescent="0.25">
      <c r="A727" t="s">
        <v>3389</v>
      </c>
      <c r="B727" t="s">
        <v>3390</v>
      </c>
      <c r="C727">
        <v>2018</v>
      </c>
      <c r="D727">
        <v>8001</v>
      </c>
      <c r="E727">
        <v>1</v>
      </c>
      <c r="F727" t="s">
        <v>3391</v>
      </c>
      <c r="G727">
        <v>27328828</v>
      </c>
      <c r="J727">
        <v>70.89</v>
      </c>
      <c r="L727">
        <v>41063917</v>
      </c>
      <c r="M727" s="1">
        <v>43558</v>
      </c>
      <c r="N727" t="str">
        <f>"CC190403"</f>
        <v>CC190403</v>
      </c>
      <c r="O727" t="s">
        <v>28</v>
      </c>
      <c r="Q727" t="s">
        <v>29</v>
      </c>
      <c r="R727" t="s">
        <v>28</v>
      </c>
      <c r="S727" t="s">
        <v>3392</v>
      </c>
      <c r="T727" t="s">
        <v>3393</v>
      </c>
      <c r="W727" t="s">
        <v>81</v>
      </c>
      <c r="X727" t="s">
        <v>34</v>
      </c>
      <c r="Y727" t="str">
        <f>"77406"</f>
        <v>77406</v>
      </c>
    </row>
    <row r="728" spans="1:25" x14ac:dyDescent="0.25">
      <c r="A728" t="s">
        <v>3394</v>
      </c>
      <c r="B728" t="s">
        <v>3395</v>
      </c>
      <c r="C728">
        <v>2021</v>
      </c>
      <c r="D728">
        <v>8001</v>
      </c>
      <c r="E728">
        <v>1</v>
      </c>
      <c r="F728" t="s">
        <v>3396</v>
      </c>
      <c r="G728">
        <v>30503654</v>
      </c>
      <c r="J728" s="2">
        <v>7232.76</v>
      </c>
      <c r="L728">
        <v>48396377</v>
      </c>
      <c r="M728" s="1">
        <v>44539</v>
      </c>
      <c r="N728" t="str">
        <f>"RC220113"</f>
        <v>RC220113</v>
      </c>
      <c r="O728" t="s">
        <v>28</v>
      </c>
      <c r="Q728" t="s">
        <v>29</v>
      </c>
      <c r="R728" t="s">
        <v>28</v>
      </c>
      <c r="S728" t="s">
        <v>3397</v>
      </c>
      <c r="T728" t="s">
        <v>203</v>
      </c>
      <c r="U728" t="s">
        <v>3398</v>
      </c>
      <c r="W728" t="s">
        <v>33</v>
      </c>
      <c r="X728" t="s">
        <v>34</v>
      </c>
      <c r="Y728" t="str">
        <f>"750246093"</f>
        <v>750246093</v>
      </c>
    </row>
    <row r="729" spans="1:25" x14ac:dyDescent="0.25">
      <c r="A729" t="s">
        <v>3399</v>
      </c>
      <c r="B729" t="s">
        <v>3400</v>
      </c>
      <c r="C729">
        <v>2020</v>
      </c>
      <c r="D729">
        <v>8001</v>
      </c>
      <c r="E729">
        <v>2</v>
      </c>
      <c r="F729" t="s">
        <v>3401</v>
      </c>
      <c r="G729">
        <v>28745861</v>
      </c>
      <c r="J729">
        <v>47.66</v>
      </c>
      <c r="L729">
        <v>44761984</v>
      </c>
      <c r="M729" s="1">
        <v>44139</v>
      </c>
      <c r="N729" t="str">
        <f>"CC501104"</f>
        <v>CC501104</v>
      </c>
      <c r="O729" t="s">
        <v>28</v>
      </c>
      <c r="Q729" t="s">
        <v>29</v>
      </c>
      <c r="R729" t="s">
        <v>28</v>
      </c>
      <c r="S729" t="s">
        <v>3402</v>
      </c>
      <c r="T729" t="s">
        <v>3403</v>
      </c>
      <c r="W729" t="s">
        <v>81</v>
      </c>
      <c r="X729" t="s">
        <v>34</v>
      </c>
      <c r="Y729" t="str">
        <f>"77406"</f>
        <v>77406</v>
      </c>
    </row>
    <row r="730" spans="1:25" x14ac:dyDescent="0.25">
      <c r="A730" t="s">
        <v>3404</v>
      </c>
      <c r="B730" t="s">
        <v>3405</v>
      </c>
      <c r="C730">
        <v>2021</v>
      </c>
      <c r="D730">
        <v>8001</v>
      </c>
      <c r="E730">
        <v>1</v>
      </c>
      <c r="F730" t="s">
        <v>3406</v>
      </c>
      <c r="G730">
        <v>30995761</v>
      </c>
      <c r="J730">
        <v>564.27</v>
      </c>
      <c r="L730">
        <v>48906687</v>
      </c>
      <c r="M730" s="1">
        <v>44565</v>
      </c>
      <c r="N730" t="str">
        <f>"RC220208"</f>
        <v>RC220208</v>
      </c>
      <c r="O730" t="s">
        <v>28</v>
      </c>
      <c r="Q730" t="s">
        <v>29</v>
      </c>
      <c r="R730" t="s">
        <v>28</v>
      </c>
      <c r="S730" t="s">
        <v>3407</v>
      </c>
      <c r="T730" t="s">
        <v>3408</v>
      </c>
      <c r="W730" t="s">
        <v>107</v>
      </c>
      <c r="X730" t="s">
        <v>34</v>
      </c>
      <c r="Y730" t="str">
        <f>"774505473"</f>
        <v>774505473</v>
      </c>
    </row>
    <row r="731" spans="1:25" x14ac:dyDescent="0.25">
      <c r="A731" t="s">
        <v>3409</v>
      </c>
      <c r="B731" t="s">
        <v>3410</v>
      </c>
      <c r="C731">
        <v>2020</v>
      </c>
      <c r="D731">
        <v>8001</v>
      </c>
      <c r="E731">
        <v>2</v>
      </c>
      <c r="F731" t="s">
        <v>3411</v>
      </c>
      <c r="G731">
        <v>0</v>
      </c>
      <c r="J731">
        <v>9.82</v>
      </c>
      <c r="L731">
        <v>47519891</v>
      </c>
      <c r="M731" s="1">
        <v>44357</v>
      </c>
      <c r="N731" t="str">
        <f>"J210610BW2"</f>
        <v>J210610BW2</v>
      </c>
      <c r="O731" t="s">
        <v>28</v>
      </c>
      <c r="Q731" t="s">
        <v>29</v>
      </c>
      <c r="R731" t="s">
        <v>28</v>
      </c>
      <c r="S731" t="s">
        <v>3411</v>
      </c>
      <c r="T731" t="s">
        <v>3412</v>
      </c>
      <c r="U731" t="s">
        <v>60</v>
      </c>
      <c r="V731" t="s">
        <v>60</v>
      </c>
      <c r="W731" t="s">
        <v>219</v>
      </c>
      <c r="X731" t="s">
        <v>34</v>
      </c>
      <c r="Y731" t="str">
        <f>"774796719   "</f>
        <v xml:space="preserve">774796719   </v>
      </c>
    </row>
    <row r="732" spans="1:25" x14ac:dyDescent="0.25">
      <c r="A732" t="s">
        <v>3413</v>
      </c>
      <c r="B732" t="s">
        <v>3414</v>
      </c>
      <c r="C732">
        <v>2020</v>
      </c>
      <c r="D732">
        <v>8001</v>
      </c>
      <c r="E732">
        <v>23</v>
      </c>
      <c r="F732" t="s">
        <v>3415</v>
      </c>
      <c r="G732">
        <v>0</v>
      </c>
      <c r="J732">
        <v>459.12</v>
      </c>
      <c r="L732">
        <v>47939165</v>
      </c>
      <c r="M732" s="1">
        <v>44538</v>
      </c>
      <c r="N732" t="str">
        <f>"T211208BI2"</f>
        <v>T211208BI2</v>
      </c>
      <c r="O732" t="s">
        <v>28</v>
      </c>
      <c r="Q732" t="s">
        <v>29</v>
      </c>
      <c r="R732" t="s">
        <v>28</v>
      </c>
      <c r="S732" t="s">
        <v>3415</v>
      </c>
      <c r="T732" t="s">
        <v>3416</v>
      </c>
      <c r="U732" t="s">
        <v>60</v>
      </c>
      <c r="V732" t="s">
        <v>60</v>
      </c>
      <c r="W732" t="s">
        <v>219</v>
      </c>
      <c r="X732" t="s">
        <v>34</v>
      </c>
      <c r="Y732" t="str">
        <f>"774794033   "</f>
        <v xml:space="preserve">774794033   </v>
      </c>
    </row>
    <row r="733" spans="1:25" x14ac:dyDescent="0.25">
      <c r="A733" t="s">
        <v>3417</v>
      </c>
      <c r="B733" t="s">
        <v>3418</v>
      </c>
      <c r="C733">
        <v>2019</v>
      </c>
      <c r="D733">
        <v>8001</v>
      </c>
      <c r="E733">
        <v>2</v>
      </c>
      <c r="F733" t="s">
        <v>3419</v>
      </c>
      <c r="G733">
        <v>0</v>
      </c>
      <c r="J733">
        <v>6.07</v>
      </c>
      <c r="L733">
        <v>41489429</v>
      </c>
      <c r="M733" s="1">
        <v>43766</v>
      </c>
      <c r="N733" t="str">
        <f>"TE191028"</f>
        <v>TE191028</v>
      </c>
      <c r="O733" t="s">
        <v>28</v>
      </c>
      <c r="Q733" t="s">
        <v>29</v>
      </c>
      <c r="R733" t="s">
        <v>28</v>
      </c>
      <c r="S733" t="s">
        <v>3419</v>
      </c>
      <c r="T733" t="s">
        <v>3420</v>
      </c>
      <c r="U733" t="s">
        <v>60</v>
      </c>
      <c r="V733" t="s">
        <v>60</v>
      </c>
      <c r="W733" t="s">
        <v>376</v>
      </c>
      <c r="X733" t="s">
        <v>34</v>
      </c>
      <c r="Y733" t="str">
        <f>"774776722   "</f>
        <v xml:space="preserve">774776722   </v>
      </c>
    </row>
    <row r="734" spans="1:25" x14ac:dyDescent="0.25">
      <c r="A734" t="s">
        <v>3421</v>
      </c>
      <c r="B734" t="s">
        <v>3422</v>
      </c>
      <c r="C734">
        <v>2019</v>
      </c>
      <c r="D734">
        <v>8001</v>
      </c>
      <c r="E734">
        <v>1</v>
      </c>
      <c r="F734" t="s">
        <v>3423</v>
      </c>
      <c r="G734">
        <v>28341951</v>
      </c>
      <c r="J734">
        <v>13.52</v>
      </c>
      <c r="L734">
        <v>43954875</v>
      </c>
      <c r="M734" s="1">
        <v>43908</v>
      </c>
      <c r="N734" t="str">
        <f>"J200318K8"</f>
        <v>J200318K8</v>
      </c>
      <c r="O734" t="s">
        <v>28</v>
      </c>
      <c r="Q734" t="s">
        <v>29</v>
      </c>
      <c r="R734" t="s">
        <v>28</v>
      </c>
      <c r="S734" t="s">
        <v>3424</v>
      </c>
      <c r="T734" t="s">
        <v>3425</v>
      </c>
      <c r="U734" t="s">
        <v>3426</v>
      </c>
      <c r="W734" t="s">
        <v>688</v>
      </c>
      <c r="X734" t="s">
        <v>34</v>
      </c>
      <c r="Y734" t="str">
        <f>"77504"</f>
        <v>77504</v>
      </c>
    </row>
    <row r="735" spans="1:25" x14ac:dyDescent="0.25">
      <c r="A735" t="s">
        <v>3427</v>
      </c>
      <c r="B735" t="s">
        <v>3428</v>
      </c>
      <c r="C735">
        <v>2020</v>
      </c>
      <c r="D735">
        <v>8001</v>
      </c>
      <c r="E735">
        <v>1</v>
      </c>
      <c r="F735" t="s">
        <v>3429</v>
      </c>
      <c r="G735">
        <v>2017861</v>
      </c>
      <c r="J735">
        <v>32.56</v>
      </c>
      <c r="L735">
        <v>45747768</v>
      </c>
      <c r="M735" s="1">
        <v>44202</v>
      </c>
      <c r="N735" t="str">
        <f>"RC210120"</f>
        <v>RC210120</v>
      </c>
      <c r="O735" t="s">
        <v>28</v>
      </c>
      <c r="Q735" t="s">
        <v>29</v>
      </c>
      <c r="R735" t="s">
        <v>28</v>
      </c>
      <c r="S735" t="s">
        <v>3430</v>
      </c>
      <c r="T735" t="s">
        <v>3431</v>
      </c>
      <c r="U735" t="s">
        <v>3147</v>
      </c>
      <c r="W735" t="s">
        <v>81</v>
      </c>
      <c r="X735" t="s">
        <v>34</v>
      </c>
      <c r="Y735" t="str">
        <f>"77469"</f>
        <v>77469</v>
      </c>
    </row>
    <row r="736" spans="1:25" x14ac:dyDescent="0.25">
      <c r="A736" t="s">
        <v>3432</v>
      </c>
      <c r="B736" t="s">
        <v>3433</v>
      </c>
      <c r="C736">
        <v>2020</v>
      </c>
      <c r="D736">
        <v>8001</v>
      </c>
      <c r="E736">
        <v>1</v>
      </c>
      <c r="F736" t="s">
        <v>3434</v>
      </c>
      <c r="G736">
        <v>25227889</v>
      </c>
      <c r="J736">
        <v>81.569999999999993</v>
      </c>
      <c r="L736">
        <v>47374788</v>
      </c>
      <c r="M736" s="1">
        <v>44322</v>
      </c>
      <c r="N736" t="str">
        <f>"RC210512"</f>
        <v>RC210512</v>
      </c>
      <c r="O736" t="s">
        <v>28</v>
      </c>
      <c r="Q736" t="s">
        <v>29</v>
      </c>
      <c r="R736" t="s">
        <v>28</v>
      </c>
      <c r="S736" t="s">
        <v>3435</v>
      </c>
      <c r="T736" t="s">
        <v>3436</v>
      </c>
      <c r="W736" t="s">
        <v>75</v>
      </c>
      <c r="X736" t="s">
        <v>34</v>
      </c>
      <c r="Y736" t="str">
        <f>"77099"</f>
        <v>77099</v>
      </c>
    </row>
    <row r="737" spans="1:25" x14ac:dyDescent="0.25">
      <c r="A737" t="s">
        <v>3437</v>
      </c>
      <c r="B737" t="s">
        <v>3438</v>
      </c>
      <c r="C737">
        <v>2020</v>
      </c>
      <c r="D737">
        <v>8001</v>
      </c>
      <c r="E737">
        <v>6</v>
      </c>
      <c r="F737" t="s">
        <v>3439</v>
      </c>
      <c r="G737">
        <v>203289</v>
      </c>
      <c r="J737">
        <v>377.4</v>
      </c>
      <c r="L737">
        <v>45671425</v>
      </c>
      <c r="M737" s="1">
        <v>44201</v>
      </c>
      <c r="N737" t="str">
        <f>"O210105Y1"</f>
        <v>O210105Y1</v>
      </c>
      <c r="O737" t="s">
        <v>28</v>
      </c>
      <c r="Q737" t="s">
        <v>29</v>
      </c>
      <c r="R737" t="s">
        <v>28</v>
      </c>
      <c r="S737" t="s">
        <v>561</v>
      </c>
      <c r="T737" t="s">
        <v>562</v>
      </c>
      <c r="W737" t="s">
        <v>563</v>
      </c>
      <c r="X737" t="s">
        <v>34</v>
      </c>
      <c r="Y737" t="str">
        <f>"750630156"</f>
        <v>750630156</v>
      </c>
    </row>
    <row r="738" spans="1:25" x14ac:dyDescent="0.25">
      <c r="A738" t="s">
        <v>3440</v>
      </c>
      <c r="B738" t="s">
        <v>3441</v>
      </c>
      <c r="C738">
        <v>2019</v>
      </c>
      <c r="D738">
        <v>8001</v>
      </c>
      <c r="E738">
        <v>1</v>
      </c>
      <c r="F738" t="s">
        <v>3442</v>
      </c>
      <c r="G738">
        <v>0</v>
      </c>
      <c r="J738">
        <v>574.1</v>
      </c>
      <c r="L738">
        <v>43046188</v>
      </c>
      <c r="M738" s="1">
        <v>43852</v>
      </c>
      <c r="N738" t="str">
        <f>"J200122K1"</f>
        <v>J200122K1</v>
      </c>
      <c r="O738" t="s">
        <v>28</v>
      </c>
      <c r="Q738" t="s">
        <v>29</v>
      </c>
      <c r="R738" t="s">
        <v>28</v>
      </c>
      <c r="S738" t="s">
        <v>3442</v>
      </c>
      <c r="T738" t="s">
        <v>3443</v>
      </c>
      <c r="U738" t="s">
        <v>60</v>
      </c>
      <c r="V738" t="s">
        <v>60</v>
      </c>
      <c r="W738" t="s">
        <v>214</v>
      </c>
      <c r="X738" t="s">
        <v>34</v>
      </c>
      <c r="Y738" t="str">
        <f>"774072672   "</f>
        <v xml:space="preserve">774072672   </v>
      </c>
    </row>
    <row r="739" spans="1:25" x14ac:dyDescent="0.25">
      <c r="A739" t="s">
        <v>3440</v>
      </c>
      <c r="B739" t="s">
        <v>3441</v>
      </c>
      <c r="C739">
        <v>2020</v>
      </c>
      <c r="D739">
        <v>8001</v>
      </c>
      <c r="E739">
        <v>1</v>
      </c>
      <c r="F739" t="s">
        <v>3442</v>
      </c>
      <c r="G739">
        <v>30572910</v>
      </c>
      <c r="J739">
        <v>560.85</v>
      </c>
      <c r="L739">
        <v>46670423</v>
      </c>
      <c r="M739" s="1">
        <v>44229</v>
      </c>
      <c r="N739" t="str">
        <f>"RC220116"</f>
        <v>RC220116</v>
      </c>
      <c r="O739" t="s">
        <v>260</v>
      </c>
      <c r="Q739" t="s">
        <v>29</v>
      </c>
      <c r="R739" t="s">
        <v>28</v>
      </c>
      <c r="S739" t="s">
        <v>3444</v>
      </c>
      <c r="T739" t="s">
        <v>3445</v>
      </c>
      <c r="W739" t="s">
        <v>1748</v>
      </c>
      <c r="X739" t="s">
        <v>34</v>
      </c>
      <c r="Y739" t="str">
        <f>"774291877"</f>
        <v>774291877</v>
      </c>
    </row>
    <row r="740" spans="1:25" x14ac:dyDescent="0.25">
      <c r="A740" t="s">
        <v>3440</v>
      </c>
      <c r="B740" t="s">
        <v>3441</v>
      </c>
      <c r="C740">
        <v>2021</v>
      </c>
      <c r="D740">
        <v>8001</v>
      </c>
      <c r="E740">
        <v>1</v>
      </c>
      <c r="F740" t="s">
        <v>3442</v>
      </c>
      <c r="G740">
        <v>0</v>
      </c>
      <c r="J740">
        <v>470.49</v>
      </c>
      <c r="L740">
        <v>48597134</v>
      </c>
      <c r="M740" s="1">
        <v>44551</v>
      </c>
      <c r="N740" t="str">
        <f>"L211221"</f>
        <v>L211221</v>
      </c>
      <c r="O740" t="s">
        <v>28</v>
      </c>
      <c r="Q740" t="s">
        <v>29</v>
      </c>
      <c r="R740" t="s">
        <v>28</v>
      </c>
      <c r="S740" t="s">
        <v>3442</v>
      </c>
      <c r="T740" t="s">
        <v>3443</v>
      </c>
      <c r="U740" t="s">
        <v>60</v>
      </c>
      <c r="V740" t="s">
        <v>60</v>
      </c>
      <c r="W740" t="s">
        <v>214</v>
      </c>
      <c r="X740" t="s">
        <v>34</v>
      </c>
      <c r="Y740" t="str">
        <f>"774072672   "</f>
        <v xml:space="preserve">774072672   </v>
      </c>
    </row>
    <row r="741" spans="1:25" x14ac:dyDescent="0.25">
      <c r="A741" t="s">
        <v>3446</v>
      </c>
      <c r="B741" t="s">
        <v>3447</v>
      </c>
      <c r="C741">
        <v>2020</v>
      </c>
      <c r="D741">
        <v>8001</v>
      </c>
      <c r="E741">
        <v>3</v>
      </c>
      <c r="F741" t="s">
        <v>3448</v>
      </c>
      <c r="G741">
        <v>29883471</v>
      </c>
      <c r="J741">
        <v>6.55</v>
      </c>
      <c r="L741">
        <v>47526093</v>
      </c>
      <c r="M741" s="1">
        <v>44361</v>
      </c>
      <c r="N741" t="str">
        <f>"RC210622"</f>
        <v>RC210622</v>
      </c>
      <c r="O741" t="s">
        <v>28</v>
      </c>
      <c r="Q741" t="s">
        <v>29</v>
      </c>
      <c r="R741" t="s">
        <v>28</v>
      </c>
      <c r="S741" t="s">
        <v>3449</v>
      </c>
      <c r="T741" t="s">
        <v>3450</v>
      </c>
      <c r="W741" t="s">
        <v>392</v>
      </c>
      <c r="X741" t="s">
        <v>34</v>
      </c>
      <c r="Y741" t="str">
        <f>"77459"</f>
        <v>77459</v>
      </c>
    </row>
    <row r="742" spans="1:25" x14ac:dyDescent="0.25">
      <c r="A742" t="s">
        <v>3451</v>
      </c>
      <c r="B742" t="s">
        <v>3452</v>
      </c>
      <c r="C742">
        <v>2021</v>
      </c>
      <c r="D742">
        <v>8001</v>
      </c>
      <c r="E742">
        <v>7</v>
      </c>
      <c r="F742" t="s">
        <v>3453</v>
      </c>
      <c r="G742">
        <v>0</v>
      </c>
      <c r="J742">
        <v>165.48</v>
      </c>
      <c r="L742">
        <v>47767918</v>
      </c>
      <c r="M742" s="1">
        <v>44516</v>
      </c>
      <c r="N742" t="str">
        <f>"TE211116"</f>
        <v>TE211116</v>
      </c>
      <c r="O742" t="s">
        <v>28</v>
      </c>
      <c r="Q742" t="s">
        <v>29</v>
      </c>
      <c r="R742" t="s">
        <v>28</v>
      </c>
      <c r="S742" t="s">
        <v>3453</v>
      </c>
      <c r="T742" t="s">
        <v>3454</v>
      </c>
      <c r="U742" t="s">
        <v>60</v>
      </c>
      <c r="V742" t="s">
        <v>60</v>
      </c>
      <c r="W742" t="s">
        <v>1333</v>
      </c>
      <c r="X742" t="s">
        <v>34</v>
      </c>
      <c r="Y742" t="str">
        <f>"774596989   "</f>
        <v xml:space="preserve">774596989   </v>
      </c>
    </row>
    <row r="743" spans="1:25" x14ac:dyDescent="0.25">
      <c r="A743" t="s">
        <v>3455</v>
      </c>
      <c r="B743" t="s">
        <v>3456</v>
      </c>
      <c r="C743">
        <v>2020</v>
      </c>
      <c r="D743">
        <v>8001</v>
      </c>
      <c r="E743">
        <v>1</v>
      </c>
      <c r="F743" t="s">
        <v>3457</v>
      </c>
      <c r="G743">
        <v>29461635</v>
      </c>
      <c r="J743">
        <v>513.87</v>
      </c>
      <c r="L743">
        <v>46728635</v>
      </c>
      <c r="M743" s="1">
        <v>44230</v>
      </c>
      <c r="N743" t="str">
        <f>"EK210203"</f>
        <v>EK210203</v>
      </c>
      <c r="O743" t="s">
        <v>28</v>
      </c>
      <c r="Q743" t="s">
        <v>29</v>
      </c>
      <c r="R743" t="s">
        <v>28</v>
      </c>
      <c r="S743" t="s">
        <v>3458</v>
      </c>
      <c r="T743" t="s">
        <v>3459</v>
      </c>
      <c r="W743" t="s">
        <v>392</v>
      </c>
      <c r="X743" t="s">
        <v>34</v>
      </c>
      <c r="Y743" t="str">
        <f>"77459"</f>
        <v>77459</v>
      </c>
    </row>
    <row r="744" spans="1:25" x14ac:dyDescent="0.25">
      <c r="A744" t="s">
        <v>3460</v>
      </c>
      <c r="B744" t="s">
        <v>3461</v>
      </c>
      <c r="C744">
        <v>2019</v>
      </c>
      <c r="D744">
        <v>8001</v>
      </c>
      <c r="E744">
        <v>1</v>
      </c>
      <c r="F744" t="s">
        <v>3462</v>
      </c>
      <c r="G744">
        <v>28310273</v>
      </c>
      <c r="J744">
        <v>53.49</v>
      </c>
      <c r="L744">
        <v>43887094</v>
      </c>
      <c r="M744" s="1">
        <v>43895</v>
      </c>
      <c r="N744" t="str">
        <f>"CC200305"</f>
        <v>CC200305</v>
      </c>
      <c r="O744" t="s">
        <v>28</v>
      </c>
      <c r="Q744" t="s">
        <v>29</v>
      </c>
      <c r="R744" t="s">
        <v>28</v>
      </c>
      <c r="S744" t="s">
        <v>3463</v>
      </c>
      <c r="T744" t="s">
        <v>3464</v>
      </c>
      <c r="W744" t="s">
        <v>392</v>
      </c>
      <c r="X744" t="s">
        <v>34</v>
      </c>
      <c r="Y744" t="str">
        <f>"77459"</f>
        <v>77459</v>
      </c>
    </row>
    <row r="745" spans="1:25" x14ac:dyDescent="0.25">
      <c r="A745" t="s">
        <v>3465</v>
      </c>
      <c r="B745" t="s">
        <v>3466</v>
      </c>
      <c r="C745">
        <v>2019</v>
      </c>
      <c r="D745">
        <v>8001</v>
      </c>
      <c r="E745">
        <v>2</v>
      </c>
      <c r="F745" t="s">
        <v>3467</v>
      </c>
      <c r="G745">
        <v>0</v>
      </c>
      <c r="J745">
        <v>63.41</v>
      </c>
      <c r="L745">
        <v>44067759</v>
      </c>
      <c r="M745" s="1">
        <v>43937</v>
      </c>
      <c r="N745" t="str">
        <f>"J200416F3"</f>
        <v>J200416F3</v>
      </c>
      <c r="O745" t="s">
        <v>28</v>
      </c>
      <c r="Q745" t="s">
        <v>29</v>
      </c>
      <c r="R745" t="s">
        <v>28</v>
      </c>
      <c r="S745" t="s">
        <v>3467</v>
      </c>
      <c r="T745" t="s">
        <v>3468</v>
      </c>
      <c r="U745" t="s">
        <v>60</v>
      </c>
      <c r="V745" t="s">
        <v>60</v>
      </c>
      <c r="W745" t="s">
        <v>2502</v>
      </c>
      <c r="X745" t="s">
        <v>34</v>
      </c>
      <c r="Y745" t="str">
        <f>"775450274   "</f>
        <v xml:space="preserve">775450274   </v>
      </c>
    </row>
    <row r="746" spans="1:25" x14ac:dyDescent="0.25">
      <c r="A746" t="s">
        <v>3469</v>
      </c>
      <c r="B746" t="s">
        <v>3470</v>
      </c>
      <c r="C746">
        <v>2019</v>
      </c>
      <c r="D746">
        <v>8001</v>
      </c>
      <c r="E746">
        <v>1</v>
      </c>
      <c r="F746" t="s">
        <v>3471</v>
      </c>
      <c r="G746">
        <v>0</v>
      </c>
      <c r="J746" s="2">
        <v>1634.38</v>
      </c>
      <c r="L746">
        <v>43615233</v>
      </c>
      <c r="M746" s="1">
        <v>43866</v>
      </c>
      <c r="N746" t="str">
        <f>"J200205AW17"</f>
        <v>J200205AW17</v>
      </c>
      <c r="O746" t="s">
        <v>28</v>
      </c>
      <c r="Q746" t="s">
        <v>29</v>
      </c>
      <c r="R746" t="s">
        <v>28</v>
      </c>
      <c r="S746" t="s">
        <v>3471</v>
      </c>
      <c r="T746" t="s">
        <v>3472</v>
      </c>
      <c r="U746" t="s">
        <v>3473</v>
      </c>
      <c r="V746" t="s">
        <v>60</v>
      </c>
      <c r="W746" t="s">
        <v>3474</v>
      </c>
      <c r="X746" t="s">
        <v>317</v>
      </c>
      <c r="Y746" t="str">
        <f>"933090717   "</f>
        <v xml:space="preserve">933090717   </v>
      </c>
    </row>
    <row r="747" spans="1:25" x14ac:dyDescent="0.25">
      <c r="A747" t="s">
        <v>3475</v>
      </c>
      <c r="B747" t="s">
        <v>3476</v>
      </c>
      <c r="C747">
        <v>2020</v>
      </c>
      <c r="D747">
        <v>8001</v>
      </c>
      <c r="E747">
        <v>2</v>
      </c>
      <c r="F747" t="s">
        <v>3477</v>
      </c>
      <c r="G747">
        <v>0</v>
      </c>
      <c r="J747">
        <v>620</v>
      </c>
      <c r="L747">
        <v>47817380</v>
      </c>
      <c r="M747" s="1">
        <v>44488</v>
      </c>
      <c r="N747" t="str">
        <f>"EL211019"</f>
        <v>EL211019</v>
      </c>
      <c r="O747" t="s">
        <v>28</v>
      </c>
      <c r="Q747" t="s">
        <v>29</v>
      </c>
      <c r="R747" t="s">
        <v>28</v>
      </c>
      <c r="S747" t="s">
        <v>3477</v>
      </c>
      <c r="T747" t="s">
        <v>3478</v>
      </c>
      <c r="U747" t="s">
        <v>60</v>
      </c>
      <c r="V747" t="s">
        <v>60</v>
      </c>
      <c r="W747" t="s">
        <v>273</v>
      </c>
      <c r="X747" t="s">
        <v>34</v>
      </c>
      <c r="Y747" t="str">
        <f>"774411411   "</f>
        <v xml:space="preserve">774411411   </v>
      </c>
    </row>
    <row r="748" spans="1:25" x14ac:dyDescent="0.25">
      <c r="A748" t="s">
        <v>3479</v>
      </c>
      <c r="B748" t="s">
        <v>3480</v>
      </c>
      <c r="C748">
        <v>2020</v>
      </c>
      <c r="D748">
        <v>8001</v>
      </c>
      <c r="E748">
        <v>1</v>
      </c>
      <c r="F748" t="s">
        <v>3481</v>
      </c>
      <c r="G748">
        <v>28479019</v>
      </c>
      <c r="J748">
        <v>10.210000000000001</v>
      </c>
      <c r="L748">
        <v>47213292</v>
      </c>
      <c r="M748" s="1">
        <v>44286</v>
      </c>
      <c r="N748" t="str">
        <f>"RC210414"</f>
        <v>RC210414</v>
      </c>
      <c r="O748" t="s">
        <v>28</v>
      </c>
      <c r="Q748" t="s">
        <v>29</v>
      </c>
      <c r="R748" t="s">
        <v>28</v>
      </c>
      <c r="S748" t="s">
        <v>127</v>
      </c>
      <c r="T748" t="s">
        <v>3482</v>
      </c>
      <c r="U748" t="s">
        <v>3483</v>
      </c>
      <c r="V748" t="s">
        <v>3484</v>
      </c>
      <c r="W748" t="s">
        <v>75</v>
      </c>
      <c r="X748" t="s">
        <v>34</v>
      </c>
      <c r="Y748" t="str">
        <f>"77042"</f>
        <v>77042</v>
      </c>
    </row>
    <row r="749" spans="1:25" x14ac:dyDescent="0.25">
      <c r="A749" t="s">
        <v>3485</v>
      </c>
      <c r="B749" t="s">
        <v>3486</v>
      </c>
      <c r="C749">
        <v>2021</v>
      </c>
      <c r="D749">
        <v>8001</v>
      </c>
      <c r="E749">
        <v>2</v>
      </c>
      <c r="F749" t="s">
        <v>3487</v>
      </c>
      <c r="G749">
        <v>28862145</v>
      </c>
      <c r="J749">
        <v>699.44</v>
      </c>
      <c r="L749">
        <v>49180502</v>
      </c>
      <c r="M749" s="1">
        <v>44574</v>
      </c>
      <c r="N749" t="str">
        <f>"RC220225"</f>
        <v>RC220225</v>
      </c>
      <c r="O749" t="s">
        <v>28</v>
      </c>
      <c r="Q749" t="s">
        <v>29</v>
      </c>
      <c r="R749" t="s">
        <v>28</v>
      </c>
      <c r="S749" t="s">
        <v>1369</v>
      </c>
      <c r="T749" t="s">
        <v>203</v>
      </c>
      <c r="U749" t="s">
        <v>1370</v>
      </c>
      <c r="W749" t="s">
        <v>1371</v>
      </c>
      <c r="X749" t="s">
        <v>34</v>
      </c>
      <c r="Y749" t="str">
        <f>"750341953"</f>
        <v>750341953</v>
      </c>
    </row>
    <row r="750" spans="1:25" x14ac:dyDescent="0.25">
      <c r="A750" t="s">
        <v>3488</v>
      </c>
      <c r="B750" t="s">
        <v>3489</v>
      </c>
      <c r="C750">
        <v>2018</v>
      </c>
      <c r="D750">
        <v>8001</v>
      </c>
      <c r="E750">
        <v>3</v>
      </c>
      <c r="F750" t="s">
        <v>3490</v>
      </c>
      <c r="G750">
        <v>23460103</v>
      </c>
      <c r="J750">
        <v>7.55</v>
      </c>
      <c r="L750">
        <v>41008960</v>
      </c>
      <c r="M750" s="1">
        <v>43551</v>
      </c>
      <c r="N750" t="str">
        <f>"J190327AW4"</f>
        <v>J190327AW4</v>
      </c>
      <c r="O750" t="s">
        <v>28</v>
      </c>
      <c r="Q750" t="s">
        <v>29</v>
      </c>
      <c r="R750" t="s">
        <v>28</v>
      </c>
      <c r="S750" t="s">
        <v>3491</v>
      </c>
      <c r="T750" t="s">
        <v>3492</v>
      </c>
      <c r="W750" t="s">
        <v>3493</v>
      </c>
      <c r="X750" t="s">
        <v>34</v>
      </c>
      <c r="Y750" t="str">
        <f>"77546"</f>
        <v>77546</v>
      </c>
    </row>
    <row r="751" spans="1:25" x14ac:dyDescent="0.25">
      <c r="A751" t="s">
        <v>3494</v>
      </c>
      <c r="B751" t="s">
        <v>3495</v>
      </c>
      <c r="C751">
        <v>2019</v>
      </c>
      <c r="D751">
        <v>8001</v>
      </c>
      <c r="E751">
        <v>2</v>
      </c>
      <c r="F751" t="s">
        <v>3496</v>
      </c>
      <c r="G751">
        <v>0</v>
      </c>
      <c r="J751">
        <v>9.3699999999999992</v>
      </c>
      <c r="L751">
        <v>44288894</v>
      </c>
      <c r="M751" s="1">
        <v>43990</v>
      </c>
      <c r="N751" t="str">
        <f>"J200608K6"</f>
        <v>J200608K6</v>
      </c>
      <c r="O751" t="s">
        <v>28</v>
      </c>
      <c r="Q751" t="s">
        <v>29</v>
      </c>
      <c r="R751" t="s">
        <v>28</v>
      </c>
      <c r="S751" t="s">
        <v>3496</v>
      </c>
      <c r="T751" t="s">
        <v>3497</v>
      </c>
      <c r="U751" t="s">
        <v>60</v>
      </c>
      <c r="V751" t="s">
        <v>60</v>
      </c>
      <c r="W751" t="s">
        <v>135</v>
      </c>
      <c r="X751" t="s">
        <v>34</v>
      </c>
      <c r="Y751" t="str">
        <f>"770533031   "</f>
        <v xml:space="preserve">770533031   </v>
      </c>
    </row>
    <row r="752" spans="1:25" x14ac:dyDescent="0.25">
      <c r="A752" t="s">
        <v>3498</v>
      </c>
      <c r="B752" t="s">
        <v>3499</v>
      </c>
      <c r="C752">
        <v>2019</v>
      </c>
      <c r="D752">
        <v>8001</v>
      </c>
      <c r="E752">
        <v>1</v>
      </c>
      <c r="F752" t="s">
        <v>3500</v>
      </c>
      <c r="G752">
        <v>0</v>
      </c>
      <c r="J752">
        <v>15.89</v>
      </c>
      <c r="L752">
        <v>44026796</v>
      </c>
      <c r="M752" s="1">
        <v>43924</v>
      </c>
      <c r="N752" t="str">
        <f>"J200403K1"</f>
        <v>J200403K1</v>
      </c>
      <c r="O752" t="s">
        <v>28</v>
      </c>
      <c r="Q752" t="s">
        <v>29</v>
      </c>
      <c r="R752" t="s">
        <v>28</v>
      </c>
      <c r="S752" t="s">
        <v>3500</v>
      </c>
      <c r="T752" t="s">
        <v>3501</v>
      </c>
      <c r="U752" t="s">
        <v>60</v>
      </c>
      <c r="V752" t="s">
        <v>60</v>
      </c>
      <c r="W752" t="s">
        <v>135</v>
      </c>
      <c r="X752" t="s">
        <v>34</v>
      </c>
      <c r="Y752" t="str">
        <f>"770533209   "</f>
        <v xml:space="preserve">770533209   </v>
      </c>
    </row>
    <row r="753" spans="1:25" x14ac:dyDescent="0.25">
      <c r="A753" t="s">
        <v>3502</v>
      </c>
      <c r="B753" t="s">
        <v>3503</v>
      </c>
      <c r="C753">
        <v>2020</v>
      </c>
      <c r="D753">
        <v>8001</v>
      </c>
      <c r="E753">
        <v>2</v>
      </c>
      <c r="F753" t="s">
        <v>3504</v>
      </c>
      <c r="G753">
        <v>0</v>
      </c>
      <c r="J753">
        <v>9</v>
      </c>
      <c r="L753">
        <v>46222557</v>
      </c>
      <c r="M753" s="1">
        <v>44218</v>
      </c>
      <c r="N753" t="str">
        <f>"L210122"</f>
        <v>L210122</v>
      </c>
      <c r="O753" t="s">
        <v>28</v>
      </c>
      <c r="Q753" t="s">
        <v>29</v>
      </c>
      <c r="R753" t="s">
        <v>28</v>
      </c>
      <c r="S753" t="s">
        <v>3504</v>
      </c>
      <c r="T753" t="s">
        <v>3505</v>
      </c>
      <c r="U753" t="s">
        <v>60</v>
      </c>
      <c r="V753" t="s">
        <v>60</v>
      </c>
      <c r="W753" t="s">
        <v>135</v>
      </c>
      <c r="X753" t="s">
        <v>34</v>
      </c>
      <c r="Y753" t="str">
        <f>"770533215   "</f>
        <v xml:space="preserve">770533215   </v>
      </c>
    </row>
    <row r="754" spans="1:25" x14ac:dyDescent="0.25">
      <c r="A754" t="s">
        <v>3506</v>
      </c>
      <c r="B754" t="s">
        <v>3507</v>
      </c>
      <c r="C754">
        <v>2021</v>
      </c>
      <c r="D754">
        <v>8001</v>
      </c>
      <c r="E754">
        <v>3</v>
      </c>
      <c r="F754" t="s">
        <v>3508</v>
      </c>
      <c r="G754">
        <v>0</v>
      </c>
      <c r="J754">
        <v>156.16</v>
      </c>
      <c r="L754">
        <v>49787783</v>
      </c>
      <c r="M754" s="1">
        <v>44592</v>
      </c>
      <c r="N754" t="str">
        <f>"O220131C7"</f>
        <v>O220131C7</v>
      </c>
      <c r="O754" t="s">
        <v>28</v>
      </c>
      <c r="Q754" t="s">
        <v>29</v>
      </c>
      <c r="R754" t="s">
        <v>28</v>
      </c>
      <c r="S754" t="s">
        <v>3508</v>
      </c>
      <c r="T754" t="s">
        <v>3509</v>
      </c>
      <c r="U754" t="s">
        <v>60</v>
      </c>
      <c r="V754" t="s">
        <v>60</v>
      </c>
      <c r="W754" t="s">
        <v>135</v>
      </c>
      <c r="X754" t="s">
        <v>34</v>
      </c>
      <c r="Y754" t="str">
        <f>"770533214   "</f>
        <v xml:space="preserve">770533214   </v>
      </c>
    </row>
    <row r="755" spans="1:25" x14ac:dyDescent="0.25">
      <c r="A755" t="s">
        <v>3510</v>
      </c>
      <c r="B755" t="s">
        <v>3511</v>
      </c>
      <c r="C755">
        <v>2020</v>
      </c>
      <c r="D755">
        <v>8001</v>
      </c>
      <c r="E755">
        <v>1</v>
      </c>
      <c r="F755" t="s">
        <v>3512</v>
      </c>
      <c r="G755">
        <v>29461812</v>
      </c>
      <c r="J755">
        <v>35.28</v>
      </c>
      <c r="L755">
        <v>46728812</v>
      </c>
      <c r="M755" s="1">
        <v>44230</v>
      </c>
      <c r="N755" t="str">
        <f>"EK210203"</f>
        <v>EK210203</v>
      </c>
      <c r="O755" t="s">
        <v>28</v>
      </c>
      <c r="Q755" t="s">
        <v>29</v>
      </c>
      <c r="R755" t="s">
        <v>28</v>
      </c>
      <c r="S755" t="s">
        <v>3513</v>
      </c>
      <c r="T755" t="s">
        <v>3514</v>
      </c>
      <c r="W755" t="s">
        <v>75</v>
      </c>
      <c r="X755" t="s">
        <v>34</v>
      </c>
      <c r="Y755" t="str">
        <f>"77053"</f>
        <v>77053</v>
      </c>
    </row>
    <row r="756" spans="1:25" x14ac:dyDescent="0.25">
      <c r="A756" t="s">
        <v>3515</v>
      </c>
      <c r="B756" t="s">
        <v>3516</v>
      </c>
      <c r="C756">
        <v>2021</v>
      </c>
      <c r="D756">
        <v>8001</v>
      </c>
      <c r="E756">
        <v>1</v>
      </c>
      <c r="F756" t="s">
        <v>3517</v>
      </c>
      <c r="G756">
        <v>22734742</v>
      </c>
      <c r="J756">
        <v>6.32</v>
      </c>
      <c r="L756">
        <v>47919845</v>
      </c>
      <c r="M756" s="1">
        <v>44516</v>
      </c>
      <c r="N756" t="str">
        <f>"TE211116"</f>
        <v>TE211116</v>
      </c>
      <c r="O756" t="s">
        <v>28</v>
      </c>
      <c r="Q756" t="s">
        <v>29</v>
      </c>
      <c r="R756" t="s">
        <v>28</v>
      </c>
      <c r="S756" t="s">
        <v>3518</v>
      </c>
      <c r="T756" t="s">
        <v>3519</v>
      </c>
      <c r="W756" t="s">
        <v>75</v>
      </c>
      <c r="X756" t="s">
        <v>34</v>
      </c>
      <c r="Y756" t="str">
        <f>"770533113"</f>
        <v>770533113</v>
      </c>
    </row>
    <row r="757" spans="1:25" x14ac:dyDescent="0.25">
      <c r="A757" t="s">
        <v>3520</v>
      </c>
      <c r="B757" t="s">
        <v>3521</v>
      </c>
      <c r="C757">
        <v>2020</v>
      </c>
      <c r="D757">
        <v>8001</v>
      </c>
      <c r="E757">
        <v>1</v>
      </c>
      <c r="F757" t="s">
        <v>3522</v>
      </c>
      <c r="G757">
        <v>29461609</v>
      </c>
      <c r="J757">
        <v>29.69</v>
      </c>
      <c r="L757">
        <v>46728609</v>
      </c>
      <c r="M757" s="1">
        <v>44230</v>
      </c>
      <c r="N757" t="str">
        <f>"EK210203"</f>
        <v>EK210203</v>
      </c>
      <c r="O757" t="s">
        <v>28</v>
      </c>
      <c r="Q757" t="s">
        <v>29</v>
      </c>
      <c r="R757" t="s">
        <v>28</v>
      </c>
      <c r="S757" t="s">
        <v>3523</v>
      </c>
      <c r="T757" t="s">
        <v>3524</v>
      </c>
      <c r="W757" t="s">
        <v>81</v>
      </c>
      <c r="X757" t="s">
        <v>34</v>
      </c>
      <c r="Y757" t="str">
        <f>"77469"</f>
        <v>77469</v>
      </c>
    </row>
    <row r="758" spans="1:25" x14ac:dyDescent="0.25">
      <c r="A758" t="s">
        <v>3525</v>
      </c>
      <c r="B758" t="s">
        <v>3526</v>
      </c>
      <c r="C758">
        <v>2020</v>
      </c>
      <c r="D758">
        <v>8001</v>
      </c>
      <c r="E758">
        <v>3</v>
      </c>
      <c r="F758" t="s">
        <v>3527</v>
      </c>
      <c r="G758">
        <v>30044381</v>
      </c>
      <c r="J758">
        <v>456.35</v>
      </c>
      <c r="L758">
        <v>47839128</v>
      </c>
      <c r="M758" s="1">
        <v>44491</v>
      </c>
      <c r="N758" t="str">
        <f>"O211022AE1"</f>
        <v>O211022AE1</v>
      </c>
      <c r="O758" t="s">
        <v>28</v>
      </c>
      <c r="Q758" t="s">
        <v>29</v>
      </c>
      <c r="R758" t="s">
        <v>28</v>
      </c>
      <c r="S758" t="s">
        <v>1816</v>
      </c>
      <c r="T758" t="s">
        <v>3528</v>
      </c>
      <c r="U758" t="s">
        <v>3529</v>
      </c>
      <c r="W758" t="s">
        <v>75</v>
      </c>
      <c r="X758" t="s">
        <v>34</v>
      </c>
      <c r="Y758" t="str">
        <f>"770272920"</f>
        <v>770272920</v>
      </c>
    </row>
    <row r="759" spans="1:25" x14ac:dyDescent="0.25">
      <c r="A759" t="s">
        <v>3530</v>
      </c>
      <c r="B759" t="s">
        <v>3531</v>
      </c>
      <c r="C759">
        <v>2021</v>
      </c>
      <c r="D759">
        <v>8001</v>
      </c>
      <c r="E759">
        <v>1</v>
      </c>
      <c r="F759" t="s">
        <v>3532</v>
      </c>
      <c r="G759">
        <v>0</v>
      </c>
      <c r="J759">
        <v>439.89</v>
      </c>
      <c r="L759">
        <v>48680046</v>
      </c>
      <c r="M759" s="1">
        <v>44557</v>
      </c>
      <c r="N759" t="str">
        <f>"L211227B"</f>
        <v>L211227B</v>
      </c>
      <c r="O759" t="s">
        <v>28</v>
      </c>
      <c r="Q759" t="s">
        <v>29</v>
      </c>
      <c r="R759" t="s">
        <v>28</v>
      </c>
      <c r="S759" t="s">
        <v>3532</v>
      </c>
      <c r="T759" t="s">
        <v>3533</v>
      </c>
      <c r="U759" t="s">
        <v>60</v>
      </c>
      <c r="V759" t="s">
        <v>60</v>
      </c>
      <c r="W759" t="s">
        <v>219</v>
      </c>
      <c r="X759" t="s">
        <v>34</v>
      </c>
      <c r="Y759" t="str">
        <f>"774792713   "</f>
        <v xml:space="preserve">774792713   </v>
      </c>
    </row>
    <row r="760" spans="1:25" x14ac:dyDescent="0.25">
      <c r="A760" t="s">
        <v>3534</v>
      </c>
      <c r="B760" t="s">
        <v>3535</v>
      </c>
      <c r="C760">
        <v>2020</v>
      </c>
      <c r="D760">
        <v>8001</v>
      </c>
      <c r="E760">
        <v>2</v>
      </c>
      <c r="F760" t="s">
        <v>3536</v>
      </c>
      <c r="G760">
        <v>29224504</v>
      </c>
      <c r="J760">
        <v>95.75</v>
      </c>
      <c r="L760">
        <v>47098392</v>
      </c>
      <c r="M760" s="1">
        <v>44270</v>
      </c>
      <c r="N760" t="str">
        <f>"RC210324"</f>
        <v>RC210324</v>
      </c>
      <c r="O760" t="s">
        <v>28</v>
      </c>
      <c r="Q760" t="s">
        <v>29</v>
      </c>
      <c r="R760" t="s">
        <v>28</v>
      </c>
      <c r="S760" t="s">
        <v>3537</v>
      </c>
      <c r="T760" t="s">
        <v>3538</v>
      </c>
      <c r="W760" t="s">
        <v>40</v>
      </c>
      <c r="X760" t="s">
        <v>34</v>
      </c>
      <c r="Y760" t="str">
        <f>"774785279"</f>
        <v>774785279</v>
      </c>
    </row>
    <row r="761" spans="1:25" x14ac:dyDescent="0.25">
      <c r="A761" t="s">
        <v>3539</v>
      </c>
      <c r="B761" t="s">
        <v>3540</v>
      </c>
      <c r="C761">
        <v>2020</v>
      </c>
      <c r="D761">
        <v>8001</v>
      </c>
      <c r="E761">
        <v>1</v>
      </c>
      <c r="F761" t="s">
        <v>3541</v>
      </c>
      <c r="G761">
        <v>27648632</v>
      </c>
      <c r="J761">
        <v>269.97000000000003</v>
      </c>
      <c r="L761">
        <v>46869790</v>
      </c>
      <c r="M761" s="1">
        <v>44235</v>
      </c>
      <c r="N761" t="str">
        <f>"RC210304"</f>
        <v>RC210304</v>
      </c>
      <c r="O761" t="s">
        <v>28</v>
      </c>
      <c r="Q761" t="s">
        <v>29</v>
      </c>
      <c r="R761" t="s">
        <v>28</v>
      </c>
      <c r="S761" t="s">
        <v>3542</v>
      </c>
      <c r="T761" t="s">
        <v>3543</v>
      </c>
      <c r="W761" t="s">
        <v>3272</v>
      </c>
      <c r="X761" t="s">
        <v>34</v>
      </c>
      <c r="Y761" t="str">
        <f>"78757"</f>
        <v>78757</v>
      </c>
    </row>
    <row r="762" spans="1:25" x14ac:dyDescent="0.25">
      <c r="A762" t="s">
        <v>3544</v>
      </c>
      <c r="B762" t="s">
        <v>3545</v>
      </c>
      <c r="C762">
        <v>2018</v>
      </c>
      <c r="D762">
        <v>8001</v>
      </c>
      <c r="E762">
        <v>6</v>
      </c>
      <c r="F762" t="s">
        <v>3546</v>
      </c>
      <c r="G762">
        <v>27328749</v>
      </c>
      <c r="J762">
        <v>19.71</v>
      </c>
      <c r="L762">
        <v>41063790</v>
      </c>
      <c r="M762" s="1">
        <v>43558</v>
      </c>
      <c r="N762" t="str">
        <f>"EK190403"</f>
        <v>EK190403</v>
      </c>
      <c r="O762" t="s">
        <v>28</v>
      </c>
      <c r="Q762" t="s">
        <v>29</v>
      </c>
      <c r="R762" t="s">
        <v>28</v>
      </c>
      <c r="S762" t="s">
        <v>3547</v>
      </c>
      <c r="T762" t="s">
        <v>3548</v>
      </c>
      <c r="W762" t="s">
        <v>392</v>
      </c>
      <c r="X762" t="s">
        <v>34</v>
      </c>
      <c r="Y762" t="str">
        <f>"77459"</f>
        <v>77459</v>
      </c>
    </row>
    <row r="763" spans="1:25" x14ac:dyDescent="0.25">
      <c r="A763" t="s">
        <v>3549</v>
      </c>
      <c r="B763" t="s">
        <v>3550</v>
      </c>
      <c r="C763">
        <v>2020</v>
      </c>
      <c r="D763">
        <v>8001</v>
      </c>
      <c r="E763">
        <v>3</v>
      </c>
      <c r="F763" t="s">
        <v>3551</v>
      </c>
      <c r="G763">
        <v>0</v>
      </c>
      <c r="J763">
        <v>7.34</v>
      </c>
      <c r="L763">
        <v>47682222</v>
      </c>
      <c r="M763" s="1">
        <v>44414</v>
      </c>
      <c r="N763" t="str">
        <f>"J210806BW1"</f>
        <v>J210806BW1</v>
      </c>
      <c r="O763" t="s">
        <v>28</v>
      </c>
      <c r="Q763" t="s">
        <v>29</v>
      </c>
      <c r="R763" t="s">
        <v>28</v>
      </c>
      <c r="S763" t="s">
        <v>3552</v>
      </c>
      <c r="T763" t="s">
        <v>3553</v>
      </c>
      <c r="U763" t="s">
        <v>60</v>
      </c>
      <c r="V763" t="s">
        <v>60</v>
      </c>
      <c r="W763" t="s">
        <v>135</v>
      </c>
      <c r="X763" t="s">
        <v>34</v>
      </c>
      <c r="Y763" t="str">
        <f>"770404094   "</f>
        <v xml:space="preserve">770404094   </v>
      </c>
    </row>
    <row r="764" spans="1:25" x14ac:dyDescent="0.25">
      <c r="A764" t="s">
        <v>3554</v>
      </c>
      <c r="B764" t="s">
        <v>3555</v>
      </c>
      <c r="C764">
        <v>2021</v>
      </c>
      <c r="D764">
        <v>8001</v>
      </c>
      <c r="E764">
        <v>2</v>
      </c>
      <c r="F764" t="s">
        <v>3556</v>
      </c>
      <c r="G764">
        <v>26710565</v>
      </c>
      <c r="J764">
        <v>86.44</v>
      </c>
      <c r="L764">
        <v>50089282</v>
      </c>
      <c r="M764" s="1">
        <v>44600</v>
      </c>
      <c r="N764" t="str">
        <f>"RC220314"</f>
        <v>RC220314</v>
      </c>
      <c r="O764" t="s">
        <v>28</v>
      </c>
      <c r="Q764" t="s">
        <v>29</v>
      </c>
      <c r="R764" t="s">
        <v>28</v>
      </c>
      <c r="S764" t="s">
        <v>285</v>
      </c>
      <c r="T764" t="s">
        <v>286</v>
      </c>
      <c r="W764" t="s">
        <v>75</v>
      </c>
      <c r="X764" t="s">
        <v>34</v>
      </c>
      <c r="Y764" t="str">
        <f>"770424240"</f>
        <v>770424240</v>
      </c>
    </row>
    <row r="765" spans="1:25" x14ac:dyDescent="0.25">
      <c r="A765" t="s">
        <v>3557</v>
      </c>
      <c r="B765" t="s">
        <v>3558</v>
      </c>
      <c r="C765">
        <v>2021</v>
      </c>
      <c r="D765">
        <v>8001</v>
      </c>
      <c r="E765">
        <v>2</v>
      </c>
      <c r="F765" t="s">
        <v>3559</v>
      </c>
      <c r="G765">
        <v>26710565</v>
      </c>
      <c r="J765">
        <v>86.44</v>
      </c>
      <c r="L765">
        <v>50089284</v>
      </c>
      <c r="M765" s="1">
        <v>44600</v>
      </c>
      <c r="N765" t="str">
        <f>"RC220314"</f>
        <v>RC220314</v>
      </c>
      <c r="O765" t="s">
        <v>28</v>
      </c>
      <c r="Q765" t="s">
        <v>29</v>
      </c>
      <c r="R765" t="s">
        <v>28</v>
      </c>
      <c r="S765" t="s">
        <v>285</v>
      </c>
      <c r="T765" t="s">
        <v>286</v>
      </c>
      <c r="W765" t="s">
        <v>75</v>
      </c>
      <c r="X765" t="s">
        <v>34</v>
      </c>
      <c r="Y765" t="str">
        <f>"770424240"</f>
        <v>770424240</v>
      </c>
    </row>
    <row r="766" spans="1:25" x14ac:dyDescent="0.25">
      <c r="A766" t="s">
        <v>3560</v>
      </c>
      <c r="B766" t="s">
        <v>3561</v>
      </c>
      <c r="C766">
        <v>2021</v>
      </c>
      <c r="D766">
        <v>8001</v>
      </c>
      <c r="E766">
        <v>1</v>
      </c>
      <c r="F766" t="s">
        <v>3562</v>
      </c>
      <c r="G766">
        <v>0</v>
      </c>
      <c r="J766">
        <v>86.44</v>
      </c>
      <c r="L766">
        <v>50008598</v>
      </c>
      <c r="M766" s="1">
        <v>44596</v>
      </c>
      <c r="N766" t="str">
        <f>"J220204K2"</f>
        <v>J220204K2</v>
      </c>
      <c r="O766" t="s">
        <v>28</v>
      </c>
      <c r="Q766" t="s">
        <v>29</v>
      </c>
      <c r="R766" t="s">
        <v>28</v>
      </c>
      <c r="S766" t="s">
        <v>2037</v>
      </c>
      <c r="T766" t="s">
        <v>3563</v>
      </c>
      <c r="U766" t="s">
        <v>3564</v>
      </c>
      <c r="V766" t="s">
        <v>60</v>
      </c>
      <c r="W766" t="s">
        <v>135</v>
      </c>
      <c r="X766" t="s">
        <v>34</v>
      </c>
      <c r="Y766" t="str">
        <f>"770424239   "</f>
        <v xml:space="preserve">770424239   </v>
      </c>
    </row>
    <row r="767" spans="1:25" x14ac:dyDescent="0.25">
      <c r="A767" t="s">
        <v>3565</v>
      </c>
      <c r="B767" t="s">
        <v>3566</v>
      </c>
      <c r="C767">
        <v>2019</v>
      </c>
      <c r="D767">
        <v>8001</v>
      </c>
      <c r="E767">
        <v>2</v>
      </c>
      <c r="F767" t="s">
        <v>3567</v>
      </c>
      <c r="G767">
        <v>27420716</v>
      </c>
      <c r="J767">
        <v>54.32</v>
      </c>
      <c r="L767">
        <v>43907833</v>
      </c>
      <c r="M767" s="1">
        <v>43899</v>
      </c>
      <c r="N767" t="str">
        <f>"J200309AW1"</f>
        <v>J200309AW1</v>
      </c>
      <c r="O767" t="s">
        <v>28</v>
      </c>
      <c r="Q767" t="s">
        <v>29</v>
      </c>
      <c r="R767" t="s">
        <v>28</v>
      </c>
      <c r="S767" t="s">
        <v>3568</v>
      </c>
      <c r="T767" t="s">
        <v>3569</v>
      </c>
      <c r="W767" t="s">
        <v>81</v>
      </c>
      <c r="X767" t="s">
        <v>34</v>
      </c>
      <c r="Y767" t="str">
        <f>"774077150"</f>
        <v>774077150</v>
      </c>
    </row>
    <row r="768" spans="1:25" x14ac:dyDescent="0.25">
      <c r="A768" t="s">
        <v>3570</v>
      </c>
      <c r="B768" t="s">
        <v>3571</v>
      </c>
      <c r="C768">
        <v>2021</v>
      </c>
      <c r="D768">
        <v>8001</v>
      </c>
      <c r="E768">
        <v>21</v>
      </c>
      <c r="F768" t="s">
        <v>3572</v>
      </c>
      <c r="G768">
        <v>0</v>
      </c>
      <c r="J768">
        <v>22.58</v>
      </c>
      <c r="L768">
        <v>47780254</v>
      </c>
      <c r="M768" s="1">
        <v>44516</v>
      </c>
      <c r="N768" t="str">
        <f>"TE211116"</f>
        <v>TE211116</v>
      </c>
      <c r="O768" t="s">
        <v>28</v>
      </c>
      <c r="Q768" t="s">
        <v>29</v>
      </c>
      <c r="R768" t="s">
        <v>28</v>
      </c>
      <c r="S768" t="s">
        <v>3572</v>
      </c>
      <c r="T768" t="s">
        <v>3573</v>
      </c>
      <c r="U768" t="s">
        <v>60</v>
      </c>
      <c r="V768" t="s">
        <v>60</v>
      </c>
      <c r="W768" t="s">
        <v>214</v>
      </c>
      <c r="X768" t="s">
        <v>34</v>
      </c>
      <c r="Y768" t="str">
        <f>"774074986   "</f>
        <v xml:space="preserve">774074986   </v>
      </c>
    </row>
    <row r="769" spans="1:25" x14ac:dyDescent="0.25">
      <c r="A769" t="s">
        <v>3574</v>
      </c>
      <c r="B769" t="s">
        <v>3575</v>
      </c>
      <c r="C769">
        <v>2021</v>
      </c>
      <c r="D769">
        <v>8001</v>
      </c>
      <c r="E769">
        <v>1</v>
      </c>
      <c r="F769" t="s">
        <v>3576</v>
      </c>
      <c r="G769">
        <v>0</v>
      </c>
      <c r="J769">
        <v>14.25</v>
      </c>
      <c r="L769">
        <v>50226456</v>
      </c>
      <c r="M769" s="1">
        <v>44617</v>
      </c>
      <c r="N769" t="str">
        <f>"QP220225"</f>
        <v>QP220225</v>
      </c>
      <c r="O769" t="s">
        <v>28</v>
      </c>
      <c r="Q769" t="s">
        <v>29</v>
      </c>
      <c r="R769" t="s">
        <v>28</v>
      </c>
      <c r="S769" t="s">
        <v>3576</v>
      </c>
      <c r="T769" t="s">
        <v>3577</v>
      </c>
      <c r="U769" t="s">
        <v>60</v>
      </c>
      <c r="V769" t="s">
        <v>60</v>
      </c>
      <c r="W769" t="s">
        <v>219</v>
      </c>
      <c r="X769" t="s">
        <v>34</v>
      </c>
      <c r="Y769" t="str">
        <f>"774982953   "</f>
        <v xml:space="preserve">774982953   </v>
      </c>
    </row>
    <row r="770" spans="1:25" x14ac:dyDescent="0.25">
      <c r="A770" t="s">
        <v>3578</v>
      </c>
      <c r="B770" t="s">
        <v>3579</v>
      </c>
      <c r="C770">
        <v>2018</v>
      </c>
      <c r="D770">
        <v>8001</v>
      </c>
      <c r="E770">
        <v>6</v>
      </c>
      <c r="F770" t="s">
        <v>3580</v>
      </c>
      <c r="G770">
        <v>27328819</v>
      </c>
      <c r="J770">
        <v>6.04</v>
      </c>
      <c r="L770">
        <v>41063908</v>
      </c>
      <c r="M770" s="1">
        <v>43558</v>
      </c>
      <c r="N770" t="str">
        <f>"CC190403"</f>
        <v>CC190403</v>
      </c>
      <c r="O770" t="s">
        <v>28</v>
      </c>
      <c r="Q770" t="s">
        <v>29</v>
      </c>
      <c r="R770" t="s">
        <v>28</v>
      </c>
      <c r="S770" t="s">
        <v>3581</v>
      </c>
      <c r="T770" t="s">
        <v>3582</v>
      </c>
      <c r="W770" t="s">
        <v>40</v>
      </c>
      <c r="X770" t="s">
        <v>34</v>
      </c>
      <c r="Y770" t="str">
        <f>"77498"</f>
        <v>77498</v>
      </c>
    </row>
    <row r="771" spans="1:25" x14ac:dyDescent="0.25">
      <c r="A771" t="s">
        <v>3583</v>
      </c>
      <c r="B771" t="s">
        <v>3584</v>
      </c>
      <c r="C771">
        <v>2019</v>
      </c>
      <c r="D771">
        <v>8001</v>
      </c>
      <c r="E771">
        <v>2</v>
      </c>
      <c r="F771" t="s">
        <v>3585</v>
      </c>
      <c r="G771">
        <v>0</v>
      </c>
      <c r="J771">
        <v>210.82</v>
      </c>
      <c r="L771">
        <v>43875680</v>
      </c>
      <c r="M771" s="1">
        <v>43894</v>
      </c>
      <c r="N771" t="str">
        <f>"L200304"</f>
        <v>L200304</v>
      </c>
      <c r="O771" t="s">
        <v>28</v>
      </c>
      <c r="Q771" t="s">
        <v>29</v>
      </c>
      <c r="R771" t="s">
        <v>28</v>
      </c>
      <c r="S771" t="s">
        <v>3585</v>
      </c>
      <c r="T771" t="s">
        <v>3586</v>
      </c>
      <c r="U771" t="s">
        <v>60</v>
      </c>
      <c r="V771" t="s">
        <v>60</v>
      </c>
      <c r="W771" t="s">
        <v>219</v>
      </c>
      <c r="X771" t="s">
        <v>34</v>
      </c>
      <c r="Y771" t="str">
        <f>"774794661   "</f>
        <v xml:space="preserve">774794661   </v>
      </c>
    </row>
    <row r="772" spans="1:25" x14ac:dyDescent="0.25">
      <c r="A772" t="s">
        <v>3587</v>
      </c>
      <c r="B772" t="s">
        <v>3588</v>
      </c>
      <c r="C772">
        <v>2019</v>
      </c>
      <c r="D772">
        <v>8001</v>
      </c>
      <c r="E772">
        <v>2</v>
      </c>
      <c r="F772" t="s">
        <v>3589</v>
      </c>
      <c r="G772">
        <v>28221915</v>
      </c>
      <c r="J772">
        <v>43.76</v>
      </c>
      <c r="L772">
        <v>43774402</v>
      </c>
      <c r="M772" s="1">
        <v>43882</v>
      </c>
      <c r="N772" t="str">
        <f>"J200221K1"</f>
        <v>J200221K1</v>
      </c>
      <c r="O772" t="s">
        <v>28</v>
      </c>
      <c r="Q772" t="s">
        <v>29</v>
      </c>
      <c r="R772" t="s">
        <v>28</v>
      </c>
      <c r="S772" t="s">
        <v>3590</v>
      </c>
      <c r="T772" t="s">
        <v>3591</v>
      </c>
      <c r="U772" t="s">
        <v>1266</v>
      </c>
      <c r="W772" t="s">
        <v>332</v>
      </c>
      <c r="X772" t="s">
        <v>34</v>
      </c>
      <c r="Y772" t="str">
        <f>"752359788"</f>
        <v>752359788</v>
      </c>
    </row>
    <row r="773" spans="1:25" x14ac:dyDescent="0.25">
      <c r="A773" t="s">
        <v>3592</v>
      </c>
      <c r="B773" t="s">
        <v>3593</v>
      </c>
      <c r="C773">
        <v>2021</v>
      </c>
      <c r="D773">
        <v>8001</v>
      </c>
      <c r="E773">
        <v>1</v>
      </c>
      <c r="F773" t="s">
        <v>3594</v>
      </c>
      <c r="G773">
        <v>29655411</v>
      </c>
      <c r="J773">
        <v>228.84</v>
      </c>
      <c r="L773">
        <v>49957918</v>
      </c>
      <c r="M773" s="1">
        <v>44595</v>
      </c>
      <c r="N773" t="str">
        <f>"RC220303"</f>
        <v>RC220303</v>
      </c>
      <c r="O773" t="s">
        <v>28</v>
      </c>
      <c r="Q773" t="s">
        <v>29</v>
      </c>
      <c r="R773" t="s">
        <v>28</v>
      </c>
      <c r="S773" t="s">
        <v>3595</v>
      </c>
      <c r="T773" t="s">
        <v>3596</v>
      </c>
      <c r="W773" t="s">
        <v>75</v>
      </c>
      <c r="X773" t="s">
        <v>34</v>
      </c>
      <c r="Y773" t="str">
        <f>"770791707"</f>
        <v>770791707</v>
      </c>
    </row>
    <row r="774" spans="1:25" x14ac:dyDescent="0.25">
      <c r="A774" t="s">
        <v>3597</v>
      </c>
      <c r="B774" t="s">
        <v>3598</v>
      </c>
      <c r="C774">
        <v>2019</v>
      </c>
      <c r="D774">
        <v>8001</v>
      </c>
      <c r="E774">
        <v>11</v>
      </c>
      <c r="F774" t="s">
        <v>3599</v>
      </c>
      <c r="G774">
        <v>0</v>
      </c>
      <c r="J774">
        <v>484.51</v>
      </c>
      <c r="L774">
        <v>42538824</v>
      </c>
      <c r="M774" s="1">
        <v>43830</v>
      </c>
      <c r="N774" t="str">
        <f>"L191231"</f>
        <v>L191231</v>
      </c>
      <c r="O774" t="s">
        <v>28</v>
      </c>
      <c r="Q774" t="s">
        <v>29</v>
      </c>
      <c r="R774" t="s">
        <v>28</v>
      </c>
      <c r="S774" t="s">
        <v>3599</v>
      </c>
      <c r="T774" t="s">
        <v>3600</v>
      </c>
      <c r="U774" t="s">
        <v>60</v>
      </c>
      <c r="V774" t="s">
        <v>60</v>
      </c>
      <c r="W774" t="s">
        <v>1333</v>
      </c>
      <c r="X774" t="s">
        <v>34</v>
      </c>
      <c r="Y774" t="str">
        <f>"774895044   "</f>
        <v xml:space="preserve">774895044   </v>
      </c>
    </row>
    <row r="775" spans="1:25" x14ac:dyDescent="0.25">
      <c r="A775" t="s">
        <v>3601</v>
      </c>
      <c r="B775" t="s">
        <v>3602</v>
      </c>
      <c r="C775">
        <v>2020</v>
      </c>
      <c r="D775">
        <v>8001</v>
      </c>
      <c r="E775">
        <v>1</v>
      </c>
      <c r="F775" t="s">
        <v>3603</v>
      </c>
      <c r="G775">
        <v>22783607</v>
      </c>
      <c r="J775">
        <v>960.57</v>
      </c>
      <c r="L775">
        <v>45356734</v>
      </c>
      <c r="M775" s="1">
        <v>44183</v>
      </c>
      <c r="N775" t="str">
        <f>"RC210107"</f>
        <v>RC210107</v>
      </c>
      <c r="O775" t="s">
        <v>28</v>
      </c>
      <c r="Q775" t="s">
        <v>29</v>
      </c>
      <c r="R775" t="s">
        <v>28</v>
      </c>
      <c r="S775" t="s">
        <v>3604</v>
      </c>
      <c r="T775" t="s">
        <v>203</v>
      </c>
      <c r="U775" t="s">
        <v>3605</v>
      </c>
      <c r="W775" t="s">
        <v>1075</v>
      </c>
      <c r="X775" t="s">
        <v>34</v>
      </c>
      <c r="Y775" t="str">
        <f>"761024528"</f>
        <v>761024528</v>
      </c>
    </row>
    <row r="776" spans="1:25" x14ac:dyDescent="0.25">
      <c r="A776" t="s">
        <v>3606</v>
      </c>
      <c r="B776" t="s">
        <v>3607</v>
      </c>
      <c r="C776">
        <v>2020</v>
      </c>
      <c r="D776">
        <v>8001</v>
      </c>
      <c r="E776">
        <v>3</v>
      </c>
      <c r="F776" t="s">
        <v>3608</v>
      </c>
      <c r="G776">
        <v>29855862</v>
      </c>
      <c r="J776">
        <v>17.690000000000001</v>
      </c>
      <c r="L776">
        <v>47493659</v>
      </c>
      <c r="M776" s="1">
        <v>44350</v>
      </c>
      <c r="N776" t="str">
        <f>"EK210603"</f>
        <v>EK210603</v>
      </c>
      <c r="O776" t="s">
        <v>28</v>
      </c>
      <c r="Q776" t="s">
        <v>29</v>
      </c>
      <c r="R776" t="s">
        <v>28</v>
      </c>
      <c r="S776" t="s">
        <v>3609</v>
      </c>
      <c r="T776" t="s">
        <v>3610</v>
      </c>
      <c r="W776" t="s">
        <v>3611</v>
      </c>
      <c r="X776" t="s">
        <v>34</v>
      </c>
      <c r="Y776" t="str">
        <f>"77477"</f>
        <v>77477</v>
      </c>
    </row>
    <row r="777" spans="1:25" x14ac:dyDescent="0.25">
      <c r="A777" t="s">
        <v>3612</v>
      </c>
      <c r="B777" t="s">
        <v>3613</v>
      </c>
      <c r="C777">
        <v>2020</v>
      </c>
      <c r="D777">
        <v>8001</v>
      </c>
      <c r="E777">
        <v>4</v>
      </c>
      <c r="F777" t="s">
        <v>3614</v>
      </c>
      <c r="G777">
        <v>27298891</v>
      </c>
      <c r="J777">
        <v>21.96</v>
      </c>
      <c r="L777">
        <v>47379264</v>
      </c>
      <c r="M777" s="1">
        <v>44323</v>
      </c>
      <c r="N777" t="str">
        <f>"O210507BV6"</f>
        <v>O210507BV6</v>
      </c>
      <c r="O777" t="s">
        <v>28</v>
      </c>
      <c r="Q777" t="s">
        <v>29</v>
      </c>
      <c r="R777" t="s">
        <v>28</v>
      </c>
      <c r="S777" t="s">
        <v>3615</v>
      </c>
      <c r="T777" t="s">
        <v>3616</v>
      </c>
      <c r="U777" t="s">
        <v>3617</v>
      </c>
      <c r="W777" t="s">
        <v>371</v>
      </c>
      <c r="X777" t="s">
        <v>34</v>
      </c>
      <c r="Y777" t="str">
        <f>"774772259"</f>
        <v>774772259</v>
      </c>
    </row>
    <row r="778" spans="1:25" x14ac:dyDescent="0.25">
      <c r="A778" t="s">
        <v>3618</v>
      </c>
      <c r="B778" t="s">
        <v>3619</v>
      </c>
      <c r="C778">
        <v>2019</v>
      </c>
      <c r="D778">
        <v>8001</v>
      </c>
      <c r="E778">
        <v>1</v>
      </c>
      <c r="F778" t="s">
        <v>3620</v>
      </c>
      <c r="G778">
        <v>22993312</v>
      </c>
      <c r="J778">
        <v>16.61</v>
      </c>
      <c r="L778">
        <v>44288768</v>
      </c>
      <c r="M778" s="1">
        <v>43990</v>
      </c>
      <c r="N778" t="str">
        <f>"J200608K5"</f>
        <v>J200608K5</v>
      </c>
      <c r="O778" t="s">
        <v>28</v>
      </c>
      <c r="Q778" t="s">
        <v>29</v>
      </c>
      <c r="R778" t="s">
        <v>28</v>
      </c>
      <c r="S778" t="s">
        <v>1794</v>
      </c>
      <c r="T778" t="s">
        <v>1795</v>
      </c>
      <c r="W778" t="s">
        <v>1615</v>
      </c>
      <c r="X778" t="s">
        <v>143</v>
      </c>
      <c r="Y778" t="str">
        <f>"191156320"</f>
        <v>191156320</v>
      </c>
    </row>
    <row r="779" spans="1:25" x14ac:dyDescent="0.25">
      <c r="A779" t="s">
        <v>3621</v>
      </c>
      <c r="B779" t="s">
        <v>3622</v>
      </c>
      <c r="C779">
        <v>2019</v>
      </c>
      <c r="D779">
        <v>8001</v>
      </c>
      <c r="E779">
        <v>1</v>
      </c>
      <c r="F779" t="s">
        <v>3623</v>
      </c>
      <c r="G779">
        <v>25213402</v>
      </c>
      <c r="J779">
        <v>681.68</v>
      </c>
      <c r="L779">
        <v>42844087</v>
      </c>
      <c r="M779" s="1">
        <v>43843</v>
      </c>
      <c r="N779" t="str">
        <f>"J200113K13"</f>
        <v>J200113K13</v>
      </c>
      <c r="O779" t="s">
        <v>28</v>
      </c>
      <c r="Q779" t="s">
        <v>29</v>
      </c>
      <c r="R779" t="s">
        <v>28</v>
      </c>
      <c r="S779" t="s">
        <v>3624</v>
      </c>
      <c r="T779" t="s">
        <v>3625</v>
      </c>
      <c r="U779" t="s">
        <v>3626</v>
      </c>
      <c r="W779" t="s">
        <v>33</v>
      </c>
      <c r="X779" t="s">
        <v>34</v>
      </c>
      <c r="Y779" t="str">
        <f>"75075"</f>
        <v>75075</v>
      </c>
    </row>
    <row r="780" spans="1:25" x14ac:dyDescent="0.25">
      <c r="A780" t="s">
        <v>3627</v>
      </c>
      <c r="B780" t="s">
        <v>3628</v>
      </c>
      <c r="C780">
        <v>2020</v>
      </c>
      <c r="D780">
        <v>8001</v>
      </c>
      <c r="E780">
        <v>1</v>
      </c>
      <c r="F780" t="s">
        <v>3629</v>
      </c>
      <c r="G780">
        <v>29461914</v>
      </c>
      <c r="J780">
        <v>237.82</v>
      </c>
      <c r="L780">
        <v>46728914</v>
      </c>
      <c r="M780" s="1">
        <v>44230</v>
      </c>
      <c r="N780" t="str">
        <f>"EK210203"</f>
        <v>EK210203</v>
      </c>
      <c r="O780" t="s">
        <v>28</v>
      </c>
      <c r="Q780" t="s">
        <v>29</v>
      </c>
      <c r="R780" t="s">
        <v>28</v>
      </c>
      <c r="S780" t="s">
        <v>3630</v>
      </c>
      <c r="T780" t="s">
        <v>3631</v>
      </c>
      <c r="W780" t="s">
        <v>392</v>
      </c>
      <c r="X780" t="s">
        <v>34</v>
      </c>
      <c r="Y780" t="str">
        <f>"77459"</f>
        <v>77459</v>
      </c>
    </row>
    <row r="781" spans="1:25" x14ac:dyDescent="0.25">
      <c r="A781" t="s">
        <v>3632</v>
      </c>
      <c r="B781" t="s">
        <v>3633</v>
      </c>
      <c r="C781">
        <v>2021</v>
      </c>
      <c r="D781">
        <v>8001</v>
      </c>
      <c r="E781">
        <v>1</v>
      </c>
      <c r="F781" t="s">
        <v>3634</v>
      </c>
      <c r="G781">
        <v>30513017</v>
      </c>
      <c r="J781">
        <v>49.31</v>
      </c>
      <c r="L781">
        <v>48537635</v>
      </c>
      <c r="M781" s="1">
        <v>44547</v>
      </c>
      <c r="N781" t="str">
        <f>"RC220114"</f>
        <v>RC220114</v>
      </c>
      <c r="O781" t="s">
        <v>28</v>
      </c>
      <c r="Q781" t="s">
        <v>29</v>
      </c>
      <c r="R781" t="s">
        <v>28</v>
      </c>
      <c r="S781" t="s">
        <v>3635</v>
      </c>
      <c r="T781" t="s">
        <v>3636</v>
      </c>
      <c r="U781" t="s">
        <v>3637</v>
      </c>
      <c r="V781" t="s">
        <v>3638</v>
      </c>
      <c r="W781" t="s">
        <v>107</v>
      </c>
      <c r="X781" t="s">
        <v>34</v>
      </c>
      <c r="Y781" t="str">
        <f>"77450"</f>
        <v>77450</v>
      </c>
    </row>
    <row r="782" spans="1:25" x14ac:dyDescent="0.25">
      <c r="A782" t="s">
        <v>3639</v>
      </c>
      <c r="B782" t="s">
        <v>3640</v>
      </c>
      <c r="C782">
        <v>2020</v>
      </c>
      <c r="D782">
        <v>8001</v>
      </c>
      <c r="E782">
        <v>1</v>
      </c>
      <c r="F782" t="s">
        <v>3641</v>
      </c>
      <c r="G782">
        <v>0</v>
      </c>
      <c r="J782">
        <v>796.05</v>
      </c>
      <c r="L782">
        <v>46674172</v>
      </c>
      <c r="M782" s="1">
        <v>44229</v>
      </c>
      <c r="N782" t="str">
        <f>"L210202"</f>
        <v>L210202</v>
      </c>
      <c r="O782" t="s">
        <v>28</v>
      </c>
      <c r="Q782" t="s">
        <v>29</v>
      </c>
      <c r="R782" t="s">
        <v>28</v>
      </c>
      <c r="S782" t="s">
        <v>3641</v>
      </c>
      <c r="T782" t="s">
        <v>3642</v>
      </c>
      <c r="U782" t="s">
        <v>60</v>
      </c>
      <c r="V782" t="s">
        <v>60</v>
      </c>
      <c r="W782" t="s">
        <v>219</v>
      </c>
      <c r="X782" t="s">
        <v>34</v>
      </c>
      <c r="Y782" t="str">
        <f>"774966698   "</f>
        <v xml:space="preserve">774966698   </v>
      </c>
    </row>
    <row r="783" spans="1:25" x14ac:dyDescent="0.25">
      <c r="A783" t="s">
        <v>3643</v>
      </c>
      <c r="B783" t="s">
        <v>3644</v>
      </c>
      <c r="C783">
        <v>2020</v>
      </c>
      <c r="D783">
        <v>8001</v>
      </c>
      <c r="E783">
        <v>1</v>
      </c>
      <c r="F783" t="s">
        <v>3645</v>
      </c>
      <c r="G783">
        <v>0</v>
      </c>
      <c r="J783">
        <v>45.21</v>
      </c>
      <c r="L783">
        <v>47020749</v>
      </c>
      <c r="M783" s="1">
        <v>44258</v>
      </c>
      <c r="N783" t="str">
        <f>"L210303"</f>
        <v>L210303</v>
      </c>
      <c r="O783" t="s">
        <v>28</v>
      </c>
      <c r="Q783" t="s">
        <v>29</v>
      </c>
      <c r="R783" t="s">
        <v>28</v>
      </c>
      <c r="S783" t="s">
        <v>3645</v>
      </c>
      <c r="T783" t="s">
        <v>3646</v>
      </c>
      <c r="U783" t="s">
        <v>60</v>
      </c>
      <c r="V783" t="s">
        <v>60</v>
      </c>
      <c r="W783" t="s">
        <v>135</v>
      </c>
      <c r="X783" t="s">
        <v>34</v>
      </c>
      <c r="Y783" t="str">
        <f>"770832904   "</f>
        <v xml:space="preserve">770832904   </v>
      </c>
    </row>
    <row r="784" spans="1:25" x14ac:dyDescent="0.25">
      <c r="A784" t="s">
        <v>3647</v>
      </c>
      <c r="B784" t="s">
        <v>3648</v>
      </c>
      <c r="C784">
        <v>2019</v>
      </c>
      <c r="D784">
        <v>8001</v>
      </c>
      <c r="E784">
        <v>5</v>
      </c>
      <c r="F784" t="s">
        <v>3649</v>
      </c>
      <c r="G784">
        <v>24703175</v>
      </c>
      <c r="J784">
        <v>81.69</v>
      </c>
      <c r="L784">
        <v>44113770</v>
      </c>
      <c r="M784" s="1">
        <v>43951</v>
      </c>
      <c r="N784" t="str">
        <f>"S200430U1"</f>
        <v>S200430U1</v>
      </c>
      <c r="O784" t="s">
        <v>28</v>
      </c>
      <c r="Q784" t="s">
        <v>29</v>
      </c>
      <c r="R784" t="s">
        <v>28</v>
      </c>
      <c r="S784" t="s">
        <v>3650</v>
      </c>
      <c r="T784" t="s">
        <v>3651</v>
      </c>
      <c r="W784" t="s">
        <v>75</v>
      </c>
      <c r="X784" t="s">
        <v>34</v>
      </c>
      <c r="Y784" t="str">
        <f>"770141345"</f>
        <v>770141345</v>
      </c>
    </row>
    <row r="785" spans="1:25" x14ac:dyDescent="0.25">
      <c r="A785" t="s">
        <v>3652</v>
      </c>
      <c r="B785" t="s">
        <v>3653</v>
      </c>
      <c r="C785">
        <v>2018</v>
      </c>
      <c r="D785">
        <v>8001</v>
      </c>
      <c r="E785">
        <v>7</v>
      </c>
      <c r="F785" t="s">
        <v>3654</v>
      </c>
      <c r="G785">
        <v>25048477</v>
      </c>
      <c r="J785">
        <v>9.33</v>
      </c>
      <c r="L785">
        <v>41480053</v>
      </c>
      <c r="M785" s="1">
        <v>43684</v>
      </c>
      <c r="N785" t="str">
        <f>"J190807K1"</f>
        <v>J190807K1</v>
      </c>
      <c r="O785" t="s">
        <v>28</v>
      </c>
      <c r="Q785" t="s">
        <v>29</v>
      </c>
      <c r="R785" t="s">
        <v>28</v>
      </c>
      <c r="S785" t="s">
        <v>2579</v>
      </c>
      <c r="T785" t="s">
        <v>2052</v>
      </c>
      <c r="W785" t="s">
        <v>1328</v>
      </c>
      <c r="X785" t="s">
        <v>162</v>
      </c>
      <c r="Y785" t="str">
        <f>"080545452"</f>
        <v>080545452</v>
      </c>
    </row>
    <row r="786" spans="1:25" x14ac:dyDescent="0.25">
      <c r="A786" t="s">
        <v>3655</v>
      </c>
      <c r="B786" t="s">
        <v>3656</v>
      </c>
      <c r="C786">
        <v>2020</v>
      </c>
      <c r="D786">
        <v>8001</v>
      </c>
      <c r="E786">
        <v>1</v>
      </c>
      <c r="F786" t="s">
        <v>3657</v>
      </c>
      <c r="G786">
        <v>29489436</v>
      </c>
      <c r="J786">
        <v>171</v>
      </c>
      <c r="L786">
        <v>46782135</v>
      </c>
      <c r="M786" s="1">
        <v>44231</v>
      </c>
      <c r="N786" t="str">
        <f>"CC210204"</f>
        <v>CC210204</v>
      </c>
      <c r="O786" t="s">
        <v>28</v>
      </c>
      <c r="Q786" t="s">
        <v>29</v>
      </c>
      <c r="R786" t="s">
        <v>28</v>
      </c>
      <c r="S786" t="s">
        <v>3658</v>
      </c>
      <c r="T786" t="s">
        <v>3659</v>
      </c>
      <c r="W786" t="s">
        <v>75</v>
      </c>
      <c r="X786" t="s">
        <v>34</v>
      </c>
      <c r="Y786" t="str">
        <f>"77254"</f>
        <v>77254</v>
      </c>
    </row>
    <row r="787" spans="1:25" x14ac:dyDescent="0.25">
      <c r="A787" t="s">
        <v>3660</v>
      </c>
      <c r="B787" t="s">
        <v>3661</v>
      </c>
      <c r="C787">
        <v>2019</v>
      </c>
      <c r="D787">
        <v>8001</v>
      </c>
      <c r="E787">
        <v>1</v>
      </c>
      <c r="F787" t="s">
        <v>3662</v>
      </c>
      <c r="G787">
        <v>25409125</v>
      </c>
      <c r="J787">
        <v>18</v>
      </c>
      <c r="L787">
        <v>43597516</v>
      </c>
      <c r="M787" s="1">
        <v>43866</v>
      </c>
      <c r="N787" t="str">
        <f>"J200205AW8"</f>
        <v>J200205AW8</v>
      </c>
      <c r="O787" t="s">
        <v>28</v>
      </c>
      <c r="Q787" t="s">
        <v>29</v>
      </c>
      <c r="R787" t="s">
        <v>28</v>
      </c>
      <c r="S787" t="s">
        <v>3663</v>
      </c>
      <c r="T787" t="s">
        <v>3664</v>
      </c>
      <c r="W787" t="s">
        <v>3665</v>
      </c>
      <c r="X787" t="s">
        <v>169</v>
      </c>
      <c r="Y787" t="str">
        <f>"801264203"</f>
        <v>801264203</v>
      </c>
    </row>
    <row r="788" spans="1:25" x14ac:dyDescent="0.25">
      <c r="A788" t="s">
        <v>3666</v>
      </c>
      <c r="B788" t="s">
        <v>3667</v>
      </c>
      <c r="C788">
        <v>2020</v>
      </c>
      <c r="D788">
        <v>8001</v>
      </c>
      <c r="E788">
        <v>1</v>
      </c>
      <c r="F788" t="s">
        <v>3668</v>
      </c>
      <c r="G788">
        <v>0</v>
      </c>
      <c r="J788">
        <v>205.54</v>
      </c>
      <c r="L788">
        <v>45881464</v>
      </c>
      <c r="M788" s="1">
        <v>44207</v>
      </c>
      <c r="N788" t="str">
        <f>"L210111"</f>
        <v>L210111</v>
      </c>
      <c r="O788" t="s">
        <v>28</v>
      </c>
      <c r="Q788" t="s">
        <v>29</v>
      </c>
      <c r="R788" t="s">
        <v>28</v>
      </c>
      <c r="S788" t="s">
        <v>3668</v>
      </c>
      <c r="T788" t="s">
        <v>3669</v>
      </c>
      <c r="U788" t="s">
        <v>60</v>
      </c>
      <c r="V788" t="s">
        <v>60</v>
      </c>
      <c r="W788" t="s">
        <v>135</v>
      </c>
      <c r="X788" t="s">
        <v>34</v>
      </c>
      <c r="Y788" t="str">
        <f>"770834930   "</f>
        <v xml:space="preserve">770834930   </v>
      </c>
    </row>
    <row r="789" spans="1:25" x14ac:dyDescent="0.25">
      <c r="A789" t="s">
        <v>3670</v>
      </c>
      <c r="B789" t="s">
        <v>3671</v>
      </c>
      <c r="C789">
        <v>2019</v>
      </c>
      <c r="D789">
        <v>8001</v>
      </c>
      <c r="E789">
        <v>2</v>
      </c>
      <c r="F789" t="s">
        <v>3672</v>
      </c>
      <c r="G789">
        <v>0</v>
      </c>
      <c r="J789">
        <v>14.4</v>
      </c>
      <c r="L789">
        <v>43998755</v>
      </c>
      <c r="M789" s="1">
        <v>43920</v>
      </c>
      <c r="N789" t="str">
        <f>"J200330AW3"</f>
        <v>J200330AW3</v>
      </c>
      <c r="O789" t="s">
        <v>28</v>
      </c>
      <c r="Q789" t="s">
        <v>29</v>
      </c>
      <c r="R789" t="s">
        <v>28</v>
      </c>
      <c r="S789" t="s">
        <v>3672</v>
      </c>
      <c r="T789" t="s">
        <v>3673</v>
      </c>
      <c r="U789" t="s">
        <v>60</v>
      </c>
      <c r="V789" t="s">
        <v>60</v>
      </c>
      <c r="W789" t="s">
        <v>135</v>
      </c>
      <c r="X789" t="s">
        <v>34</v>
      </c>
      <c r="Y789" t="str">
        <f>"770834919   "</f>
        <v xml:space="preserve">770834919   </v>
      </c>
    </row>
    <row r="790" spans="1:25" x14ac:dyDescent="0.25">
      <c r="A790" t="s">
        <v>3674</v>
      </c>
      <c r="B790" t="s">
        <v>3675</v>
      </c>
      <c r="C790">
        <v>2020</v>
      </c>
      <c r="D790">
        <v>8001</v>
      </c>
      <c r="E790">
        <v>1</v>
      </c>
      <c r="F790" t="s">
        <v>3676</v>
      </c>
      <c r="G790">
        <v>24540489</v>
      </c>
      <c r="J790">
        <v>413.61</v>
      </c>
      <c r="L790">
        <v>44643410</v>
      </c>
      <c r="M790" s="1">
        <v>44147</v>
      </c>
      <c r="N790" t="str">
        <f>"TE201112"</f>
        <v>TE201112</v>
      </c>
      <c r="O790" t="s">
        <v>28</v>
      </c>
      <c r="Q790" t="s">
        <v>29</v>
      </c>
      <c r="R790" t="s">
        <v>28</v>
      </c>
      <c r="S790" t="s">
        <v>3677</v>
      </c>
      <c r="T790" t="s">
        <v>3625</v>
      </c>
      <c r="U790" t="s">
        <v>3678</v>
      </c>
      <c r="W790" t="s">
        <v>33</v>
      </c>
      <c r="X790" t="s">
        <v>34</v>
      </c>
      <c r="Y790" t="str">
        <f>"75075"</f>
        <v>75075</v>
      </c>
    </row>
    <row r="791" spans="1:25" x14ac:dyDescent="0.25">
      <c r="A791" t="s">
        <v>3679</v>
      </c>
      <c r="B791" t="s">
        <v>3680</v>
      </c>
      <c r="C791">
        <v>2019</v>
      </c>
      <c r="D791">
        <v>8001</v>
      </c>
      <c r="E791">
        <v>2</v>
      </c>
      <c r="F791" t="s">
        <v>3681</v>
      </c>
      <c r="G791">
        <v>25560244</v>
      </c>
      <c r="J791">
        <v>35.369999999999997</v>
      </c>
      <c r="L791">
        <v>44130342</v>
      </c>
      <c r="M791" s="1">
        <v>43956</v>
      </c>
      <c r="N791" t="str">
        <f>"J200505AW2"</f>
        <v>J200505AW2</v>
      </c>
      <c r="O791" t="s">
        <v>28</v>
      </c>
      <c r="Q791" t="s">
        <v>29</v>
      </c>
      <c r="R791" t="s">
        <v>28</v>
      </c>
      <c r="S791" t="s">
        <v>2042</v>
      </c>
      <c r="T791" t="s">
        <v>3682</v>
      </c>
      <c r="U791" t="s">
        <v>3683</v>
      </c>
      <c r="V791" t="s">
        <v>562</v>
      </c>
      <c r="W791" t="s">
        <v>563</v>
      </c>
      <c r="X791" t="s">
        <v>34</v>
      </c>
      <c r="Y791" t="str">
        <f>"750630156"</f>
        <v>750630156</v>
      </c>
    </row>
    <row r="792" spans="1:25" x14ac:dyDescent="0.25">
      <c r="A792" t="s">
        <v>3684</v>
      </c>
      <c r="B792" t="s">
        <v>3685</v>
      </c>
      <c r="C792">
        <v>2021</v>
      </c>
      <c r="D792">
        <v>8001</v>
      </c>
      <c r="E792">
        <v>1</v>
      </c>
      <c r="F792" t="s">
        <v>3686</v>
      </c>
      <c r="G792">
        <v>29770481</v>
      </c>
      <c r="J792">
        <v>222.74</v>
      </c>
      <c r="L792">
        <v>49597727</v>
      </c>
      <c r="M792" s="1">
        <v>44588</v>
      </c>
      <c r="N792" t="str">
        <f>"RC220309"</f>
        <v>RC220309</v>
      </c>
      <c r="O792" t="s">
        <v>28</v>
      </c>
      <c r="Q792" t="s">
        <v>29</v>
      </c>
      <c r="R792" t="s">
        <v>28</v>
      </c>
      <c r="S792" t="s">
        <v>3687</v>
      </c>
      <c r="T792" t="s">
        <v>3688</v>
      </c>
      <c r="W792" t="s">
        <v>112</v>
      </c>
      <c r="X792" t="s">
        <v>34</v>
      </c>
      <c r="Y792" t="str">
        <f>"774782987"</f>
        <v>774782987</v>
      </c>
    </row>
    <row r="793" spans="1:25" x14ac:dyDescent="0.25">
      <c r="A793" t="s">
        <v>3689</v>
      </c>
      <c r="B793" t="s">
        <v>3690</v>
      </c>
      <c r="C793">
        <v>2019</v>
      </c>
      <c r="D793">
        <v>8001</v>
      </c>
      <c r="E793">
        <v>1</v>
      </c>
      <c r="F793" t="s">
        <v>3691</v>
      </c>
      <c r="G793">
        <v>27426072</v>
      </c>
      <c r="J793">
        <v>165.9</v>
      </c>
      <c r="L793">
        <v>43615503</v>
      </c>
      <c r="M793" s="1">
        <v>43866</v>
      </c>
      <c r="N793" t="str">
        <f>"J200205AW18"</f>
        <v>J200205AW18</v>
      </c>
      <c r="O793" t="s">
        <v>28</v>
      </c>
      <c r="Q793" t="s">
        <v>29</v>
      </c>
      <c r="R793" t="s">
        <v>28</v>
      </c>
      <c r="S793" t="s">
        <v>178</v>
      </c>
      <c r="T793" t="s">
        <v>179</v>
      </c>
      <c r="U793" t="s">
        <v>180</v>
      </c>
      <c r="W793" t="s">
        <v>107</v>
      </c>
      <c r="X793" t="s">
        <v>34</v>
      </c>
      <c r="Y793" t="str">
        <f>"774943095"</f>
        <v>774943095</v>
      </c>
    </row>
    <row r="794" spans="1:25" x14ac:dyDescent="0.25">
      <c r="A794" t="s">
        <v>3692</v>
      </c>
      <c r="B794" t="s">
        <v>3693</v>
      </c>
      <c r="C794">
        <v>2021</v>
      </c>
      <c r="D794">
        <v>8001</v>
      </c>
      <c r="E794">
        <v>7</v>
      </c>
      <c r="F794" t="s">
        <v>3694</v>
      </c>
      <c r="G794">
        <v>29932721</v>
      </c>
      <c r="J794">
        <v>40.46</v>
      </c>
      <c r="L794">
        <v>47697751</v>
      </c>
      <c r="M794" s="1">
        <v>44516</v>
      </c>
      <c r="N794" t="str">
        <f>"TE211116"</f>
        <v>TE211116</v>
      </c>
      <c r="O794" t="s">
        <v>28</v>
      </c>
      <c r="Q794" t="s">
        <v>29</v>
      </c>
      <c r="R794" t="s">
        <v>28</v>
      </c>
      <c r="S794" t="s">
        <v>3695</v>
      </c>
      <c r="T794" t="s">
        <v>3696</v>
      </c>
      <c r="W794" t="s">
        <v>75</v>
      </c>
      <c r="X794" t="s">
        <v>34</v>
      </c>
      <c r="Y794" t="str">
        <f>"770835389"</f>
        <v>770835389</v>
      </c>
    </row>
    <row r="795" spans="1:25" x14ac:dyDescent="0.25">
      <c r="A795" t="s">
        <v>3697</v>
      </c>
      <c r="B795" t="s">
        <v>3698</v>
      </c>
      <c r="C795">
        <v>2021</v>
      </c>
      <c r="D795">
        <v>8001</v>
      </c>
      <c r="E795">
        <v>1</v>
      </c>
      <c r="F795" t="s">
        <v>3699</v>
      </c>
      <c r="G795">
        <v>0</v>
      </c>
      <c r="J795">
        <v>72.42</v>
      </c>
      <c r="L795">
        <v>49065975</v>
      </c>
      <c r="M795" s="1">
        <v>44571</v>
      </c>
      <c r="N795" t="str">
        <f>"J220110BW11"</f>
        <v>J220110BW11</v>
      </c>
      <c r="O795" t="s">
        <v>28</v>
      </c>
      <c r="Q795" t="s">
        <v>29</v>
      </c>
      <c r="R795" t="s">
        <v>28</v>
      </c>
      <c r="S795" t="s">
        <v>3699</v>
      </c>
      <c r="T795" t="s">
        <v>3700</v>
      </c>
      <c r="U795" t="s">
        <v>60</v>
      </c>
      <c r="V795" t="s">
        <v>60</v>
      </c>
      <c r="W795" t="s">
        <v>135</v>
      </c>
      <c r="X795" t="s">
        <v>34</v>
      </c>
      <c r="Y795" t="str">
        <f>"770835324   "</f>
        <v xml:space="preserve">770835324   </v>
      </c>
    </row>
    <row r="796" spans="1:25" x14ac:dyDescent="0.25">
      <c r="A796" t="s">
        <v>3701</v>
      </c>
      <c r="B796" t="s">
        <v>3702</v>
      </c>
      <c r="C796">
        <v>2018</v>
      </c>
      <c r="D796">
        <v>8001</v>
      </c>
      <c r="E796">
        <v>2</v>
      </c>
      <c r="F796" t="s">
        <v>3703</v>
      </c>
      <c r="G796">
        <v>21600983</v>
      </c>
      <c r="J796">
        <v>71.78</v>
      </c>
      <c r="L796">
        <v>41293670</v>
      </c>
      <c r="M796" s="1">
        <v>43621</v>
      </c>
      <c r="N796" t="str">
        <f>"J190605AW7"</f>
        <v>J190605AW7</v>
      </c>
      <c r="O796" t="s">
        <v>28</v>
      </c>
      <c r="Q796" t="s">
        <v>29</v>
      </c>
      <c r="R796" t="s">
        <v>28</v>
      </c>
      <c r="S796" t="s">
        <v>1454</v>
      </c>
      <c r="T796" t="s">
        <v>1455</v>
      </c>
      <c r="W796" t="s">
        <v>1456</v>
      </c>
      <c r="X796" t="s">
        <v>1457</v>
      </c>
      <c r="Y796" t="str">
        <f>"234504968"</f>
        <v>234504968</v>
      </c>
    </row>
    <row r="797" spans="1:25" x14ac:dyDescent="0.25">
      <c r="A797" t="s">
        <v>3704</v>
      </c>
      <c r="B797" t="s">
        <v>3705</v>
      </c>
      <c r="C797">
        <v>2018</v>
      </c>
      <c r="D797">
        <v>8001</v>
      </c>
      <c r="E797">
        <v>2</v>
      </c>
      <c r="F797" t="s">
        <v>3706</v>
      </c>
      <c r="G797">
        <v>22424718</v>
      </c>
      <c r="J797">
        <v>60.37</v>
      </c>
      <c r="L797">
        <v>41313814</v>
      </c>
      <c r="M797" s="1">
        <v>43628</v>
      </c>
      <c r="N797" t="str">
        <f>"O190612BU9"</f>
        <v>O190612BU9</v>
      </c>
      <c r="O797" t="s">
        <v>28</v>
      </c>
      <c r="Q797" t="s">
        <v>29</v>
      </c>
      <c r="R797" t="s">
        <v>28</v>
      </c>
      <c r="S797" t="s">
        <v>3707</v>
      </c>
      <c r="T797" t="s">
        <v>3708</v>
      </c>
      <c r="U797" t="s">
        <v>3709</v>
      </c>
      <c r="W797" t="s">
        <v>3710</v>
      </c>
      <c r="X797" t="s">
        <v>900</v>
      </c>
      <c r="Y797" t="str">
        <f>"600478924"</f>
        <v>600478924</v>
      </c>
    </row>
    <row r="798" spans="1:25" x14ac:dyDescent="0.25">
      <c r="A798" t="s">
        <v>3711</v>
      </c>
      <c r="B798" t="s">
        <v>3712</v>
      </c>
      <c r="C798">
        <v>2020</v>
      </c>
      <c r="D798">
        <v>8001</v>
      </c>
      <c r="E798">
        <v>3</v>
      </c>
      <c r="F798" t="s">
        <v>3713</v>
      </c>
      <c r="G798">
        <v>0</v>
      </c>
      <c r="J798">
        <v>80</v>
      </c>
      <c r="L798">
        <v>46570470</v>
      </c>
      <c r="M798" s="1">
        <v>44228</v>
      </c>
      <c r="N798" t="str">
        <f>"J210201K1"</f>
        <v>J210201K1</v>
      </c>
      <c r="O798" t="s">
        <v>28</v>
      </c>
      <c r="Q798" t="s">
        <v>29</v>
      </c>
      <c r="R798" t="s">
        <v>28</v>
      </c>
      <c r="S798" t="s">
        <v>3713</v>
      </c>
      <c r="T798" t="s">
        <v>3714</v>
      </c>
      <c r="U798" t="s">
        <v>60</v>
      </c>
      <c r="V798" t="s">
        <v>60</v>
      </c>
      <c r="W798" t="s">
        <v>135</v>
      </c>
      <c r="X798" t="s">
        <v>34</v>
      </c>
      <c r="Y798" t="str">
        <f>"770836522   "</f>
        <v xml:space="preserve">770836522   </v>
      </c>
    </row>
    <row r="799" spans="1:25" x14ac:dyDescent="0.25">
      <c r="A799" t="s">
        <v>3715</v>
      </c>
      <c r="B799" t="s">
        <v>3716</v>
      </c>
      <c r="C799">
        <v>2020</v>
      </c>
      <c r="D799">
        <v>8001</v>
      </c>
      <c r="E799">
        <v>4</v>
      </c>
      <c r="F799" t="s">
        <v>3717</v>
      </c>
      <c r="G799">
        <v>29464477</v>
      </c>
      <c r="J799">
        <v>5.3</v>
      </c>
      <c r="L799">
        <v>46731875</v>
      </c>
      <c r="M799" s="1">
        <v>44230</v>
      </c>
      <c r="N799" t="str">
        <f>"CC310203"</f>
        <v>CC310203</v>
      </c>
      <c r="O799" t="s">
        <v>28</v>
      </c>
      <c r="Q799" t="s">
        <v>29</v>
      </c>
      <c r="R799" t="s">
        <v>28</v>
      </c>
      <c r="S799" t="s">
        <v>3718</v>
      </c>
      <c r="T799" t="s">
        <v>3719</v>
      </c>
      <c r="W799" t="s">
        <v>81</v>
      </c>
      <c r="X799" t="s">
        <v>34</v>
      </c>
      <c r="Y799" t="str">
        <f>"77407"</f>
        <v>77407</v>
      </c>
    </row>
    <row r="800" spans="1:25" x14ac:dyDescent="0.25">
      <c r="A800" t="s">
        <v>3720</v>
      </c>
      <c r="B800" t="s">
        <v>3721</v>
      </c>
      <c r="C800">
        <v>2020</v>
      </c>
      <c r="D800">
        <v>8001</v>
      </c>
      <c r="E800">
        <v>2</v>
      </c>
      <c r="F800" t="s">
        <v>3722</v>
      </c>
      <c r="G800">
        <v>0</v>
      </c>
      <c r="J800">
        <v>941.82</v>
      </c>
      <c r="L800">
        <v>47413064</v>
      </c>
      <c r="M800" s="1">
        <v>44334</v>
      </c>
      <c r="N800" t="str">
        <f>"J210518K3"</f>
        <v>J210518K3</v>
      </c>
      <c r="O800" t="s">
        <v>28</v>
      </c>
      <c r="Q800" t="s">
        <v>29</v>
      </c>
      <c r="R800" t="s">
        <v>28</v>
      </c>
      <c r="S800" t="s">
        <v>3722</v>
      </c>
      <c r="T800" t="s">
        <v>3723</v>
      </c>
      <c r="U800" t="s">
        <v>60</v>
      </c>
      <c r="V800" t="s">
        <v>60</v>
      </c>
      <c r="W800" t="s">
        <v>135</v>
      </c>
      <c r="X800" t="s">
        <v>34</v>
      </c>
      <c r="Y800" t="str">
        <f>"770831005   "</f>
        <v xml:space="preserve">770831005   </v>
      </c>
    </row>
    <row r="801" spans="1:25" x14ac:dyDescent="0.25">
      <c r="A801" t="s">
        <v>3724</v>
      </c>
      <c r="B801" t="s">
        <v>3725</v>
      </c>
      <c r="C801">
        <v>2019</v>
      </c>
      <c r="D801">
        <v>8001</v>
      </c>
      <c r="E801">
        <v>2</v>
      </c>
      <c r="F801" t="s">
        <v>3726</v>
      </c>
      <c r="G801">
        <v>25141064</v>
      </c>
      <c r="J801">
        <v>41.94</v>
      </c>
      <c r="L801">
        <v>44185602</v>
      </c>
      <c r="M801" s="1">
        <v>43971</v>
      </c>
      <c r="N801" t="str">
        <f>"J200520AW5"</f>
        <v>J200520AW5</v>
      </c>
      <c r="O801" t="s">
        <v>28</v>
      </c>
      <c r="Q801" t="s">
        <v>29</v>
      </c>
      <c r="R801" t="s">
        <v>28</v>
      </c>
      <c r="S801" t="s">
        <v>3727</v>
      </c>
      <c r="T801" t="s">
        <v>203</v>
      </c>
      <c r="U801" t="s">
        <v>3728</v>
      </c>
      <c r="V801" t="s">
        <v>3729</v>
      </c>
      <c r="W801" t="s">
        <v>75</v>
      </c>
      <c r="X801" t="s">
        <v>34</v>
      </c>
      <c r="Y801" t="str">
        <f>"77027"</f>
        <v>77027</v>
      </c>
    </row>
    <row r="802" spans="1:25" x14ac:dyDescent="0.25">
      <c r="A802" t="s">
        <v>3730</v>
      </c>
      <c r="B802" t="s">
        <v>3731</v>
      </c>
      <c r="C802">
        <v>2020</v>
      </c>
      <c r="D802">
        <v>8001</v>
      </c>
      <c r="E802">
        <v>1</v>
      </c>
      <c r="F802" t="s">
        <v>3732</v>
      </c>
      <c r="G802">
        <v>29859268</v>
      </c>
      <c r="J802">
        <v>37.409999999999997</v>
      </c>
      <c r="L802">
        <v>47500767</v>
      </c>
      <c r="M802" s="1">
        <v>44351</v>
      </c>
      <c r="N802" t="str">
        <f>"CC210604"</f>
        <v>CC210604</v>
      </c>
      <c r="O802" t="s">
        <v>28</v>
      </c>
      <c r="Q802" t="s">
        <v>29</v>
      </c>
      <c r="R802" t="s">
        <v>28</v>
      </c>
      <c r="S802" t="s">
        <v>3733</v>
      </c>
      <c r="T802" t="s">
        <v>3734</v>
      </c>
      <c r="W802" t="s">
        <v>81</v>
      </c>
      <c r="X802" t="s">
        <v>34</v>
      </c>
      <c r="Y802" t="str">
        <f>"77407"</f>
        <v>77407</v>
      </c>
    </row>
    <row r="803" spans="1:25" x14ac:dyDescent="0.25">
      <c r="A803" t="s">
        <v>3735</v>
      </c>
      <c r="B803" t="s">
        <v>3736</v>
      </c>
      <c r="C803">
        <v>2021</v>
      </c>
      <c r="D803">
        <v>8001</v>
      </c>
      <c r="E803">
        <v>1</v>
      </c>
      <c r="F803" t="s">
        <v>3737</v>
      </c>
      <c r="G803">
        <v>31060008</v>
      </c>
      <c r="J803">
        <v>317.89</v>
      </c>
      <c r="L803">
        <v>49494628</v>
      </c>
      <c r="M803" s="1">
        <v>44586</v>
      </c>
      <c r="N803" t="str">
        <f>"RC220309"</f>
        <v>RC220309</v>
      </c>
      <c r="O803" t="s">
        <v>28</v>
      </c>
      <c r="Q803" t="s">
        <v>29</v>
      </c>
      <c r="R803" t="s">
        <v>28</v>
      </c>
      <c r="S803" t="s">
        <v>3738</v>
      </c>
      <c r="T803" t="s">
        <v>3739</v>
      </c>
      <c r="W803" t="s">
        <v>3740</v>
      </c>
      <c r="X803" t="s">
        <v>34</v>
      </c>
      <c r="Y803" t="str">
        <f>"778307984"</f>
        <v>778307984</v>
      </c>
    </row>
    <row r="804" spans="1:25" x14ac:dyDescent="0.25">
      <c r="A804" t="s">
        <v>3741</v>
      </c>
      <c r="B804" t="s">
        <v>3742</v>
      </c>
      <c r="C804">
        <v>2020</v>
      </c>
      <c r="D804">
        <v>8001</v>
      </c>
      <c r="E804">
        <v>27</v>
      </c>
      <c r="F804" t="s">
        <v>3743</v>
      </c>
      <c r="G804">
        <v>30030846</v>
      </c>
      <c r="J804">
        <v>50</v>
      </c>
      <c r="L804">
        <v>47804705</v>
      </c>
      <c r="M804" s="1">
        <v>44483</v>
      </c>
      <c r="N804" t="str">
        <f>"CC311014"</f>
        <v>CC311014</v>
      </c>
      <c r="O804" t="s">
        <v>28</v>
      </c>
      <c r="Q804" t="s">
        <v>29</v>
      </c>
      <c r="R804" t="s">
        <v>28</v>
      </c>
      <c r="S804" t="s">
        <v>3744</v>
      </c>
      <c r="T804" t="s">
        <v>3745</v>
      </c>
      <c r="W804" t="s">
        <v>392</v>
      </c>
      <c r="X804" t="s">
        <v>34</v>
      </c>
      <c r="Y804" t="str">
        <f>"77489"</f>
        <v>77489</v>
      </c>
    </row>
    <row r="805" spans="1:25" x14ac:dyDescent="0.25">
      <c r="A805" t="s">
        <v>3746</v>
      </c>
      <c r="B805" t="s">
        <v>3747</v>
      </c>
      <c r="C805">
        <v>2020</v>
      </c>
      <c r="D805">
        <v>8001</v>
      </c>
      <c r="E805">
        <v>1</v>
      </c>
      <c r="F805" t="s">
        <v>3748</v>
      </c>
      <c r="G805">
        <v>24107419</v>
      </c>
      <c r="J805">
        <v>70</v>
      </c>
      <c r="L805">
        <v>46785814</v>
      </c>
      <c r="M805" s="1">
        <v>44231</v>
      </c>
      <c r="N805" t="str">
        <f>"RC210301"</f>
        <v>RC210301</v>
      </c>
      <c r="O805" t="s">
        <v>28</v>
      </c>
      <c r="Q805" t="s">
        <v>29</v>
      </c>
      <c r="R805" t="s">
        <v>28</v>
      </c>
      <c r="S805" t="s">
        <v>3749</v>
      </c>
      <c r="T805" t="s">
        <v>3750</v>
      </c>
      <c r="W805" t="s">
        <v>392</v>
      </c>
      <c r="X805" t="s">
        <v>34</v>
      </c>
      <c r="Y805" t="str">
        <f>"774891136"</f>
        <v>774891136</v>
      </c>
    </row>
    <row r="806" spans="1:25" x14ac:dyDescent="0.25">
      <c r="A806" t="s">
        <v>3751</v>
      </c>
      <c r="B806" t="s">
        <v>3752</v>
      </c>
      <c r="C806">
        <v>2020</v>
      </c>
      <c r="D806">
        <v>8001</v>
      </c>
      <c r="E806">
        <v>26</v>
      </c>
      <c r="F806" t="s">
        <v>3753</v>
      </c>
      <c r="G806">
        <v>0</v>
      </c>
      <c r="J806">
        <v>358.17</v>
      </c>
      <c r="L806">
        <v>47852040</v>
      </c>
      <c r="M806" s="1">
        <v>44494</v>
      </c>
      <c r="N806" t="str">
        <f>"EL211025"</f>
        <v>EL211025</v>
      </c>
      <c r="O806" t="s">
        <v>28</v>
      </c>
      <c r="Q806" t="s">
        <v>29</v>
      </c>
      <c r="R806" t="s">
        <v>28</v>
      </c>
      <c r="S806" t="s">
        <v>3753</v>
      </c>
      <c r="T806" t="s">
        <v>3754</v>
      </c>
      <c r="U806" t="s">
        <v>3755</v>
      </c>
      <c r="V806" t="s">
        <v>60</v>
      </c>
      <c r="W806" t="s">
        <v>1333</v>
      </c>
      <c r="X806" t="s">
        <v>34</v>
      </c>
      <c r="Y806" t="str">
        <f>"774892612   "</f>
        <v xml:space="preserve">774892612   </v>
      </c>
    </row>
    <row r="807" spans="1:25" x14ac:dyDescent="0.25">
      <c r="A807" t="s">
        <v>3756</v>
      </c>
      <c r="B807" t="s">
        <v>3757</v>
      </c>
      <c r="C807">
        <v>2021</v>
      </c>
      <c r="D807">
        <v>8001</v>
      </c>
      <c r="E807">
        <v>1</v>
      </c>
      <c r="F807" t="s">
        <v>3758</v>
      </c>
      <c r="G807">
        <v>29879404</v>
      </c>
      <c r="J807">
        <v>11.35</v>
      </c>
      <c r="L807">
        <v>50245216</v>
      </c>
      <c r="M807" s="1">
        <v>44620</v>
      </c>
      <c r="N807" t="str">
        <f>"RC220328"</f>
        <v>RC220328</v>
      </c>
      <c r="O807" t="s">
        <v>28</v>
      </c>
      <c r="Q807" t="s">
        <v>29</v>
      </c>
      <c r="R807" t="s">
        <v>28</v>
      </c>
      <c r="S807" t="s">
        <v>3759</v>
      </c>
      <c r="T807" t="s">
        <v>3760</v>
      </c>
      <c r="U807" t="s">
        <v>3761</v>
      </c>
      <c r="W807" t="s">
        <v>371</v>
      </c>
      <c r="X807" t="s">
        <v>34</v>
      </c>
      <c r="Y807" t="str">
        <f>"774773501"</f>
        <v>774773501</v>
      </c>
    </row>
    <row r="808" spans="1:25" x14ac:dyDescent="0.25">
      <c r="A808" t="s">
        <v>3762</v>
      </c>
      <c r="B808" t="s">
        <v>3763</v>
      </c>
      <c r="C808">
        <v>2021</v>
      </c>
      <c r="D808">
        <v>8001</v>
      </c>
      <c r="E808">
        <v>1</v>
      </c>
      <c r="F808" t="s">
        <v>3758</v>
      </c>
      <c r="G808">
        <v>29879404</v>
      </c>
      <c r="J808">
        <v>30.38</v>
      </c>
      <c r="L808">
        <v>50245217</v>
      </c>
      <c r="M808" s="1">
        <v>44620</v>
      </c>
      <c r="N808" t="str">
        <f>"RC220328"</f>
        <v>RC220328</v>
      </c>
      <c r="O808" t="s">
        <v>28</v>
      </c>
      <c r="Q808" t="s">
        <v>29</v>
      </c>
      <c r="R808" t="s">
        <v>28</v>
      </c>
      <c r="S808" t="s">
        <v>3759</v>
      </c>
      <c r="T808" t="s">
        <v>3760</v>
      </c>
      <c r="U808" t="s">
        <v>3761</v>
      </c>
      <c r="W808" t="s">
        <v>371</v>
      </c>
      <c r="X808" t="s">
        <v>34</v>
      </c>
      <c r="Y808" t="str">
        <f>"774773501"</f>
        <v>774773501</v>
      </c>
    </row>
    <row r="809" spans="1:25" x14ac:dyDescent="0.25">
      <c r="A809" t="s">
        <v>3764</v>
      </c>
      <c r="B809" t="s">
        <v>3765</v>
      </c>
      <c r="C809">
        <v>2021</v>
      </c>
      <c r="D809">
        <v>8001</v>
      </c>
      <c r="E809">
        <v>1</v>
      </c>
      <c r="F809" t="s">
        <v>3766</v>
      </c>
      <c r="G809">
        <v>0</v>
      </c>
      <c r="J809">
        <v>153.01</v>
      </c>
      <c r="L809">
        <v>49763370</v>
      </c>
      <c r="M809" s="1">
        <v>44592</v>
      </c>
      <c r="N809" t="str">
        <f>"O220131K1"</f>
        <v>O220131K1</v>
      </c>
      <c r="O809" t="s">
        <v>28</v>
      </c>
      <c r="Q809" t="s">
        <v>29</v>
      </c>
      <c r="R809" t="s">
        <v>28</v>
      </c>
      <c r="S809" t="s">
        <v>3766</v>
      </c>
      <c r="T809" t="s">
        <v>3767</v>
      </c>
      <c r="U809" t="s">
        <v>60</v>
      </c>
      <c r="V809" t="s">
        <v>60</v>
      </c>
      <c r="W809" t="s">
        <v>98</v>
      </c>
      <c r="X809" t="s">
        <v>34</v>
      </c>
      <c r="Y809" t="str">
        <f>"774618598   "</f>
        <v xml:space="preserve">774618598   </v>
      </c>
    </row>
    <row r="810" spans="1:25" x14ac:dyDescent="0.25">
      <c r="A810" t="s">
        <v>3768</v>
      </c>
      <c r="B810" t="s">
        <v>3769</v>
      </c>
      <c r="C810">
        <v>2019</v>
      </c>
      <c r="D810">
        <v>8001</v>
      </c>
      <c r="E810">
        <v>1</v>
      </c>
      <c r="F810" t="s">
        <v>3770</v>
      </c>
      <c r="G810">
        <v>28298271</v>
      </c>
      <c r="J810">
        <v>66.05</v>
      </c>
      <c r="L810">
        <v>43864387</v>
      </c>
      <c r="M810" s="1">
        <v>43893</v>
      </c>
      <c r="N810" t="str">
        <f>"EK400303"</f>
        <v>EK400303</v>
      </c>
      <c r="O810" t="s">
        <v>28</v>
      </c>
      <c r="Q810" t="s">
        <v>29</v>
      </c>
      <c r="R810" t="s">
        <v>28</v>
      </c>
      <c r="S810" t="s">
        <v>3771</v>
      </c>
      <c r="T810" t="s">
        <v>3772</v>
      </c>
      <c r="W810" t="s">
        <v>316</v>
      </c>
      <c r="X810" t="s">
        <v>317</v>
      </c>
      <c r="Y810" t="str">
        <f>"94602"</f>
        <v>94602</v>
      </c>
    </row>
    <row r="811" spans="1:25" x14ac:dyDescent="0.25">
      <c r="A811" t="s">
        <v>3773</v>
      </c>
      <c r="B811" t="s">
        <v>3774</v>
      </c>
      <c r="C811">
        <v>2021</v>
      </c>
      <c r="D811">
        <v>8001</v>
      </c>
      <c r="E811">
        <v>1</v>
      </c>
      <c r="F811" t="s">
        <v>3775</v>
      </c>
      <c r="G811">
        <v>21580148</v>
      </c>
      <c r="J811">
        <v>70.010000000000005</v>
      </c>
      <c r="L811">
        <v>48793660</v>
      </c>
      <c r="M811" s="1">
        <v>44560</v>
      </c>
      <c r="N811" t="str">
        <f>"RC220124"</f>
        <v>RC220124</v>
      </c>
      <c r="O811" t="s">
        <v>28</v>
      </c>
      <c r="Q811" t="s">
        <v>29</v>
      </c>
      <c r="R811" t="s">
        <v>28</v>
      </c>
      <c r="S811" t="s">
        <v>3776</v>
      </c>
      <c r="T811" t="s">
        <v>3777</v>
      </c>
      <c r="W811" t="s">
        <v>81</v>
      </c>
      <c r="X811" t="s">
        <v>34</v>
      </c>
      <c r="Y811" t="str">
        <f>"774066455"</f>
        <v>774066455</v>
      </c>
    </row>
    <row r="812" spans="1:25" x14ac:dyDescent="0.25">
      <c r="A812" t="s">
        <v>3778</v>
      </c>
      <c r="B812" t="s">
        <v>3779</v>
      </c>
      <c r="C812">
        <v>2019</v>
      </c>
      <c r="D812">
        <v>8001</v>
      </c>
      <c r="E812">
        <v>1</v>
      </c>
      <c r="F812" t="s">
        <v>3780</v>
      </c>
      <c r="G812">
        <v>0</v>
      </c>
      <c r="J812">
        <v>65.36</v>
      </c>
      <c r="L812">
        <v>43917778</v>
      </c>
      <c r="M812" s="1">
        <v>43900</v>
      </c>
      <c r="N812" t="str">
        <f>"J200310AW12"</f>
        <v>J200310AW12</v>
      </c>
      <c r="O812" t="s">
        <v>28</v>
      </c>
      <c r="Q812" t="s">
        <v>29</v>
      </c>
      <c r="R812" t="s">
        <v>28</v>
      </c>
      <c r="S812" t="s">
        <v>3780</v>
      </c>
      <c r="T812" t="s">
        <v>3781</v>
      </c>
      <c r="U812" t="s">
        <v>3782</v>
      </c>
      <c r="V812" t="s">
        <v>60</v>
      </c>
      <c r="W812" t="s">
        <v>135</v>
      </c>
      <c r="X812" t="s">
        <v>34</v>
      </c>
      <c r="Y812" t="str">
        <f>"77041       "</f>
        <v xml:space="preserve">77041       </v>
      </c>
    </row>
    <row r="813" spans="1:25" x14ac:dyDescent="0.25">
      <c r="A813" t="s">
        <v>3783</v>
      </c>
      <c r="B813" t="s">
        <v>3784</v>
      </c>
      <c r="C813">
        <v>2020</v>
      </c>
      <c r="D813">
        <v>8001</v>
      </c>
      <c r="E813">
        <v>1</v>
      </c>
      <c r="F813" t="s">
        <v>3785</v>
      </c>
      <c r="G813">
        <v>0</v>
      </c>
      <c r="J813">
        <v>177.31</v>
      </c>
      <c r="L813">
        <v>46885368</v>
      </c>
      <c r="M813" s="1">
        <v>44236</v>
      </c>
      <c r="N813" t="str">
        <f>"J210209BW9"</f>
        <v>J210209BW9</v>
      </c>
      <c r="O813" t="s">
        <v>28</v>
      </c>
      <c r="Q813" t="s">
        <v>29</v>
      </c>
      <c r="R813" t="s">
        <v>28</v>
      </c>
      <c r="S813" t="s">
        <v>3785</v>
      </c>
      <c r="T813" t="s">
        <v>3786</v>
      </c>
      <c r="U813" t="s">
        <v>60</v>
      </c>
      <c r="V813" t="s">
        <v>60</v>
      </c>
      <c r="W813" t="s">
        <v>3787</v>
      </c>
      <c r="X813" t="s">
        <v>317</v>
      </c>
      <c r="Y813" t="str">
        <f>"920245119   "</f>
        <v xml:space="preserve">920245119   </v>
      </c>
    </row>
    <row r="814" spans="1:25" x14ac:dyDescent="0.25">
      <c r="A814" t="s">
        <v>3788</v>
      </c>
      <c r="B814" t="s">
        <v>3789</v>
      </c>
      <c r="C814">
        <v>2019</v>
      </c>
      <c r="D814">
        <v>8001</v>
      </c>
      <c r="E814">
        <v>1</v>
      </c>
      <c r="F814" t="s">
        <v>3790</v>
      </c>
      <c r="G814">
        <v>28305704</v>
      </c>
      <c r="J814">
        <v>121.46</v>
      </c>
      <c r="L814">
        <v>43875759</v>
      </c>
      <c r="M814" s="1">
        <v>43894</v>
      </c>
      <c r="N814" t="str">
        <f>"EK200304"</f>
        <v>EK200304</v>
      </c>
      <c r="O814" t="s">
        <v>28</v>
      </c>
      <c r="Q814" t="s">
        <v>29</v>
      </c>
      <c r="R814" t="s">
        <v>28</v>
      </c>
      <c r="S814" t="s">
        <v>3791</v>
      </c>
      <c r="T814" t="s">
        <v>3792</v>
      </c>
      <c r="W814" t="s">
        <v>75</v>
      </c>
      <c r="X814" t="s">
        <v>34</v>
      </c>
      <c r="Y814" t="str">
        <f>"770417041"</f>
        <v>770417041</v>
      </c>
    </row>
    <row r="815" spans="1:25" x14ac:dyDescent="0.25">
      <c r="A815" t="s">
        <v>3793</v>
      </c>
      <c r="B815" t="s">
        <v>3794</v>
      </c>
      <c r="C815">
        <v>2019</v>
      </c>
      <c r="D815">
        <v>8001</v>
      </c>
      <c r="E815">
        <v>1</v>
      </c>
      <c r="F815" t="s">
        <v>3795</v>
      </c>
      <c r="G815">
        <v>27707009</v>
      </c>
      <c r="J815" s="2">
        <v>4360.76</v>
      </c>
      <c r="L815">
        <v>42131133</v>
      </c>
      <c r="M815" s="1">
        <v>43804</v>
      </c>
      <c r="N815" t="str">
        <f>"J191205AW15"</f>
        <v>J191205AW15</v>
      </c>
      <c r="O815" t="s">
        <v>28</v>
      </c>
      <c r="Q815" t="s">
        <v>29</v>
      </c>
      <c r="R815" t="s">
        <v>28</v>
      </c>
      <c r="S815" t="s">
        <v>3796</v>
      </c>
      <c r="T815" t="s">
        <v>3797</v>
      </c>
      <c r="U815" t="s">
        <v>3798</v>
      </c>
      <c r="W815" t="s">
        <v>910</v>
      </c>
      <c r="X815" t="s">
        <v>34</v>
      </c>
      <c r="Y815" t="str">
        <f>"78232"</f>
        <v>78232</v>
      </c>
    </row>
    <row r="816" spans="1:25" x14ac:dyDescent="0.25">
      <c r="A816" t="s">
        <v>3799</v>
      </c>
      <c r="B816" t="s">
        <v>3800</v>
      </c>
      <c r="C816">
        <v>2018</v>
      </c>
      <c r="D816">
        <v>8001</v>
      </c>
      <c r="E816">
        <v>2</v>
      </c>
      <c r="F816" t="s">
        <v>3801</v>
      </c>
      <c r="G816">
        <v>26397235</v>
      </c>
      <c r="J816">
        <v>50.57</v>
      </c>
      <c r="L816">
        <v>41287016</v>
      </c>
      <c r="M816" s="1">
        <v>43620</v>
      </c>
      <c r="N816" t="str">
        <f>"J190604AW2"</f>
        <v>J190604AW2</v>
      </c>
      <c r="O816" t="s">
        <v>28</v>
      </c>
      <c r="Q816" t="s">
        <v>29</v>
      </c>
      <c r="R816" t="s">
        <v>28</v>
      </c>
      <c r="S816" t="s">
        <v>1068</v>
      </c>
      <c r="T816" t="s">
        <v>1069</v>
      </c>
      <c r="U816" t="s">
        <v>562</v>
      </c>
      <c r="W816" t="s">
        <v>563</v>
      </c>
      <c r="X816" t="s">
        <v>34</v>
      </c>
      <c r="Y816" t="str">
        <f>"750630156"</f>
        <v>750630156</v>
      </c>
    </row>
    <row r="817" spans="1:25" x14ac:dyDescent="0.25">
      <c r="A817" t="s">
        <v>3806</v>
      </c>
      <c r="B817" t="s">
        <v>3807</v>
      </c>
      <c r="C817">
        <v>2020</v>
      </c>
      <c r="D817">
        <v>8001</v>
      </c>
      <c r="E817">
        <v>2</v>
      </c>
      <c r="F817" t="s">
        <v>3808</v>
      </c>
      <c r="G817">
        <v>30077275</v>
      </c>
      <c r="J817">
        <v>162.88999999999999</v>
      </c>
      <c r="L817">
        <v>47930437</v>
      </c>
      <c r="M817" s="1">
        <v>44501</v>
      </c>
      <c r="N817" t="str">
        <f>"O211101BV9"</f>
        <v>O211101BV9</v>
      </c>
      <c r="O817" t="s">
        <v>28</v>
      </c>
      <c r="Q817" t="s">
        <v>29</v>
      </c>
      <c r="R817" t="s">
        <v>28</v>
      </c>
      <c r="S817" t="s">
        <v>3809</v>
      </c>
      <c r="T817" t="s">
        <v>3810</v>
      </c>
      <c r="W817" t="s">
        <v>81</v>
      </c>
      <c r="X817" t="s">
        <v>34</v>
      </c>
      <c r="Y817" t="str">
        <f>"774071016"</f>
        <v>774071016</v>
      </c>
    </row>
    <row r="818" spans="1:25" x14ac:dyDescent="0.25">
      <c r="A818" t="s">
        <v>3811</v>
      </c>
      <c r="B818" t="s">
        <v>3812</v>
      </c>
      <c r="C818">
        <v>2021</v>
      </c>
      <c r="D818">
        <v>8001</v>
      </c>
      <c r="E818">
        <v>4</v>
      </c>
      <c r="F818" t="s">
        <v>3813</v>
      </c>
      <c r="G818">
        <v>0</v>
      </c>
      <c r="J818">
        <v>10</v>
      </c>
      <c r="L818">
        <v>49119285</v>
      </c>
      <c r="M818" s="1">
        <v>44572</v>
      </c>
      <c r="N818" t="str">
        <f>"L220111"</f>
        <v>L220111</v>
      </c>
      <c r="O818" t="s">
        <v>28</v>
      </c>
      <c r="Q818" t="s">
        <v>29</v>
      </c>
      <c r="R818" t="s">
        <v>28</v>
      </c>
      <c r="S818" t="s">
        <v>3813</v>
      </c>
      <c r="T818" t="s">
        <v>3814</v>
      </c>
      <c r="U818" t="s">
        <v>60</v>
      </c>
      <c r="V818" t="s">
        <v>60</v>
      </c>
      <c r="W818" t="s">
        <v>214</v>
      </c>
      <c r="X818" t="s">
        <v>34</v>
      </c>
      <c r="Y818" t="str">
        <f>"774072528   "</f>
        <v xml:space="preserve">774072528   </v>
      </c>
    </row>
    <row r="819" spans="1:25" x14ac:dyDescent="0.25">
      <c r="A819" t="s">
        <v>3815</v>
      </c>
      <c r="B819" t="s">
        <v>3816</v>
      </c>
      <c r="C819">
        <v>2020</v>
      </c>
      <c r="D819">
        <v>8001</v>
      </c>
      <c r="E819">
        <v>1</v>
      </c>
      <c r="F819" t="s">
        <v>3817</v>
      </c>
      <c r="G819">
        <v>24540489</v>
      </c>
      <c r="J819" s="2">
        <v>1267.8599999999999</v>
      </c>
      <c r="L819">
        <v>44618094</v>
      </c>
      <c r="M819" s="1">
        <v>44147</v>
      </c>
      <c r="N819" t="str">
        <f>"TE201112"</f>
        <v>TE201112</v>
      </c>
      <c r="O819" t="s">
        <v>28</v>
      </c>
      <c r="Q819" t="s">
        <v>29</v>
      </c>
      <c r="R819" t="s">
        <v>28</v>
      </c>
      <c r="S819" t="s">
        <v>3677</v>
      </c>
      <c r="T819" t="s">
        <v>3625</v>
      </c>
      <c r="U819" t="s">
        <v>3678</v>
      </c>
      <c r="W819" t="s">
        <v>33</v>
      </c>
      <c r="X819" t="s">
        <v>34</v>
      </c>
      <c r="Y819" t="str">
        <f>"75075"</f>
        <v>75075</v>
      </c>
    </row>
    <row r="820" spans="1:25" x14ac:dyDescent="0.25">
      <c r="A820" t="s">
        <v>3818</v>
      </c>
      <c r="B820" t="s">
        <v>3819</v>
      </c>
      <c r="C820">
        <v>2020</v>
      </c>
      <c r="D820">
        <v>8001</v>
      </c>
      <c r="E820">
        <v>1</v>
      </c>
      <c r="F820" t="s">
        <v>3820</v>
      </c>
      <c r="G820">
        <v>0</v>
      </c>
      <c r="J820">
        <v>40.29</v>
      </c>
      <c r="L820">
        <v>46891943</v>
      </c>
      <c r="M820" s="1">
        <v>44237</v>
      </c>
      <c r="N820" t="str">
        <f>"J210210K1"</f>
        <v>J210210K1</v>
      </c>
      <c r="O820" t="s">
        <v>28</v>
      </c>
      <c r="Q820" t="s">
        <v>29</v>
      </c>
      <c r="R820" t="s">
        <v>28</v>
      </c>
      <c r="S820" t="s">
        <v>3820</v>
      </c>
      <c r="T820" t="s">
        <v>3821</v>
      </c>
      <c r="U820" t="s">
        <v>60</v>
      </c>
      <c r="V820" t="s">
        <v>60</v>
      </c>
      <c r="W820" t="s">
        <v>214</v>
      </c>
      <c r="X820" t="s">
        <v>34</v>
      </c>
      <c r="Y820" t="str">
        <f>"774694811   "</f>
        <v xml:space="preserve">774694811   </v>
      </c>
    </row>
    <row r="821" spans="1:25" x14ac:dyDescent="0.25">
      <c r="A821" t="s">
        <v>3822</v>
      </c>
      <c r="B821" t="s">
        <v>3823</v>
      </c>
      <c r="C821">
        <v>2020</v>
      </c>
      <c r="D821">
        <v>8001</v>
      </c>
      <c r="E821">
        <v>1</v>
      </c>
      <c r="F821" t="s">
        <v>3824</v>
      </c>
      <c r="G821">
        <v>0</v>
      </c>
      <c r="J821">
        <v>40.29</v>
      </c>
      <c r="L821">
        <v>46891295</v>
      </c>
      <c r="M821" s="1">
        <v>44236</v>
      </c>
      <c r="N821" t="str">
        <f>"J210209BW16"</f>
        <v>J210209BW16</v>
      </c>
      <c r="O821" t="s">
        <v>28</v>
      </c>
      <c r="Q821" t="s">
        <v>29</v>
      </c>
      <c r="R821" t="s">
        <v>28</v>
      </c>
      <c r="S821" t="s">
        <v>3824</v>
      </c>
      <c r="T821" t="s">
        <v>3821</v>
      </c>
      <c r="U821" t="s">
        <v>60</v>
      </c>
      <c r="V821" t="s">
        <v>60</v>
      </c>
      <c r="W821" t="s">
        <v>214</v>
      </c>
      <c r="X821" t="s">
        <v>34</v>
      </c>
      <c r="Y821" t="str">
        <f>"774694811   "</f>
        <v xml:space="preserve">774694811   </v>
      </c>
    </row>
    <row r="822" spans="1:25" x14ac:dyDescent="0.25">
      <c r="A822" t="s">
        <v>3825</v>
      </c>
      <c r="B822" t="s">
        <v>3826</v>
      </c>
      <c r="C822">
        <v>2021</v>
      </c>
      <c r="D822">
        <v>8001</v>
      </c>
      <c r="E822">
        <v>1</v>
      </c>
      <c r="F822" t="s">
        <v>2722</v>
      </c>
      <c r="G822">
        <v>0</v>
      </c>
      <c r="J822">
        <v>137.16</v>
      </c>
      <c r="L822">
        <v>48043849</v>
      </c>
      <c r="M822" s="1">
        <v>44538</v>
      </c>
      <c r="N822" t="str">
        <f>"T211208BI1"</f>
        <v>T211208BI1</v>
      </c>
      <c r="O822" t="s">
        <v>28</v>
      </c>
      <c r="Q822" t="s">
        <v>29</v>
      </c>
      <c r="R822" t="s">
        <v>28</v>
      </c>
      <c r="S822" t="s">
        <v>2722</v>
      </c>
      <c r="T822" t="s">
        <v>3827</v>
      </c>
      <c r="U822" t="s">
        <v>60</v>
      </c>
      <c r="V822" t="s">
        <v>60</v>
      </c>
      <c r="W822" t="s">
        <v>214</v>
      </c>
      <c r="X822" t="s">
        <v>34</v>
      </c>
      <c r="Y822" t="str">
        <f>"774695501   "</f>
        <v xml:space="preserve">774695501   </v>
      </c>
    </row>
    <row r="823" spans="1:25" x14ac:dyDescent="0.25">
      <c r="A823" t="s">
        <v>3828</v>
      </c>
      <c r="B823" t="s">
        <v>3829</v>
      </c>
      <c r="C823">
        <v>2021</v>
      </c>
      <c r="D823">
        <v>8001</v>
      </c>
      <c r="E823">
        <v>1</v>
      </c>
      <c r="F823" t="s">
        <v>3830</v>
      </c>
      <c r="G823">
        <v>0</v>
      </c>
      <c r="J823" s="2">
        <v>39375.4</v>
      </c>
      <c r="L823">
        <v>49154664</v>
      </c>
      <c r="M823" s="1">
        <v>44573</v>
      </c>
      <c r="N823" t="str">
        <f>"J220112BW10"</f>
        <v>J220112BW10</v>
      </c>
      <c r="O823" t="s">
        <v>28</v>
      </c>
      <c r="Q823" t="s">
        <v>29</v>
      </c>
      <c r="R823" t="s">
        <v>28</v>
      </c>
      <c r="S823" t="s">
        <v>3830</v>
      </c>
      <c r="T823" t="s">
        <v>3831</v>
      </c>
      <c r="U823" t="s">
        <v>60</v>
      </c>
      <c r="V823" t="s">
        <v>60</v>
      </c>
      <c r="W823" t="s">
        <v>3832</v>
      </c>
      <c r="X823" t="s">
        <v>2175</v>
      </c>
      <c r="Y823" t="str">
        <f>"281178520   "</f>
        <v xml:space="preserve">281178520   </v>
      </c>
    </row>
    <row r="824" spans="1:25" x14ac:dyDescent="0.25">
      <c r="A824" t="s">
        <v>3833</v>
      </c>
      <c r="B824" t="s">
        <v>3834</v>
      </c>
      <c r="C824">
        <v>2021</v>
      </c>
      <c r="D824">
        <v>8001</v>
      </c>
      <c r="E824">
        <v>1</v>
      </c>
      <c r="F824" t="s">
        <v>3835</v>
      </c>
      <c r="G824">
        <v>30513051</v>
      </c>
      <c r="J824">
        <v>549.65</v>
      </c>
      <c r="L824">
        <v>48461236</v>
      </c>
      <c r="M824" s="1">
        <v>44544</v>
      </c>
      <c r="N824" t="str">
        <f>"RC220114"</f>
        <v>RC220114</v>
      </c>
      <c r="O824" t="s">
        <v>28</v>
      </c>
      <c r="Q824" t="s">
        <v>29</v>
      </c>
      <c r="R824" t="s">
        <v>28</v>
      </c>
      <c r="S824" t="s">
        <v>3836</v>
      </c>
      <c r="T824" t="s">
        <v>3837</v>
      </c>
      <c r="W824" t="s">
        <v>107</v>
      </c>
      <c r="X824" t="s">
        <v>34</v>
      </c>
      <c r="Y824" t="str">
        <f>"77494"</f>
        <v>77494</v>
      </c>
    </row>
    <row r="825" spans="1:25" x14ac:dyDescent="0.25">
      <c r="A825" t="s">
        <v>3838</v>
      </c>
      <c r="B825" t="s">
        <v>3839</v>
      </c>
      <c r="C825">
        <v>2020</v>
      </c>
      <c r="D825">
        <v>8001</v>
      </c>
      <c r="E825">
        <v>1</v>
      </c>
      <c r="F825" t="s">
        <v>3840</v>
      </c>
      <c r="G825">
        <v>0</v>
      </c>
      <c r="J825" s="2">
        <v>5190.3</v>
      </c>
      <c r="L825">
        <v>46395747</v>
      </c>
      <c r="M825" s="1">
        <v>44223</v>
      </c>
      <c r="N825" t="str">
        <f>"L210127"</f>
        <v>L210127</v>
      </c>
      <c r="O825" t="s">
        <v>28</v>
      </c>
      <c r="Q825" t="s">
        <v>29</v>
      </c>
      <c r="R825" t="s">
        <v>28</v>
      </c>
      <c r="S825" t="s">
        <v>3840</v>
      </c>
      <c r="T825" t="s">
        <v>3841</v>
      </c>
      <c r="U825" t="s">
        <v>60</v>
      </c>
      <c r="V825" t="s">
        <v>60</v>
      </c>
      <c r="W825" t="s">
        <v>1137</v>
      </c>
      <c r="X825" t="s">
        <v>34</v>
      </c>
      <c r="Y825" t="str">
        <f>"774943649   "</f>
        <v xml:space="preserve">774943649   </v>
      </c>
    </row>
    <row r="826" spans="1:25" x14ac:dyDescent="0.25">
      <c r="A826" t="s">
        <v>3842</v>
      </c>
      <c r="B826" t="s">
        <v>3843</v>
      </c>
      <c r="C826">
        <v>2021</v>
      </c>
      <c r="D826">
        <v>8001</v>
      </c>
      <c r="E826">
        <v>11</v>
      </c>
      <c r="F826" t="s">
        <v>3844</v>
      </c>
      <c r="G826">
        <v>0</v>
      </c>
      <c r="J826">
        <v>8.1999999999999993</v>
      </c>
      <c r="L826">
        <v>47748163</v>
      </c>
      <c r="M826" s="1">
        <v>44516</v>
      </c>
      <c r="N826" t="str">
        <f>"TE211116"</f>
        <v>TE211116</v>
      </c>
      <c r="O826" t="s">
        <v>28</v>
      </c>
      <c r="Q826" t="s">
        <v>29</v>
      </c>
      <c r="R826" t="s">
        <v>28</v>
      </c>
      <c r="S826" t="s">
        <v>3845</v>
      </c>
      <c r="T826" t="s">
        <v>3846</v>
      </c>
      <c r="U826" t="s">
        <v>60</v>
      </c>
      <c r="V826" t="s">
        <v>60</v>
      </c>
      <c r="W826" t="s">
        <v>296</v>
      </c>
      <c r="X826" t="s">
        <v>34</v>
      </c>
      <c r="Y826" t="str">
        <f>"774179566   "</f>
        <v xml:space="preserve">774179566   </v>
      </c>
    </row>
    <row r="827" spans="1:25" x14ac:dyDescent="0.25">
      <c r="A827" t="s">
        <v>3847</v>
      </c>
      <c r="B827" t="s">
        <v>3848</v>
      </c>
      <c r="C827">
        <v>2020</v>
      </c>
      <c r="D827">
        <v>8001</v>
      </c>
      <c r="E827">
        <v>1</v>
      </c>
      <c r="F827" t="s">
        <v>3849</v>
      </c>
      <c r="G827">
        <v>28783941</v>
      </c>
      <c r="J827">
        <v>153.97</v>
      </c>
      <c r="L827">
        <v>44899331</v>
      </c>
      <c r="M827" s="1">
        <v>44152</v>
      </c>
      <c r="N827" t="str">
        <f>"O201117AS6"</f>
        <v>O201117AS6</v>
      </c>
      <c r="O827" t="s">
        <v>28</v>
      </c>
      <c r="Q827" t="s">
        <v>29</v>
      </c>
      <c r="R827" t="s">
        <v>28</v>
      </c>
      <c r="S827" t="s">
        <v>3850</v>
      </c>
      <c r="T827" t="s">
        <v>3851</v>
      </c>
      <c r="U827" t="s">
        <v>3852</v>
      </c>
      <c r="W827" t="s">
        <v>1877</v>
      </c>
      <c r="X827" t="s">
        <v>317</v>
      </c>
      <c r="Y827" t="str">
        <f>"941041207"</f>
        <v>941041207</v>
      </c>
    </row>
    <row r="828" spans="1:25" x14ac:dyDescent="0.25">
      <c r="A828" t="s">
        <v>3853</v>
      </c>
      <c r="B828" t="s">
        <v>3854</v>
      </c>
      <c r="C828">
        <v>2020</v>
      </c>
      <c r="D828">
        <v>8001</v>
      </c>
      <c r="E828">
        <v>1</v>
      </c>
      <c r="F828" t="s">
        <v>3855</v>
      </c>
      <c r="G828">
        <v>29576647</v>
      </c>
      <c r="J828">
        <v>106.84</v>
      </c>
      <c r="L828">
        <v>46670609</v>
      </c>
      <c r="M828" s="1">
        <v>44229</v>
      </c>
      <c r="N828" t="str">
        <f>"RC210301"</f>
        <v>RC210301</v>
      </c>
      <c r="O828" t="s">
        <v>28</v>
      </c>
      <c r="Q828" t="s">
        <v>29</v>
      </c>
      <c r="R828" t="s">
        <v>28</v>
      </c>
      <c r="S828" t="s">
        <v>3856</v>
      </c>
      <c r="T828" t="s">
        <v>3857</v>
      </c>
      <c r="U828" t="s">
        <v>3858</v>
      </c>
      <c r="W828" t="s">
        <v>75</v>
      </c>
      <c r="X828" t="s">
        <v>34</v>
      </c>
      <c r="Y828" t="str">
        <f>"77231"</f>
        <v>77231</v>
      </c>
    </row>
    <row r="829" spans="1:25" x14ac:dyDescent="0.25">
      <c r="A829" t="s">
        <v>3859</v>
      </c>
      <c r="B829" t="s">
        <v>3860</v>
      </c>
      <c r="C829">
        <v>2021</v>
      </c>
      <c r="D829">
        <v>8001</v>
      </c>
      <c r="E829">
        <v>1</v>
      </c>
      <c r="F829" t="s">
        <v>3861</v>
      </c>
      <c r="G829">
        <v>28862145</v>
      </c>
      <c r="J829" s="2">
        <v>2051.83</v>
      </c>
      <c r="L829">
        <v>48148855</v>
      </c>
      <c r="M829" s="1">
        <v>44519</v>
      </c>
      <c r="N829" t="str">
        <f>"RC211227"</f>
        <v>RC211227</v>
      </c>
      <c r="O829" t="s">
        <v>260</v>
      </c>
      <c r="Q829" t="s">
        <v>29</v>
      </c>
      <c r="R829" t="s">
        <v>28</v>
      </c>
      <c r="S829" t="s">
        <v>1369</v>
      </c>
      <c r="T829" t="s">
        <v>203</v>
      </c>
      <c r="U829" t="s">
        <v>1370</v>
      </c>
      <c r="W829" t="s">
        <v>1371</v>
      </c>
      <c r="X829" t="s">
        <v>34</v>
      </c>
      <c r="Y829" t="str">
        <f>"750341953"</f>
        <v>750341953</v>
      </c>
    </row>
    <row r="830" spans="1:25" x14ac:dyDescent="0.25">
      <c r="A830" t="s">
        <v>3862</v>
      </c>
      <c r="B830" t="s">
        <v>3863</v>
      </c>
      <c r="C830">
        <v>2020</v>
      </c>
      <c r="D830">
        <v>8001</v>
      </c>
      <c r="E830">
        <v>1</v>
      </c>
      <c r="F830" t="s">
        <v>3864</v>
      </c>
      <c r="G830">
        <v>26677969</v>
      </c>
      <c r="J830">
        <v>269.33</v>
      </c>
      <c r="L830">
        <v>45124637</v>
      </c>
      <c r="M830" s="1">
        <v>44172</v>
      </c>
      <c r="N830" t="str">
        <f>"RC201217"</f>
        <v>RC201217</v>
      </c>
      <c r="O830" t="s">
        <v>28</v>
      </c>
      <c r="Q830" t="s">
        <v>29</v>
      </c>
      <c r="R830" t="s">
        <v>28</v>
      </c>
      <c r="S830" t="s">
        <v>3865</v>
      </c>
      <c r="T830" t="s">
        <v>3866</v>
      </c>
      <c r="W830" t="s">
        <v>563</v>
      </c>
      <c r="X830" t="s">
        <v>34</v>
      </c>
      <c r="Y830" t="str">
        <f>"75063"</f>
        <v>75063</v>
      </c>
    </row>
    <row r="831" spans="1:25" x14ac:dyDescent="0.25">
      <c r="A831" t="s">
        <v>3867</v>
      </c>
      <c r="B831" t="s">
        <v>3868</v>
      </c>
      <c r="C831">
        <v>2020</v>
      </c>
      <c r="D831">
        <v>8001</v>
      </c>
      <c r="E831">
        <v>1</v>
      </c>
      <c r="F831" t="s">
        <v>3869</v>
      </c>
      <c r="G831">
        <v>29489465</v>
      </c>
      <c r="J831">
        <v>28.93</v>
      </c>
      <c r="L831">
        <v>46782164</v>
      </c>
      <c r="M831" s="1">
        <v>44231</v>
      </c>
      <c r="N831" t="str">
        <f>"CC210204"</f>
        <v>CC210204</v>
      </c>
      <c r="O831" t="s">
        <v>28</v>
      </c>
      <c r="Q831" t="s">
        <v>29</v>
      </c>
      <c r="R831" t="s">
        <v>260</v>
      </c>
      <c r="S831" t="s">
        <v>3870</v>
      </c>
      <c r="T831" t="s">
        <v>3871</v>
      </c>
      <c r="W831" t="s">
        <v>81</v>
      </c>
      <c r="X831" t="s">
        <v>34</v>
      </c>
      <c r="Y831" t="str">
        <f>"77406"</f>
        <v>77406</v>
      </c>
    </row>
    <row r="832" spans="1:25" x14ac:dyDescent="0.25">
      <c r="A832" t="s">
        <v>3872</v>
      </c>
      <c r="B832" t="s">
        <v>3873</v>
      </c>
      <c r="C832">
        <v>2020</v>
      </c>
      <c r="D832">
        <v>8001</v>
      </c>
      <c r="E832">
        <v>2</v>
      </c>
      <c r="F832" t="s">
        <v>3874</v>
      </c>
      <c r="G832">
        <v>28692840</v>
      </c>
      <c r="J832">
        <v>13.27</v>
      </c>
      <c r="L832">
        <v>47258301</v>
      </c>
      <c r="M832" s="1">
        <v>44293</v>
      </c>
      <c r="N832" t="str">
        <f>"RC210414"</f>
        <v>RC210414</v>
      </c>
      <c r="O832" t="s">
        <v>28</v>
      </c>
      <c r="Q832" t="s">
        <v>29</v>
      </c>
      <c r="R832" t="s">
        <v>28</v>
      </c>
      <c r="S832" t="s">
        <v>1019</v>
      </c>
      <c r="T832" t="s">
        <v>562</v>
      </c>
      <c r="W832" t="s">
        <v>563</v>
      </c>
      <c r="X832" t="s">
        <v>34</v>
      </c>
      <c r="Y832" t="str">
        <f>"750630156"</f>
        <v>750630156</v>
      </c>
    </row>
    <row r="833" spans="1:25" x14ac:dyDescent="0.25">
      <c r="A833" t="s">
        <v>3875</v>
      </c>
      <c r="B833" t="s">
        <v>3876</v>
      </c>
      <c r="C833">
        <v>2019</v>
      </c>
      <c r="D833">
        <v>8001</v>
      </c>
      <c r="E833">
        <v>1</v>
      </c>
      <c r="F833" t="s">
        <v>3877</v>
      </c>
      <c r="G833">
        <v>0</v>
      </c>
      <c r="J833">
        <v>874.71</v>
      </c>
      <c r="L833">
        <v>42899378</v>
      </c>
      <c r="M833" s="1">
        <v>43845</v>
      </c>
      <c r="N833" t="str">
        <f>"J200115K2"</f>
        <v>J200115K2</v>
      </c>
      <c r="O833" t="s">
        <v>28</v>
      </c>
      <c r="Q833" t="s">
        <v>29</v>
      </c>
      <c r="R833" t="s">
        <v>28</v>
      </c>
      <c r="S833" t="s">
        <v>3877</v>
      </c>
      <c r="T833" t="s">
        <v>3878</v>
      </c>
      <c r="U833" t="s">
        <v>60</v>
      </c>
      <c r="V833" t="s">
        <v>60</v>
      </c>
      <c r="W833" t="s">
        <v>721</v>
      </c>
      <c r="X833" t="s">
        <v>34</v>
      </c>
      <c r="Y833" t="str">
        <f>"775832648   "</f>
        <v xml:space="preserve">775832648   </v>
      </c>
    </row>
    <row r="834" spans="1:25" x14ac:dyDescent="0.25">
      <c r="A834" t="s">
        <v>3879</v>
      </c>
      <c r="B834" t="s">
        <v>3880</v>
      </c>
      <c r="C834">
        <v>2018</v>
      </c>
      <c r="D834">
        <v>8001</v>
      </c>
      <c r="E834">
        <v>1</v>
      </c>
      <c r="F834" t="s">
        <v>3881</v>
      </c>
      <c r="G834">
        <v>0</v>
      </c>
      <c r="J834">
        <v>23.24</v>
      </c>
      <c r="L834">
        <v>40897060</v>
      </c>
      <c r="M834" s="1">
        <v>43529</v>
      </c>
      <c r="N834" t="str">
        <f>"J190305K7"</f>
        <v>J190305K7</v>
      </c>
      <c r="O834" t="s">
        <v>28</v>
      </c>
      <c r="Q834" t="s">
        <v>29</v>
      </c>
      <c r="R834" t="s">
        <v>28</v>
      </c>
      <c r="S834" t="s">
        <v>3881</v>
      </c>
      <c r="T834" t="s">
        <v>3882</v>
      </c>
      <c r="U834">
        <v>29</v>
      </c>
      <c r="V834" t="s">
        <v>60</v>
      </c>
      <c r="W834" t="s">
        <v>2502</v>
      </c>
      <c r="X834" t="s">
        <v>34</v>
      </c>
      <c r="Y834" t="str">
        <f>"775459427   "</f>
        <v xml:space="preserve">775459427   </v>
      </c>
    </row>
    <row r="835" spans="1:25" x14ac:dyDescent="0.25">
      <c r="A835" t="s">
        <v>3883</v>
      </c>
      <c r="B835" t="s">
        <v>3884</v>
      </c>
      <c r="C835">
        <v>2018</v>
      </c>
      <c r="D835">
        <v>8001</v>
      </c>
      <c r="E835">
        <v>1</v>
      </c>
      <c r="F835" t="s">
        <v>3885</v>
      </c>
      <c r="G835">
        <v>26691051</v>
      </c>
      <c r="J835">
        <v>42.28</v>
      </c>
      <c r="L835">
        <v>41072156</v>
      </c>
      <c r="M835" s="1">
        <v>43559</v>
      </c>
      <c r="N835" t="str">
        <f>"J190404K3"</f>
        <v>J190404K3</v>
      </c>
      <c r="O835" t="s">
        <v>28</v>
      </c>
      <c r="Q835" t="s">
        <v>29</v>
      </c>
      <c r="R835" t="s">
        <v>28</v>
      </c>
      <c r="S835" t="s">
        <v>3886</v>
      </c>
      <c r="T835" t="s">
        <v>1074</v>
      </c>
      <c r="W835" t="s">
        <v>1075</v>
      </c>
      <c r="X835" t="s">
        <v>34</v>
      </c>
      <c r="Y835" t="str">
        <f>"761771529"</f>
        <v>761771529</v>
      </c>
    </row>
    <row r="836" spans="1:25" x14ac:dyDescent="0.25">
      <c r="A836" t="s">
        <v>3887</v>
      </c>
      <c r="B836" t="s">
        <v>3888</v>
      </c>
      <c r="C836">
        <v>2020</v>
      </c>
      <c r="D836">
        <v>8001</v>
      </c>
      <c r="E836">
        <v>1</v>
      </c>
      <c r="F836" t="s">
        <v>3889</v>
      </c>
      <c r="G836">
        <v>29489494</v>
      </c>
      <c r="J836" s="2">
        <v>1467.84</v>
      </c>
      <c r="L836">
        <v>46782193</v>
      </c>
      <c r="M836" s="1">
        <v>44231</v>
      </c>
      <c r="N836" t="str">
        <f>"CC210204"</f>
        <v>CC210204</v>
      </c>
      <c r="O836" t="s">
        <v>28</v>
      </c>
      <c r="Q836" t="s">
        <v>29</v>
      </c>
      <c r="R836" t="s">
        <v>28</v>
      </c>
      <c r="S836" t="s">
        <v>3890</v>
      </c>
      <c r="T836" t="s">
        <v>3891</v>
      </c>
      <c r="W836" t="s">
        <v>75</v>
      </c>
      <c r="X836" t="s">
        <v>34</v>
      </c>
      <c r="Y836" t="str">
        <f>"77077"</f>
        <v>77077</v>
      </c>
    </row>
    <row r="837" spans="1:25" x14ac:dyDescent="0.25">
      <c r="A837" t="s">
        <v>3892</v>
      </c>
      <c r="B837" t="s">
        <v>3893</v>
      </c>
      <c r="C837">
        <v>2020</v>
      </c>
      <c r="D837">
        <v>8001</v>
      </c>
      <c r="E837">
        <v>3</v>
      </c>
      <c r="F837" t="s">
        <v>3894</v>
      </c>
      <c r="G837">
        <v>28861174</v>
      </c>
      <c r="J837">
        <v>30.92</v>
      </c>
      <c r="L837">
        <v>45134812</v>
      </c>
      <c r="M837" s="1">
        <v>44172</v>
      </c>
      <c r="N837" t="str">
        <f>"CC201207"</f>
        <v>CC201207</v>
      </c>
      <c r="O837" t="s">
        <v>28</v>
      </c>
      <c r="Q837" t="s">
        <v>29</v>
      </c>
      <c r="R837" t="s">
        <v>28</v>
      </c>
      <c r="S837" t="s">
        <v>3895</v>
      </c>
      <c r="T837" t="s">
        <v>3896</v>
      </c>
      <c r="W837" t="s">
        <v>3897</v>
      </c>
      <c r="X837" t="s">
        <v>3898</v>
      </c>
      <c r="Y837" t="str">
        <f>"55303"</f>
        <v>55303</v>
      </c>
    </row>
    <row r="838" spans="1:25" x14ac:dyDescent="0.25">
      <c r="A838" t="s">
        <v>3899</v>
      </c>
      <c r="B838" t="s">
        <v>3900</v>
      </c>
      <c r="C838">
        <v>2020</v>
      </c>
      <c r="D838">
        <v>8001</v>
      </c>
      <c r="E838">
        <v>1</v>
      </c>
      <c r="F838" t="s">
        <v>3901</v>
      </c>
      <c r="G838">
        <v>975796</v>
      </c>
      <c r="J838">
        <v>12.22</v>
      </c>
      <c r="L838">
        <v>47482435</v>
      </c>
      <c r="M838" s="1">
        <v>44349</v>
      </c>
      <c r="N838" t="str">
        <f>"O210602I9"</f>
        <v>O210602I9</v>
      </c>
      <c r="O838" t="s">
        <v>28</v>
      </c>
      <c r="Q838" t="s">
        <v>29</v>
      </c>
      <c r="R838" t="s">
        <v>28</v>
      </c>
      <c r="S838" t="s">
        <v>3902</v>
      </c>
      <c r="T838" t="s">
        <v>3903</v>
      </c>
      <c r="W838" t="s">
        <v>107</v>
      </c>
      <c r="X838" t="s">
        <v>34</v>
      </c>
      <c r="Y838" t="str">
        <f>"774920458"</f>
        <v>774920458</v>
      </c>
    </row>
    <row r="839" spans="1:25" x14ac:dyDescent="0.25">
      <c r="A839" t="s">
        <v>3904</v>
      </c>
      <c r="B839" t="s">
        <v>3905</v>
      </c>
      <c r="C839">
        <v>2020</v>
      </c>
      <c r="D839">
        <v>8001</v>
      </c>
      <c r="E839">
        <v>1</v>
      </c>
      <c r="F839" t="s">
        <v>3906</v>
      </c>
      <c r="G839">
        <v>29604577</v>
      </c>
      <c r="J839">
        <v>39.42</v>
      </c>
      <c r="L839">
        <v>47034759</v>
      </c>
      <c r="M839" s="1">
        <v>44259</v>
      </c>
      <c r="N839" t="str">
        <f>"CC210304"</f>
        <v>CC210304</v>
      </c>
      <c r="O839" t="s">
        <v>28</v>
      </c>
      <c r="Q839" t="s">
        <v>29</v>
      </c>
      <c r="R839" t="s">
        <v>28</v>
      </c>
      <c r="S839" t="s">
        <v>3907</v>
      </c>
      <c r="T839" t="s">
        <v>3908</v>
      </c>
      <c r="W839" t="s">
        <v>107</v>
      </c>
      <c r="X839" t="s">
        <v>34</v>
      </c>
      <c r="Y839" t="str">
        <f>"77494"</f>
        <v>77494</v>
      </c>
    </row>
    <row r="840" spans="1:25" x14ac:dyDescent="0.25">
      <c r="A840" t="s">
        <v>3909</v>
      </c>
      <c r="B840" t="s">
        <v>3910</v>
      </c>
      <c r="C840">
        <v>2021</v>
      </c>
      <c r="D840">
        <v>8001</v>
      </c>
      <c r="E840">
        <v>1</v>
      </c>
      <c r="F840" t="s">
        <v>1022</v>
      </c>
      <c r="G840">
        <v>30916894</v>
      </c>
      <c r="J840">
        <v>6.87</v>
      </c>
      <c r="L840">
        <v>48850175</v>
      </c>
      <c r="M840" s="1">
        <v>44564</v>
      </c>
      <c r="N840" t="str">
        <f>"RC220208"</f>
        <v>RC220208</v>
      </c>
      <c r="O840" t="s">
        <v>28</v>
      </c>
      <c r="Q840" t="s">
        <v>29</v>
      </c>
      <c r="R840" t="s">
        <v>28</v>
      </c>
      <c r="S840" t="s">
        <v>1023</v>
      </c>
      <c r="T840" t="s">
        <v>1024</v>
      </c>
      <c r="W840" t="s">
        <v>1025</v>
      </c>
      <c r="X840" t="s">
        <v>317</v>
      </c>
      <c r="Y840" t="str">
        <f>"954048875"</f>
        <v>954048875</v>
      </c>
    </row>
    <row r="841" spans="1:25" x14ac:dyDescent="0.25">
      <c r="A841" t="s">
        <v>3911</v>
      </c>
      <c r="B841" t="s">
        <v>3912</v>
      </c>
      <c r="C841">
        <v>2020</v>
      </c>
      <c r="D841">
        <v>8001</v>
      </c>
      <c r="E841">
        <v>1</v>
      </c>
      <c r="F841" t="s">
        <v>3913</v>
      </c>
      <c r="G841">
        <v>0</v>
      </c>
      <c r="J841">
        <v>91.17</v>
      </c>
      <c r="L841">
        <v>46901341</v>
      </c>
      <c r="M841" s="1">
        <v>44237</v>
      </c>
      <c r="N841" t="str">
        <f>"J210210K7"</f>
        <v>J210210K7</v>
      </c>
      <c r="O841" t="s">
        <v>28</v>
      </c>
      <c r="Q841" t="s">
        <v>29</v>
      </c>
      <c r="R841" t="s">
        <v>28</v>
      </c>
      <c r="S841" t="s">
        <v>3913</v>
      </c>
      <c r="T841" t="s">
        <v>3914</v>
      </c>
      <c r="U841" t="s">
        <v>60</v>
      </c>
      <c r="V841" t="s">
        <v>60</v>
      </c>
      <c r="W841" t="s">
        <v>219</v>
      </c>
      <c r="X841" t="s">
        <v>34</v>
      </c>
      <c r="Y841" t="str">
        <f>"774796312   "</f>
        <v xml:space="preserve">774796312   </v>
      </c>
    </row>
    <row r="842" spans="1:25" x14ac:dyDescent="0.25">
      <c r="A842" t="s">
        <v>3915</v>
      </c>
      <c r="B842" t="s">
        <v>3916</v>
      </c>
      <c r="C842">
        <v>2020</v>
      </c>
      <c r="D842">
        <v>8001</v>
      </c>
      <c r="E842">
        <v>1</v>
      </c>
      <c r="F842" t="s">
        <v>3913</v>
      </c>
      <c r="G842">
        <v>0</v>
      </c>
      <c r="J842">
        <v>44.1</v>
      </c>
      <c r="L842">
        <v>46885380</v>
      </c>
      <c r="M842" s="1">
        <v>44236</v>
      </c>
      <c r="N842" t="str">
        <f>"J210209BW9"</f>
        <v>J210209BW9</v>
      </c>
      <c r="O842" t="s">
        <v>28</v>
      </c>
      <c r="Q842" t="s">
        <v>29</v>
      </c>
      <c r="R842" t="s">
        <v>28</v>
      </c>
      <c r="S842" t="s">
        <v>3913</v>
      </c>
      <c r="T842" t="s">
        <v>3914</v>
      </c>
      <c r="U842" t="s">
        <v>60</v>
      </c>
      <c r="V842" t="s">
        <v>60</v>
      </c>
      <c r="W842" t="s">
        <v>219</v>
      </c>
      <c r="X842" t="s">
        <v>34</v>
      </c>
      <c r="Y842" t="str">
        <f>"774796312   "</f>
        <v xml:space="preserve">774796312   </v>
      </c>
    </row>
    <row r="843" spans="1:25" x14ac:dyDescent="0.25">
      <c r="A843" t="s">
        <v>3917</v>
      </c>
      <c r="B843" t="s">
        <v>3918</v>
      </c>
      <c r="C843">
        <v>2020</v>
      </c>
      <c r="D843">
        <v>8001</v>
      </c>
      <c r="E843">
        <v>1</v>
      </c>
      <c r="F843" t="s">
        <v>3913</v>
      </c>
      <c r="G843">
        <v>0</v>
      </c>
      <c r="J843">
        <v>43.73</v>
      </c>
      <c r="L843">
        <v>46880559</v>
      </c>
      <c r="M843" s="1">
        <v>44236</v>
      </c>
      <c r="N843" t="str">
        <f>"J210209K5"</f>
        <v>J210209K5</v>
      </c>
      <c r="O843" t="s">
        <v>28</v>
      </c>
      <c r="Q843" t="s">
        <v>29</v>
      </c>
      <c r="R843" t="s">
        <v>28</v>
      </c>
      <c r="S843" t="s">
        <v>3913</v>
      </c>
      <c r="T843" t="s">
        <v>3914</v>
      </c>
      <c r="U843" t="s">
        <v>60</v>
      </c>
      <c r="V843" t="s">
        <v>60</v>
      </c>
      <c r="W843" t="s">
        <v>219</v>
      </c>
      <c r="X843" t="s">
        <v>34</v>
      </c>
      <c r="Y843" t="str">
        <f>"774796312   "</f>
        <v xml:space="preserve">774796312   </v>
      </c>
    </row>
    <row r="844" spans="1:25" x14ac:dyDescent="0.25">
      <c r="A844" t="s">
        <v>3919</v>
      </c>
      <c r="B844" t="s">
        <v>3920</v>
      </c>
      <c r="C844">
        <v>2020</v>
      </c>
      <c r="D844">
        <v>8001</v>
      </c>
      <c r="E844">
        <v>1</v>
      </c>
      <c r="F844" t="s">
        <v>3921</v>
      </c>
      <c r="G844">
        <v>29134932</v>
      </c>
      <c r="J844" s="2">
        <v>1915.19</v>
      </c>
      <c r="L844">
        <v>45678661</v>
      </c>
      <c r="M844" s="1">
        <v>44201</v>
      </c>
      <c r="N844" t="str">
        <f>"RC210120"</f>
        <v>RC210120</v>
      </c>
      <c r="O844" t="s">
        <v>28</v>
      </c>
      <c r="Q844" t="s">
        <v>29</v>
      </c>
      <c r="R844" t="s">
        <v>28</v>
      </c>
      <c r="S844" t="s">
        <v>3921</v>
      </c>
      <c r="T844" t="s">
        <v>3922</v>
      </c>
      <c r="W844" t="s">
        <v>40</v>
      </c>
      <c r="X844" t="s">
        <v>34</v>
      </c>
      <c r="Y844" t="str">
        <f>"77479"</f>
        <v>77479</v>
      </c>
    </row>
    <row r="845" spans="1:25" x14ac:dyDescent="0.25">
      <c r="A845" t="s">
        <v>3923</v>
      </c>
      <c r="B845" t="s">
        <v>3924</v>
      </c>
      <c r="C845">
        <v>2020</v>
      </c>
      <c r="D845">
        <v>8001</v>
      </c>
      <c r="E845">
        <v>3</v>
      </c>
      <c r="F845" t="s">
        <v>3925</v>
      </c>
      <c r="G845">
        <v>0</v>
      </c>
      <c r="J845">
        <v>5.19</v>
      </c>
      <c r="L845">
        <v>47140085</v>
      </c>
      <c r="M845" s="1">
        <v>44277</v>
      </c>
      <c r="N845" t="str">
        <f>"O210322BD1"</f>
        <v>O210322BD1</v>
      </c>
      <c r="O845" t="s">
        <v>28</v>
      </c>
      <c r="Q845" t="s">
        <v>29</v>
      </c>
      <c r="R845" t="s">
        <v>28</v>
      </c>
      <c r="S845" t="s">
        <v>3925</v>
      </c>
      <c r="T845" t="s">
        <v>3926</v>
      </c>
      <c r="U845" t="s">
        <v>60</v>
      </c>
      <c r="V845" t="s">
        <v>60</v>
      </c>
      <c r="W845" t="s">
        <v>214</v>
      </c>
      <c r="X845" t="s">
        <v>34</v>
      </c>
      <c r="Y845" t="str">
        <f>"774692612   "</f>
        <v xml:space="preserve">774692612   </v>
      </c>
    </row>
    <row r="846" spans="1:25" x14ac:dyDescent="0.25">
      <c r="A846" t="s">
        <v>3927</v>
      </c>
      <c r="B846" t="s">
        <v>3928</v>
      </c>
      <c r="C846">
        <v>2019</v>
      </c>
      <c r="D846">
        <v>8001</v>
      </c>
      <c r="E846">
        <v>1</v>
      </c>
      <c r="F846" t="s">
        <v>3929</v>
      </c>
      <c r="G846">
        <v>27898323</v>
      </c>
      <c r="J846">
        <v>6.56</v>
      </c>
      <c r="L846">
        <v>44367729</v>
      </c>
      <c r="M846" s="1">
        <v>44018</v>
      </c>
      <c r="N846" t="str">
        <f>"O200706U1"</f>
        <v>O200706U1</v>
      </c>
      <c r="O846" t="s">
        <v>28</v>
      </c>
      <c r="Q846" t="s">
        <v>29</v>
      </c>
      <c r="R846" t="s">
        <v>28</v>
      </c>
      <c r="S846" t="s">
        <v>3930</v>
      </c>
      <c r="T846" t="s">
        <v>3931</v>
      </c>
      <c r="U846" t="s">
        <v>3932</v>
      </c>
      <c r="W846" t="s">
        <v>81</v>
      </c>
      <c r="X846" t="s">
        <v>34</v>
      </c>
      <c r="Y846" t="str">
        <f>"774699639"</f>
        <v>774699639</v>
      </c>
    </row>
    <row r="847" spans="1:25" x14ac:dyDescent="0.25">
      <c r="A847" t="s">
        <v>3933</v>
      </c>
      <c r="B847" t="s">
        <v>3934</v>
      </c>
      <c r="C847">
        <v>2020</v>
      </c>
      <c r="D847">
        <v>8001</v>
      </c>
      <c r="E847">
        <v>28</v>
      </c>
      <c r="F847" t="s">
        <v>3935</v>
      </c>
      <c r="G847">
        <v>0</v>
      </c>
      <c r="J847">
        <v>21.3</v>
      </c>
      <c r="L847">
        <v>44554276</v>
      </c>
      <c r="M847" s="1">
        <v>44147</v>
      </c>
      <c r="N847" t="str">
        <f>"TE201112"</f>
        <v>TE201112</v>
      </c>
      <c r="O847" t="s">
        <v>28</v>
      </c>
      <c r="Q847" t="s">
        <v>29</v>
      </c>
      <c r="R847" t="s">
        <v>28</v>
      </c>
      <c r="S847" t="s">
        <v>3935</v>
      </c>
      <c r="T847" t="s">
        <v>3936</v>
      </c>
      <c r="U847" t="s">
        <v>60</v>
      </c>
      <c r="V847" t="s">
        <v>60</v>
      </c>
      <c r="W847" t="s">
        <v>214</v>
      </c>
      <c r="X847" t="s">
        <v>34</v>
      </c>
      <c r="Y847" t="str">
        <f>"774692601   "</f>
        <v xml:space="preserve">774692601   </v>
      </c>
    </row>
    <row r="848" spans="1:25" x14ac:dyDescent="0.25">
      <c r="A848" t="s">
        <v>3937</v>
      </c>
      <c r="B848" t="s">
        <v>3938</v>
      </c>
      <c r="C848">
        <v>2021</v>
      </c>
      <c r="D848">
        <v>8001</v>
      </c>
      <c r="E848">
        <v>2</v>
      </c>
      <c r="F848" t="s">
        <v>3939</v>
      </c>
      <c r="G848">
        <v>30881564</v>
      </c>
      <c r="J848">
        <v>166.95</v>
      </c>
      <c r="L848">
        <v>49890211</v>
      </c>
      <c r="M848" s="1">
        <v>44594</v>
      </c>
      <c r="N848" t="str">
        <f>"EK220202"</f>
        <v>EK220202</v>
      </c>
      <c r="O848" t="s">
        <v>28</v>
      </c>
      <c r="Q848" t="s">
        <v>29</v>
      </c>
      <c r="R848" t="s">
        <v>28</v>
      </c>
      <c r="S848" t="s">
        <v>3940</v>
      </c>
      <c r="T848" t="s">
        <v>3941</v>
      </c>
      <c r="W848" t="s">
        <v>75</v>
      </c>
      <c r="X848" t="s">
        <v>34</v>
      </c>
      <c r="Y848" t="str">
        <f>"77053"</f>
        <v>77053</v>
      </c>
    </row>
    <row r="849" spans="1:25" x14ac:dyDescent="0.25">
      <c r="A849" t="s">
        <v>3942</v>
      </c>
      <c r="B849" t="s">
        <v>3943</v>
      </c>
      <c r="C849">
        <v>2019</v>
      </c>
      <c r="D849">
        <v>8001</v>
      </c>
      <c r="E849">
        <v>2</v>
      </c>
      <c r="F849" t="s">
        <v>3944</v>
      </c>
      <c r="G849">
        <v>28400569</v>
      </c>
      <c r="J849">
        <v>243.51</v>
      </c>
      <c r="L849">
        <v>44071249</v>
      </c>
      <c r="M849" s="1">
        <v>43937</v>
      </c>
      <c r="N849" t="str">
        <f>"O200416Y1"</f>
        <v>O200416Y1</v>
      </c>
      <c r="O849" t="s">
        <v>28</v>
      </c>
      <c r="Q849" t="s">
        <v>29</v>
      </c>
      <c r="R849" t="s">
        <v>28</v>
      </c>
      <c r="S849" t="s">
        <v>3945</v>
      </c>
      <c r="T849" t="s">
        <v>3946</v>
      </c>
      <c r="W849" t="s">
        <v>81</v>
      </c>
      <c r="X849" t="s">
        <v>34</v>
      </c>
      <c r="Y849" t="str">
        <f>"77406"</f>
        <v>77406</v>
      </c>
    </row>
    <row r="850" spans="1:25" x14ac:dyDescent="0.25">
      <c r="A850" t="s">
        <v>3947</v>
      </c>
      <c r="B850" t="s">
        <v>3948</v>
      </c>
      <c r="C850">
        <v>2020</v>
      </c>
      <c r="D850">
        <v>8001</v>
      </c>
      <c r="E850">
        <v>1</v>
      </c>
      <c r="F850" t="s">
        <v>3949</v>
      </c>
      <c r="G850">
        <v>0</v>
      </c>
      <c r="J850">
        <v>7.27</v>
      </c>
      <c r="L850">
        <v>45482915</v>
      </c>
      <c r="M850" s="1">
        <v>44193</v>
      </c>
      <c r="N850" t="str">
        <f>"EL201228"</f>
        <v>EL201228</v>
      </c>
      <c r="O850" t="s">
        <v>28</v>
      </c>
      <c r="Q850" t="s">
        <v>29</v>
      </c>
      <c r="R850" t="s">
        <v>28</v>
      </c>
      <c r="S850" t="s">
        <v>3949</v>
      </c>
      <c r="T850" t="s">
        <v>3950</v>
      </c>
      <c r="U850" t="s">
        <v>60</v>
      </c>
      <c r="V850" t="s">
        <v>60</v>
      </c>
      <c r="W850" t="s">
        <v>219</v>
      </c>
      <c r="X850" t="s">
        <v>34</v>
      </c>
      <c r="Y850" t="str">
        <f>"774787024   "</f>
        <v xml:space="preserve">774787024   </v>
      </c>
    </row>
    <row r="851" spans="1:25" x14ac:dyDescent="0.25">
      <c r="A851" t="s">
        <v>3951</v>
      </c>
      <c r="B851" t="s">
        <v>3952</v>
      </c>
      <c r="C851">
        <v>2019</v>
      </c>
      <c r="D851">
        <v>8001</v>
      </c>
      <c r="E851">
        <v>7</v>
      </c>
      <c r="F851" t="s">
        <v>3953</v>
      </c>
      <c r="G851">
        <v>27554093</v>
      </c>
      <c r="J851">
        <v>121.25</v>
      </c>
      <c r="L851">
        <v>44327685</v>
      </c>
      <c r="M851" s="1">
        <v>44005</v>
      </c>
      <c r="N851" t="str">
        <f>"J200623K4"</f>
        <v>J200623K4</v>
      </c>
      <c r="O851" t="s">
        <v>28</v>
      </c>
      <c r="Q851" t="s">
        <v>29</v>
      </c>
      <c r="R851" t="s">
        <v>28</v>
      </c>
      <c r="S851" t="s">
        <v>3954</v>
      </c>
      <c r="T851" t="s">
        <v>3955</v>
      </c>
      <c r="U851" t="s">
        <v>1266</v>
      </c>
      <c r="W851" t="s">
        <v>332</v>
      </c>
      <c r="X851" t="s">
        <v>34</v>
      </c>
      <c r="Y851" t="str">
        <f>"752359788"</f>
        <v>752359788</v>
      </c>
    </row>
    <row r="852" spans="1:25" x14ac:dyDescent="0.25">
      <c r="A852" t="s">
        <v>3956</v>
      </c>
      <c r="B852" t="s">
        <v>3957</v>
      </c>
      <c r="C852">
        <v>2019</v>
      </c>
      <c r="D852">
        <v>8001</v>
      </c>
      <c r="E852">
        <v>1</v>
      </c>
      <c r="F852" t="s">
        <v>3958</v>
      </c>
      <c r="G852">
        <v>0</v>
      </c>
      <c r="J852">
        <v>89.76</v>
      </c>
      <c r="L852">
        <v>43915015</v>
      </c>
      <c r="M852" s="1">
        <v>43900</v>
      </c>
      <c r="N852" t="str">
        <f>"J200310AW2"</f>
        <v>J200310AW2</v>
      </c>
      <c r="O852" t="s">
        <v>28</v>
      </c>
      <c r="Q852" t="s">
        <v>29</v>
      </c>
      <c r="R852" t="s">
        <v>28</v>
      </c>
      <c r="S852" t="s">
        <v>3958</v>
      </c>
      <c r="T852" t="s">
        <v>3959</v>
      </c>
      <c r="U852" t="s">
        <v>60</v>
      </c>
      <c r="V852" t="s">
        <v>60</v>
      </c>
      <c r="W852" t="s">
        <v>219</v>
      </c>
      <c r="X852" t="s">
        <v>34</v>
      </c>
      <c r="Y852" t="str">
        <f>"774987017   "</f>
        <v xml:space="preserve">774987017   </v>
      </c>
    </row>
    <row r="853" spans="1:25" x14ac:dyDescent="0.25">
      <c r="A853" t="s">
        <v>3960</v>
      </c>
      <c r="B853" t="s">
        <v>3961</v>
      </c>
      <c r="C853">
        <v>2020</v>
      </c>
      <c r="D853">
        <v>8001</v>
      </c>
      <c r="E853">
        <v>1</v>
      </c>
      <c r="F853" t="s">
        <v>3962</v>
      </c>
      <c r="G853">
        <v>29461878</v>
      </c>
      <c r="J853">
        <v>321.73</v>
      </c>
      <c r="L853">
        <v>46728878</v>
      </c>
      <c r="M853" s="1">
        <v>44230</v>
      </c>
      <c r="N853" t="str">
        <f>"EK210203"</f>
        <v>EK210203</v>
      </c>
      <c r="O853" t="s">
        <v>28</v>
      </c>
      <c r="Q853" t="s">
        <v>29</v>
      </c>
      <c r="R853" t="s">
        <v>28</v>
      </c>
      <c r="S853" t="s">
        <v>3963</v>
      </c>
      <c r="T853" t="s">
        <v>3964</v>
      </c>
      <c r="W853" t="s">
        <v>40</v>
      </c>
      <c r="X853" t="s">
        <v>34</v>
      </c>
      <c r="Y853" t="str">
        <f>"77498"</f>
        <v>77498</v>
      </c>
    </row>
    <row r="854" spans="1:25" x14ac:dyDescent="0.25">
      <c r="A854" t="s">
        <v>3965</v>
      </c>
      <c r="B854" t="s">
        <v>3966</v>
      </c>
      <c r="C854">
        <v>2021</v>
      </c>
      <c r="D854">
        <v>8001</v>
      </c>
      <c r="E854">
        <v>1</v>
      </c>
      <c r="F854" t="s">
        <v>3967</v>
      </c>
      <c r="G854">
        <v>0</v>
      </c>
      <c r="J854">
        <v>641.20000000000005</v>
      </c>
      <c r="L854">
        <v>48367866</v>
      </c>
      <c r="M854" s="1">
        <v>44538</v>
      </c>
      <c r="N854" t="str">
        <f>"L211208"</f>
        <v>L211208</v>
      </c>
      <c r="O854" t="s">
        <v>28</v>
      </c>
      <c r="Q854" t="s">
        <v>29</v>
      </c>
      <c r="R854" t="s">
        <v>28</v>
      </c>
      <c r="S854" t="s">
        <v>3967</v>
      </c>
      <c r="T854" t="s">
        <v>3968</v>
      </c>
      <c r="U854" t="s">
        <v>60</v>
      </c>
      <c r="V854" t="s">
        <v>60</v>
      </c>
      <c r="W854" t="s">
        <v>219</v>
      </c>
      <c r="X854" t="s">
        <v>34</v>
      </c>
      <c r="Y854" t="str">
        <f>"774793252   "</f>
        <v xml:space="preserve">774793252   </v>
      </c>
    </row>
    <row r="855" spans="1:25" x14ac:dyDescent="0.25">
      <c r="A855" t="s">
        <v>3969</v>
      </c>
      <c r="B855" t="s">
        <v>3970</v>
      </c>
      <c r="C855">
        <v>2021</v>
      </c>
      <c r="D855">
        <v>8001</v>
      </c>
      <c r="E855">
        <v>1</v>
      </c>
      <c r="F855" t="s">
        <v>3971</v>
      </c>
      <c r="G855">
        <v>31141690</v>
      </c>
      <c r="J855">
        <v>500</v>
      </c>
      <c r="L855">
        <v>50228006</v>
      </c>
      <c r="M855" s="1">
        <v>44616</v>
      </c>
      <c r="N855" t="str">
        <f>"RC220317"</f>
        <v>RC220317</v>
      </c>
      <c r="O855" t="s">
        <v>28</v>
      </c>
      <c r="Q855" t="s">
        <v>29</v>
      </c>
      <c r="R855" t="s">
        <v>28</v>
      </c>
      <c r="S855" t="s">
        <v>3972</v>
      </c>
      <c r="T855" t="s">
        <v>3973</v>
      </c>
      <c r="W855" t="s">
        <v>75</v>
      </c>
      <c r="X855" t="s">
        <v>34</v>
      </c>
      <c r="Y855" t="str">
        <f>"770793327"</f>
        <v>770793327</v>
      </c>
    </row>
    <row r="856" spans="1:25" x14ac:dyDescent="0.25">
      <c r="A856" t="s">
        <v>3974</v>
      </c>
      <c r="B856" t="s">
        <v>3975</v>
      </c>
      <c r="C856">
        <v>2019</v>
      </c>
      <c r="D856">
        <v>8001</v>
      </c>
      <c r="E856">
        <v>1</v>
      </c>
      <c r="F856" t="s">
        <v>3976</v>
      </c>
      <c r="G856">
        <v>0</v>
      </c>
      <c r="J856">
        <v>134.78</v>
      </c>
      <c r="L856">
        <v>43880887</v>
      </c>
      <c r="M856" s="1">
        <v>43894</v>
      </c>
      <c r="N856" t="str">
        <f>"O200304AX1"</f>
        <v>O200304AX1</v>
      </c>
      <c r="O856" t="s">
        <v>28</v>
      </c>
      <c r="Q856" t="s">
        <v>29</v>
      </c>
      <c r="R856" t="s">
        <v>28</v>
      </c>
      <c r="S856" t="s">
        <v>3976</v>
      </c>
      <c r="T856" t="s">
        <v>3977</v>
      </c>
      <c r="U856" t="s">
        <v>60</v>
      </c>
      <c r="V856" t="s">
        <v>60</v>
      </c>
      <c r="W856" t="s">
        <v>219</v>
      </c>
      <c r="X856" t="s">
        <v>34</v>
      </c>
      <c r="Y856" t="str">
        <f>"774793259   "</f>
        <v xml:space="preserve">774793259   </v>
      </c>
    </row>
    <row r="857" spans="1:25" x14ac:dyDescent="0.25">
      <c r="A857" t="s">
        <v>3974</v>
      </c>
      <c r="B857" t="s">
        <v>3975</v>
      </c>
      <c r="C857">
        <v>2020</v>
      </c>
      <c r="D857">
        <v>8001</v>
      </c>
      <c r="E857">
        <v>1</v>
      </c>
      <c r="F857" t="s">
        <v>3976</v>
      </c>
      <c r="G857">
        <v>29896683</v>
      </c>
      <c r="J857" s="2">
        <v>1067.3</v>
      </c>
      <c r="L857">
        <v>47568805</v>
      </c>
      <c r="M857" s="1">
        <v>44377</v>
      </c>
      <c r="N857" t="str">
        <f>"O210630V1"</f>
        <v>O210630V1</v>
      </c>
      <c r="O857" t="s">
        <v>28</v>
      </c>
      <c r="Q857" t="s">
        <v>29</v>
      </c>
      <c r="R857" t="s">
        <v>28</v>
      </c>
      <c r="S857" t="s">
        <v>1612</v>
      </c>
      <c r="T857" t="s">
        <v>1613</v>
      </c>
      <c r="U857" t="s">
        <v>1614</v>
      </c>
      <c r="W857" t="s">
        <v>1615</v>
      </c>
      <c r="X857" t="s">
        <v>143</v>
      </c>
      <c r="Y857" t="str">
        <f>"191156320"</f>
        <v>191156320</v>
      </c>
    </row>
    <row r="858" spans="1:25" x14ac:dyDescent="0.25">
      <c r="A858" t="s">
        <v>3983</v>
      </c>
      <c r="B858" t="s">
        <v>3984</v>
      </c>
      <c r="C858">
        <v>2020</v>
      </c>
      <c r="D858">
        <v>8001</v>
      </c>
      <c r="E858">
        <v>1</v>
      </c>
      <c r="F858" t="s">
        <v>3985</v>
      </c>
      <c r="G858">
        <v>0</v>
      </c>
      <c r="J858">
        <v>78.849999999999994</v>
      </c>
      <c r="L858">
        <v>44759935</v>
      </c>
      <c r="M858" s="1">
        <v>44147</v>
      </c>
      <c r="N858" t="str">
        <f>"TE201112"</f>
        <v>TE201112</v>
      </c>
      <c r="O858" t="s">
        <v>28</v>
      </c>
      <c r="Q858" t="s">
        <v>29</v>
      </c>
      <c r="R858" t="s">
        <v>28</v>
      </c>
      <c r="S858" t="s">
        <v>3985</v>
      </c>
      <c r="T858" t="s">
        <v>2464</v>
      </c>
      <c r="U858" t="s">
        <v>60</v>
      </c>
      <c r="V858" t="s">
        <v>60</v>
      </c>
      <c r="W858" t="s">
        <v>2465</v>
      </c>
      <c r="X858" t="s">
        <v>34</v>
      </c>
      <c r="Y858" t="str">
        <f>"786103675   "</f>
        <v xml:space="preserve">786103675   </v>
      </c>
    </row>
    <row r="859" spans="1:25" x14ac:dyDescent="0.25">
      <c r="A859" t="s">
        <v>3986</v>
      </c>
      <c r="B859" t="s">
        <v>3987</v>
      </c>
      <c r="C859">
        <v>2020</v>
      </c>
      <c r="D859">
        <v>8001</v>
      </c>
      <c r="E859">
        <v>1</v>
      </c>
      <c r="F859" t="s">
        <v>3988</v>
      </c>
      <c r="G859">
        <v>29381487</v>
      </c>
      <c r="J859">
        <v>504.62</v>
      </c>
      <c r="L859">
        <v>46588600</v>
      </c>
      <c r="M859" s="1">
        <v>44228</v>
      </c>
      <c r="N859" t="str">
        <f>"O210201BD1"</f>
        <v>O210201BD1</v>
      </c>
      <c r="O859" t="s">
        <v>28</v>
      </c>
      <c r="Q859" t="s">
        <v>29</v>
      </c>
      <c r="R859" t="s">
        <v>28</v>
      </c>
      <c r="S859" t="s">
        <v>2890</v>
      </c>
      <c r="T859" t="s">
        <v>3989</v>
      </c>
      <c r="W859" t="s">
        <v>81</v>
      </c>
      <c r="X859" t="s">
        <v>34</v>
      </c>
      <c r="Y859" t="str">
        <f>"774073260"</f>
        <v>774073260</v>
      </c>
    </row>
    <row r="860" spans="1:25" x14ac:dyDescent="0.25">
      <c r="A860" t="s">
        <v>3990</v>
      </c>
      <c r="B860" t="s">
        <v>3991</v>
      </c>
      <c r="C860">
        <v>2020</v>
      </c>
      <c r="D860">
        <v>8001</v>
      </c>
      <c r="E860">
        <v>2</v>
      </c>
      <c r="F860" t="s">
        <v>3992</v>
      </c>
      <c r="G860">
        <v>27448614</v>
      </c>
      <c r="J860">
        <v>7.85</v>
      </c>
      <c r="L860">
        <v>47603794</v>
      </c>
      <c r="M860" s="1">
        <v>44391</v>
      </c>
      <c r="N860" t="str">
        <f>"O210714F1"</f>
        <v>O210714F1</v>
      </c>
      <c r="O860" t="s">
        <v>28</v>
      </c>
      <c r="Q860" t="s">
        <v>29</v>
      </c>
      <c r="R860" t="s">
        <v>28</v>
      </c>
      <c r="S860" t="s">
        <v>3992</v>
      </c>
      <c r="T860" t="s">
        <v>3993</v>
      </c>
      <c r="U860" t="s">
        <v>3994</v>
      </c>
      <c r="W860" t="s">
        <v>332</v>
      </c>
      <c r="X860" t="s">
        <v>34</v>
      </c>
      <c r="Y860" t="str">
        <f>"753701088"</f>
        <v>753701088</v>
      </c>
    </row>
    <row r="861" spans="1:25" x14ac:dyDescent="0.25">
      <c r="A861" t="s">
        <v>3995</v>
      </c>
      <c r="B861" t="s">
        <v>3996</v>
      </c>
      <c r="C861">
        <v>2020</v>
      </c>
      <c r="D861">
        <v>8001</v>
      </c>
      <c r="E861">
        <v>2</v>
      </c>
      <c r="F861" t="s">
        <v>3997</v>
      </c>
      <c r="G861">
        <v>0</v>
      </c>
      <c r="J861">
        <v>10</v>
      </c>
      <c r="L861">
        <v>46517324</v>
      </c>
      <c r="M861" s="1">
        <v>44225</v>
      </c>
      <c r="N861" t="str">
        <f>"L210129"</f>
        <v>L210129</v>
      </c>
      <c r="O861" t="s">
        <v>28</v>
      </c>
      <c r="Q861" t="s">
        <v>29</v>
      </c>
      <c r="R861" t="s">
        <v>28</v>
      </c>
      <c r="S861" t="s">
        <v>3997</v>
      </c>
      <c r="T861" t="s">
        <v>3998</v>
      </c>
      <c r="U861" t="s">
        <v>60</v>
      </c>
      <c r="V861" t="s">
        <v>60</v>
      </c>
      <c r="W861" t="s">
        <v>214</v>
      </c>
      <c r="X861" t="s">
        <v>34</v>
      </c>
      <c r="Y861" t="str">
        <f>"774073279   "</f>
        <v xml:space="preserve">774073279   </v>
      </c>
    </row>
    <row r="862" spans="1:25" x14ac:dyDescent="0.25">
      <c r="A862" t="s">
        <v>3999</v>
      </c>
      <c r="B862" t="s">
        <v>4000</v>
      </c>
      <c r="C862">
        <v>2020</v>
      </c>
      <c r="D862">
        <v>8001</v>
      </c>
      <c r="E862">
        <v>2</v>
      </c>
      <c r="F862" t="s">
        <v>3992</v>
      </c>
      <c r="G862">
        <v>27448614</v>
      </c>
      <c r="J862">
        <v>7.7</v>
      </c>
      <c r="L862">
        <v>47603790</v>
      </c>
      <c r="M862" s="1">
        <v>44391</v>
      </c>
      <c r="N862" t="str">
        <f>"O210714F1"</f>
        <v>O210714F1</v>
      </c>
      <c r="O862" t="s">
        <v>28</v>
      </c>
      <c r="Q862" t="s">
        <v>29</v>
      </c>
      <c r="R862" t="s">
        <v>28</v>
      </c>
      <c r="S862" t="s">
        <v>3992</v>
      </c>
      <c r="T862" t="s">
        <v>3993</v>
      </c>
      <c r="U862" t="s">
        <v>3994</v>
      </c>
      <c r="W862" t="s">
        <v>332</v>
      </c>
      <c r="X862" t="s">
        <v>34</v>
      </c>
      <c r="Y862" t="str">
        <f>"753701088"</f>
        <v>753701088</v>
      </c>
    </row>
    <row r="863" spans="1:25" x14ac:dyDescent="0.25">
      <c r="A863" t="s">
        <v>4001</v>
      </c>
      <c r="B863" t="s">
        <v>4002</v>
      </c>
      <c r="C863">
        <v>2020</v>
      </c>
      <c r="D863">
        <v>8001</v>
      </c>
      <c r="E863">
        <v>1</v>
      </c>
      <c r="F863" t="s">
        <v>4003</v>
      </c>
      <c r="G863">
        <v>21639043</v>
      </c>
      <c r="J863">
        <v>555.04999999999995</v>
      </c>
      <c r="L863">
        <v>45660815</v>
      </c>
      <c r="M863" s="1">
        <v>44200</v>
      </c>
      <c r="N863" t="str">
        <f>"RC210120"</f>
        <v>RC210120</v>
      </c>
      <c r="O863" t="s">
        <v>28</v>
      </c>
      <c r="Q863" t="s">
        <v>29</v>
      </c>
      <c r="R863" t="s">
        <v>28</v>
      </c>
      <c r="S863" t="s">
        <v>4004</v>
      </c>
      <c r="T863" t="s">
        <v>4005</v>
      </c>
      <c r="W863" t="s">
        <v>40</v>
      </c>
      <c r="X863" t="s">
        <v>34</v>
      </c>
      <c r="Y863" t="str">
        <f>"77498"</f>
        <v>77498</v>
      </c>
    </row>
    <row r="864" spans="1:25" x14ac:dyDescent="0.25">
      <c r="A864" t="s">
        <v>4006</v>
      </c>
      <c r="B864" t="s">
        <v>4007</v>
      </c>
      <c r="C864">
        <v>2019</v>
      </c>
      <c r="D864">
        <v>8001</v>
      </c>
      <c r="E864">
        <v>1</v>
      </c>
      <c r="F864" t="s">
        <v>4008</v>
      </c>
      <c r="G864">
        <v>0</v>
      </c>
      <c r="J864">
        <v>5.21</v>
      </c>
      <c r="L864">
        <v>43909523</v>
      </c>
      <c r="M864" s="1">
        <v>43899</v>
      </c>
      <c r="N864" t="str">
        <f>"J200309AW6"</f>
        <v>J200309AW6</v>
      </c>
      <c r="O864" t="s">
        <v>28</v>
      </c>
      <c r="Q864" t="s">
        <v>29</v>
      </c>
      <c r="R864" t="s">
        <v>28</v>
      </c>
      <c r="S864" t="s">
        <v>4008</v>
      </c>
      <c r="T864" t="s">
        <v>4009</v>
      </c>
      <c r="U864" t="s">
        <v>4010</v>
      </c>
      <c r="V864" t="s">
        <v>60</v>
      </c>
      <c r="W864" t="s">
        <v>219</v>
      </c>
      <c r="X864" t="s">
        <v>34</v>
      </c>
      <c r="Y864" t="str">
        <f>"774782809   "</f>
        <v xml:space="preserve">774782809   </v>
      </c>
    </row>
    <row r="865" spans="1:25" x14ac:dyDescent="0.25">
      <c r="A865" t="s">
        <v>4011</v>
      </c>
      <c r="B865" t="s">
        <v>4012</v>
      </c>
      <c r="C865">
        <v>2021</v>
      </c>
      <c r="D865">
        <v>8001</v>
      </c>
      <c r="E865">
        <v>3</v>
      </c>
      <c r="F865" t="s">
        <v>4013</v>
      </c>
      <c r="G865">
        <v>23405924</v>
      </c>
      <c r="J865" s="2">
        <v>2000</v>
      </c>
      <c r="L865">
        <v>48538124</v>
      </c>
      <c r="M865" s="1">
        <v>44547</v>
      </c>
      <c r="N865" t="str">
        <f>"RC220114"</f>
        <v>RC220114</v>
      </c>
      <c r="O865" t="s">
        <v>28</v>
      </c>
      <c r="Q865" t="s">
        <v>29</v>
      </c>
      <c r="R865" t="s">
        <v>28</v>
      </c>
      <c r="S865" t="s">
        <v>4014</v>
      </c>
      <c r="T865" t="s">
        <v>4015</v>
      </c>
      <c r="U865" t="s">
        <v>4016</v>
      </c>
      <c r="W865" t="s">
        <v>40</v>
      </c>
      <c r="X865" t="s">
        <v>34</v>
      </c>
      <c r="Y865" t="str">
        <f>"774987449"</f>
        <v>774987449</v>
      </c>
    </row>
    <row r="866" spans="1:25" x14ac:dyDescent="0.25">
      <c r="A866" t="s">
        <v>4017</v>
      </c>
      <c r="B866" t="s">
        <v>4018</v>
      </c>
      <c r="C866">
        <v>2019</v>
      </c>
      <c r="D866">
        <v>8001</v>
      </c>
      <c r="E866">
        <v>5</v>
      </c>
      <c r="F866" t="s">
        <v>4019</v>
      </c>
      <c r="G866">
        <v>22424044</v>
      </c>
      <c r="J866">
        <v>91.16</v>
      </c>
      <c r="L866">
        <v>43907846</v>
      </c>
      <c r="M866" s="1">
        <v>43899</v>
      </c>
      <c r="N866" t="str">
        <f>"J200309AW1"</f>
        <v>J200309AW1</v>
      </c>
      <c r="O866" t="s">
        <v>28</v>
      </c>
      <c r="Q866" t="s">
        <v>29</v>
      </c>
      <c r="R866" t="s">
        <v>28</v>
      </c>
      <c r="S866" t="s">
        <v>4020</v>
      </c>
      <c r="T866" t="s">
        <v>4021</v>
      </c>
      <c r="W866" t="s">
        <v>154</v>
      </c>
      <c r="X866" t="s">
        <v>34</v>
      </c>
      <c r="Y866" t="str">
        <f>"774712537"</f>
        <v>774712537</v>
      </c>
    </row>
    <row r="867" spans="1:25" x14ac:dyDescent="0.25">
      <c r="A867" t="s">
        <v>4022</v>
      </c>
      <c r="B867" t="s">
        <v>4023</v>
      </c>
      <c r="C867">
        <v>2020</v>
      </c>
      <c r="D867">
        <v>8001</v>
      </c>
      <c r="E867">
        <v>1</v>
      </c>
      <c r="F867" t="s">
        <v>4024</v>
      </c>
      <c r="G867">
        <v>29461733</v>
      </c>
      <c r="J867">
        <v>323.87</v>
      </c>
      <c r="L867">
        <v>46728733</v>
      </c>
      <c r="M867" s="1">
        <v>44230</v>
      </c>
      <c r="N867" t="str">
        <f>"EK210203"</f>
        <v>EK210203</v>
      </c>
      <c r="O867" t="s">
        <v>28</v>
      </c>
      <c r="Q867" t="s">
        <v>29</v>
      </c>
      <c r="R867" t="s">
        <v>28</v>
      </c>
      <c r="S867" t="s">
        <v>4025</v>
      </c>
      <c r="T867" t="s">
        <v>4026</v>
      </c>
      <c r="W867" t="s">
        <v>40</v>
      </c>
      <c r="X867" t="s">
        <v>34</v>
      </c>
      <c r="Y867" t="str">
        <f>"77498"</f>
        <v>77498</v>
      </c>
    </row>
    <row r="868" spans="1:25" x14ac:dyDescent="0.25">
      <c r="A868" t="s">
        <v>4027</v>
      </c>
      <c r="B868" t="s">
        <v>4028</v>
      </c>
      <c r="C868">
        <v>2019</v>
      </c>
      <c r="D868">
        <v>8001</v>
      </c>
      <c r="E868">
        <v>2</v>
      </c>
      <c r="F868" t="s">
        <v>4029</v>
      </c>
      <c r="G868">
        <v>27817311</v>
      </c>
      <c r="J868">
        <v>5.9</v>
      </c>
      <c r="L868">
        <v>43890177</v>
      </c>
      <c r="M868" s="1">
        <v>43895</v>
      </c>
      <c r="N868" t="str">
        <f>"J200305K3"</f>
        <v>J200305K3</v>
      </c>
      <c r="O868" t="s">
        <v>28</v>
      </c>
      <c r="Q868" t="s">
        <v>29</v>
      </c>
      <c r="R868" t="s">
        <v>28</v>
      </c>
      <c r="S868" t="s">
        <v>380</v>
      </c>
      <c r="T868" t="s">
        <v>4030</v>
      </c>
      <c r="U868" t="s">
        <v>4031</v>
      </c>
      <c r="W868" t="s">
        <v>75</v>
      </c>
      <c r="X868" t="s">
        <v>34</v>
      </c>
      <c r="Y868" t="str">
        <f>"77070"</f>
        <v>77070</v>
      </c>
    </row>
    <row r="869" spans="1:25" x14ac:dyDescent="0.25">
      <c r="A869" t="s">
        <v>4032</v>
      </c>
      <c r="B869" t="s">
        <v>4033</v>
      </c>
      <c r="C869">
        <v>2021</v>
      </c>
      <c r="D869">
        <v>8001</v>
      </c>
      <c r="E869">
        <v>14</v>
      </c>
      <c r="F869" t="s">
        <v>4034</v>
      </c>
      <c r="G869">
        <v>0</v>
      </c>
      <c r="J869">
        <v>18.739999999999998</v>
      </c>
      <c r="L869">
        <v>49789369</v>
      </c>
      <c r="M869" s="1">
        <v>44592</v>
      </c>
      <c r="N869" t="str">
        <f>"O220131AK7"</f>
        <v>O220131AK7</v>
      </c>
      <c r="O869" t="s">
        <v>28</v>
      </c>
      <c r="Q869" t="s">
        <v>29</v>
      </c>
      <c r="R869" t="s">
        <v>28</v>
      </c>
      <c r="S869" t="s">
        <v>4034</v>
      </c>
      <c r="T869" t="s">
        <v>4035</v>
      </c>
      <c r="U869" t="s">
        <v>60</v>
      </c>
      <c r="V869" t="s">
        <v>60</v>
      </c>
      <c r="W869" t="s">
        <v>135</v>
      </c>
      <c r="X869" t="s">
        <v>34</v>
      </c>
      <c r="Y869" t="str">
        <f>"772310685   "</f>
        <v xml:space="preserve">772310685   </v>
      </c>
    </row>
    <row r="870" spans="1:25" x14ac:dyDescent="0.25">
      <c r="A870" t="s">
        <v>4036</v>
      </c>
      <c r="B870" t="s">
        <v>4037</v>
      </c>
      <c r="C870">
        <v>2020</v>
      </c>
      <c r="D870">
        <v>8001</v>
      </c>
      <c r="E870">
        <v>2</v>
      </c>
      <c r="F870" t="s">
        <v>4038</v>
      </c>
      <c r="G870">
        <v>29855880</v>
      </c>
      <c r="J870">
        <v>86.38</v>
      </c>
      <c r="L870">
        <v>47493677</v>
      </c>
      <c r="M870" s="1">
        <v>44350</v>
      </c>
      <c r="N870" t="str">
        <f>"EK210603"</f>
        <v>EK210603</v>
      </c>
      <c r="O870" t="s">
        <v>28</v>
      </c>
      <c r="Q870" t="s">
        <v>29</v>
      </c>
      <c r="R870" t="s">
        <v>28</v>
      </c>
      <c r="S870" t="s">
        <v>4039</v>
      </c>
      <c r="T870" t="s">
        <v>4040</v>
      </c>
      <c r="W870" t="s">
        <v>371</v>
      </c>
      <c r="X870" t="s">
        <v>34</v>
      </c>
      <c r="Y870" t="str">
        <f>"77477"</f>
        <v>77477</v>
      </c>
    </row>
    <row r="871" spans="1:25" x14ac:dyDescent="0.25">
      <c r="A871" t="s">
        <v>4041</v>
      </c>
      <c r="B871" t="s">
        <v>4042</v>
      </c>
      <c r="C871">
        <v>2021</v>
      </c>
      <c r="D871">
        <v>8001</v>
      </c>
      <c r="E871">
        <v>1</v>
      </c>
      <c r="F871" t="s">
        <v>4043</v>
      </c>
      <c r="G871">
        <v>3921721</v>
      </c>
      <c r="J871">
        <v>20.94</v>
      </c>
      <c r="L871">
        <v>49350258</v>
      </c>
      <c r="M871" s="1">
        <v>44581</v>
      </c>
      <c r="N871" t="str">
        <f>"RC220221"</f>
        <v>RC220221</v>
      </c>
      <c r="O871" t="s">
        <v>28</v>
      </c>
      <c r="Q871" t="s">
        <v>29</v>
      </c>
      <c r="R871" t="s">
        <v>28</v>
      </c>
      <c r="S871" t="s">
        <v>4044</v>
      </c>
      <c r="T871" t="s">
        <v>4045</v>
      </c>
      <c r="W871" t="s">
        <v>4046</v>
      </c>
      <c r="X871" t="s">
        <v>34</v>
      </c>
      <c r="Y871" t="str">
        <f>"950300000"</f>
        <v>950300000</v>
      </c>
    </row>
    <row r="872" spans="1:25" x14ac:dyDescent="0.25">
      <c r="A872" t="s">
        <v>4047</v>
      </c>
      <c r="B872" t="s">
        <v>4048</v>
      </c>
      <c r="C872">
        <v>2021</v>
      </c>
      <c r="D872">
        <v>8001</v>
      </c>
      <c r="E872">
        <v>2</v>
      </c>
      <c r="F872" t="s">
        <v>4049</v>
      </c>
      <c r="G872">
        <v>28406245</v>
      </c>
      <c r="J872">
        <v>505.82</v>
      </c>
      <c r="L872">
        <v>49635223</v>
      </c>
      <c r="M872" s="1">
        <v>44588</v>
      </c>
      <c r="N872" t="str">
        <f>"RC220309"</f>
        <v>RC220309</v>
      </c>
      <c r="O872" t="s">
        <v>28</v>
      </c>
      <c r="Q872" t="s">
        <v>29</v>
      </c>
      <c r="R872" t="s">
        <v>28</v>
      </c>
      <c r="S872" t="s">
        <v>1474</v>
      </c>
      <c r="T872" t="s">
        <v>1475</v>
      </c>
      <c r="W872" t="s">
        <v>33</v>
      </c>
      <c r="X872" t="s">
        <v>34</v>
      </c>
      <c r="Y872" t="str">
        <f>"75093"</f>
        <v>75093</v>
      </c>
    </row>
    <row r="873" spans="1:25" x14ac:dyDescent="0.25">
      <c r="A873" t="s">
        <v>4050</v>
      </c>
      <c r="B873" t="s">
        <v>4051</v>
      </c>
      <c r="C873">
        <v>2019</v>
      </c>
      <c r="D873">
        <v>8001</v>
      </c>
      <c r="E873">
        <v>1</v>
      </c>
      <c r="F873" t="s">
        <v>4052</v>
      </c>
      <c r="G873">
        <v>23563726</v>
      </c>
      <c r="J873">
        <v>72.06</v>
      </c>
      <c r="L873">
        <v>44231773</v>
      </c>
      <c r="M873" s="1">
        <v>43980</v>
      </c>
      <c r="N873" t="str">
        <f>"J200529AW3"</f>
        <v>J200529AW3</v>
      </c>
      <c r="O873" t="s">
        <v>28</v>
      </c>
      <c r="Q873" t="s">
        <v>29</v>
      </c>
      <c r="R873" t="s">
        <v>28</v>
      </c>
      <c r="S873" t="s">
        <v>4053</v>
      </c>
      <c r="T873" t="s">
        <v>4054</v>
      </c>
      <c r="U873" t="s">
        <v>4055</v>
      </c>
      <c r="W873" t="s">
        <v>332</v>
      </c>
      <c r="X873" t="s">
        <v>34</v>
      </c>
      <c r="Y873" t="str">
        <f>"75201"</f>
        <v>75201</v>
      </c>
    </row>
    <row r="874" spans="1:25" x14ac:dyDescent="0.25">
      <c r="A874" t="s">
        <v>4056</v>
      </c>
      <c r="B874" t="s">
        <v>4057</v>
      </c>
      <c r="C874">
        <v>2019</v>
      </c>
      <c r="D874">
        <v>8001</v>
      </c>
      <c r="E874">
        <v>2</v>
      </c>
      <c r="F874" t="s">
        <v>4058</v>
      </c>
      <c r="G874">
        <v>28176454</v>
      </c>
      <c r="J874">
        <v>450.7</v>
      </c>
      <c r="L874">
        <v>43577643</v>
      </c>
      <c r="M874" s="1">
        <v>43865</v>
      </c>
      <c r="N874" t="str">
        <f>"O200204AV6"</f>
        <v>O200204AV6</v>
      </c>
      <c r="O874" t="s">
        <v>28</v>
      </c>
      <c r="Q874" t="s">
        <v>29</v>
      </c>
      <c r="R874" t="s">
        <v>28</v>
      </c>
      <c r="S874" t="s">
        <v>2029</v>
      </c>
      <c r="T874" t="s">
        <v>2030</v>
      </c>
      <c r="W874" t="s">
        <v>40</v>
      </c>
      <c r="X874" t="s">
        <v>34</v>
      </c>
      <c r="Y874" t="str">
        <f>"774784217"</f>
        <v>774784217</v>
      </c>
    </row>
    <row r="875" spans="1:25" x14ac:dyDescent="0.25">
      <c r="A875" t="s">
        <v>4059</v>
      </c>
      <c r="B875" t="s">
        <v>4060</v>
      </c>
      <c r="C875">
        <v>2020</v>
      </c>
      <c r="D875">
        <v>8001</v>
      </c>
      <c r="E875">
        <v>2</v>
      </c>
      <c r="F875" t="s">
        <v>4061</v>
      </c>
      <c r="G875">
        <v>29339036</v>
      </c>
      <c r="J875">
        <v>30</v>
      </c>
      <c r="L875">
        <v>46495682</v>
      </c>
      <c r="M875" s="1">
        <v>44225</v>
      </c>
      <c r="N875" t="str">
        <f>"O210129AS6"</f>
        <v>O210129AS6</v>
      </c>
      <c r="O875" t="s">
        <v>28</v>
      </c>
      <c r="Q875" t="s">
        <v>29</v>
      </c>
      <c r="R875" t="s">
        <v>28</v>
      </c>
      <c r="S875" t="s">
        <v>4062</v>
      </c>
      <c r="T875" t="s">
        <v>4063</v>
      </c>
      <c r="W875" t="s">
        <v>392</v>
      </c>
      <c r="X875" t="s">
        <v>34</v>
      </c>
      <c r="Y875" t="str">
        <f>"774592569"</f>
        <v>774592569</v>
      </c>
    </row>
    <row r="876" spans="1:25" x14ac:dyDescent="0.25">
      <c r="A876" t="s">
        <v>4064</v>
      </c>
      <c r="B876" t="s">
        <v>4065</v>
      </c>
      <c r="C876">
        <v>2021</v>
      </c>
      <c r="D876">
        <v>8001</v>
      </c>
      <c r="E876">
        <v>1</v>
      </c>
      <c r="F876" t="s">
        <v>4066</v>
      </c>
      <c r="G876">
        <v>30503748</v>
      </c>
      <c r="J876">
        <v>170.7</v>
      </c>
      <c r="L876">
        <v>48396580</v>
      </c>
      <c r="M876" s="1">
        <v>44539</v>
      </c>
      <c r="N876" t="str">
        <f>"RC220113"</f>
        <v>RC220113</v>
      </c>
      <c r="O876" t="s">
        <v>28</v>
      </c>
      <c r="Q876" t="s">
        <v>29</v>
      </c>
      <c r="R876" t="s">
        <v>28</v>
      </c>
      <c r="S876" t="s">
        <v>4067</v>
      </c>
      <c r="T876" t="s">
        <v>203</v>
      </c>
      <c r="U876" t="s">
        <v>4068</v>
      </c>
      <c r="W876" t="s">
        <v>107</v>
      </c>
      <c r="X876" t="s">
        <v>34</v>
      </c>
      <c r="Y876" t="str">
        <f>"77494"</f>
        <v>77494</v>
      </c>
    </row>
    <row r="877" spans="1:25" x14ac:dyDescent="0.25">
      <c r="A877" t="s">
        <v>4069</v>
      </c>
      <c r="B877" t="s">
        <v>4070</v>
      </c>
      <c r="C877">
        <v>2021</v>
      </c>
      <c r="D877">
        <v>8001</v>
      </c>
      <c r="E877">
        <v>1</v>
      </c>
      <c r="F877" t="s">
        <v>4071</v>
      </c>
      <c r="G877">
        <v>26419208</v>
      </c>
      <c r="J877">
        <v>258.95999999999998</v>
      </c>
      <c r="L877">
        <v>48209730</v>
      </c>
      <c r="M877" s="1">
        <v>44529</v>
      </c>
      <c r="N877" t="str">
        <f>"RC211222"</f>
        <v>RC211222</v>
      </c>
      <c r="O877" t="s">
        <v>28</v>
      </c>
      <c r="Q877" t="s">
        <v>29</v>
      </c>
      <c r="R877" t="s">
        <v>28</v>
      </c>
      <c r="S877" t="s">
        <v>1073</v>
      </c>
      <c r="T877" t="s">
        <v>1074</v>
      </c>
      <c r="W877" t="s">
        <v>1075</v>
      </c>
      <c r="X877" t="s">
        <v>34</v>
      </c>
      <c r="Y877" t="str">
        <f>"76177"</f>
        <v>76177</v>
      </c>
    </row>
    <row r="878" spans="1:25" x14ac:dyDescent="0.25">
      <c r="A878" t="s">
        <v>4072</v>
      </c>
      <c r="B878" t="s">
        <v>4073</v>
      </c>
      <c r="C878">
        <v>2019</v>
      </c>
      <c r="D878">
        <v>8001</v>
      </c>
      <c r="E878">
        <v>1</v>
      </c>
      <c r="F878" t="s">
        <v>4074</v>
      </c>
      <c r="G878">
        <v>0</v>
      </c>
      <c r="J878">
        <v>88.05</v>
      </c>
      <c r="L878">
        <v>43914996</v>
      </c>
      <c r="M878" s="1">
        <v>43900</v>
      </c>
      <c r="N878" t="str">
        <f>"J200310AW2"</f>
        <v>J200310AW2</v>
      </c>
      <c r="O878" t="s">
        <v>28</v>
      </c>
      <c r="Q878" t="s">
        <v>29</v>
      </c>
      <c r="R878" t="s">
        <v>28</v>
      </c>
      <c r="S878" t="s">
        <v>4074</v>
      </c>
      <c r="T878" t="s">
        <v>4075</v>
      </c>
      <c r="U878" t="s">
        <v>60</v>
      </c>
      <c r="V878" t="s">
        <v>60</v>
      </c>
      <c r="W878" t="s">
        <v>1137</v>
      </c>
      <c r="X878" t="s">
        <v>34</v>
      </c>
      <c r="Y878" t="str">
        <f>"774945588   "</f>
        <v xml:space="preserve">774945588   </v>
      </c>
    </row>
    <row r="879" spans="1:25" x14ac:dyDescent="0.25">
      <c r="A879" t="s">
        <v>4076</v>
      </c>
      <c r="B879" t="s">
        <v>4077</v>
      </c>
      <c r="C879">
        <v>2021</v>
      </c>
      <c r="D879">
        <v>8001</v>
      </c>
      <c r="E879">
        <v>1</v>
      </c>
      <c r="F879" t="s">
        <v>4078</v>
      </c>
      <c r="G879">
        <v>30101591</v>
      </c>
      <c r="J879">
        <v>9.8699999999999992</v>
      </c>
      <c r="L879">
        <v>48167745</v>
      </c>
      <c r="M879" s="1">
        <v>44522</v>
      </c>
      <c r="N879" t="str">
        <f>"RC211222"</f>
        <v>RC211222</v>
      </c>
      <c r="O879" t="s">
        <v>28</v>
      </c>
      <c r="Q879" t="s">
        <v>29</v>
      </c>
      <c r="R879" t="s">
        <v>28</v>
      </c>
      <c r="S879" t="s">
        <v>380</v>
      </c>
      <c r="T879" t="s">
        <v>1903</v>
      </c>
      <c r="U879" t="s">
        <v>1904</v>
      </c>
      <c r="V879" t="s">
        <v>1905</v>
      </c>
      <c r="W879" t="s">
        <v>75</v>
      </c>
      <c r="X879" t="s">
        <v>34</v>
      </c>
      <c r="Y879" t="str">
        <f>"770426040"</f>
        <v>770426040</v>
      </c>
    </row>
    <row r="880" spans="1:25" x14ac:dyDescent="0.25">
      <c r="A880" t="s">
        <v>4079</v>
      </c>
      <c r="B880" t="s">
        <v>4080</v>
      </c>
      <c r="C880">
        <v>2019</v>
      </c>
      <c r="D880">
        <v>8001</v>
      </c>
      <c r="E880">
        <v>1</v>
      </c>
      <c r="F880" t="s">
        <v>4081</v>
      </c>
      <c r="G880">
        <v>28035774</v>
      </c>
      <c r="J880">
        <v>7.98</v>
      </c>
      <c r="L880">
        <v>43302145</v>
      </c>
      <c r="M880" s="1">
        <v>43859</v>
      </c>
      <c r="N880" t="str">
        <f>"J200129F10"</f>
        <v>J200129F10</v>
      </c>
      <c r="O880" t="s">
        <v>28</v>
      </c>
      <c r="Q880" t="s">
        <v>29</v>
      </c>
      <c r="R880" t="s">
        <v>28</v>
      </c>
      <c r="S880" t="s">
        <v>4082</v>
      </c>
      <c r="T880" t="s">
        <v>4083</v>
      </c>
      <c r="W880" t="s">
        <v>4084</v>
      </c>
      <c r="X880" t="s">
        <v>34</v>
      </c>
      <c r="Y880" t="str">
        <f>"773451690"</f>
        <v>773451690</v>
      </c>
    </row>
    <row r="881" spans="1:25" x14ac:dyDescent="0.25">
      <c r="A881" t="s">
        <v>4085</v>
      </c>
      <c r="B881" t="s">
        <v>4086</v>
      </c>
      <c r="C881">
        <v>2018</v>
      </c>
      <c r="D881">
        <v>8001</v>
      </c>
      <c r="E881">
        <v>1</v>
      </c>
      <c r="F881" t="s">
        <v>4087</v>
      </c>
      <c r="G881">
        <v>25106988</v>
      </c>
      <c r="J881">
        <v>20.73</v>
      </c>
      <c r="L881">
        <v>41480057</v>
      </c>
      <c r="M881" s="1">
        <v>43684</v>
      </c>
      <c r="N881" t="str">
        <f>"J190807K1"</f>
        <v>J190807K1</v>
      </c>
      <c r="O881" t="s">
        <v>28</v>
      </c>
      <c r="Q881" t="s">
        <v>29</v>
      </c>
      <c r="R881" t="s">
        <v>28</v>
      </c>
      <c r="S881" t="s">
        <v>1326</v>
      </c>
      <c r="T881" t="s">
        <v>3805</v>
      </c>
      <c r="W881" t="s">
        <v>1328</v>
      </c>
      <c r="X881" t="s">
        <v>162</v>
      </c>
      <c r="Y881" t="str">
        <f>"06054"</f>
        <v>06054</v>
      </c>
    </row>
    <row r="882" spans="1:25" x14ac:dyDescent="0.25">
      <c r="A882" t="s">
        <v>4088</v>
      </c>
      <c r="B882" t="s">
        <v>4089</v>
      </c>
      <c r="C882">
        <v>2020</v>
      </c>
      <c r="D882">
        <v>8001</v>
      </c>
      <c r="E882">
        <v>1</v>
      </c>
      <c r="F882" t="s">
        <v>4090</v>
      </c>
      <c r="G882">
        <v>23418338</v>
      </c>
      <c r="J882">
        <v>65.67</v>
      </c>
      <c r="L882">
        <v>47692940</v>
      </c>
      <c r="M882" s="1">
        <v>44419</v>
      </c>
      <c r="N882" t="str">
        <f>"RC210820"</f>
        <v>RC210820</v>
      </c>
      <c r="O882" t="s">
        <v>28</v>
      </c>
      <c r="Q882" t="s">
        <v>29</v>
      </c>
      <c r="R882" t="s">
        <v>28</v>
      </c>
      <c r="S882" t="s">
        <v>380</v>
      </c>
      <c r="T882" t="s">
        <v>4091</v>
      </c>
      <c r="U882" t="s">
        <v>4092</v>
      </c>
      <c r="V882" t="s">
        <v>4093</v>
      </c>
      <c r="W882" t="s">
        <v>4094</v>
      </c>
      <c r="X882" t="s">
        <v>34</v>
      </c>
      <c r="Y882" t="str">
        <f>"77380"</f>
        <v>77380</v>
      </c>
    </row>
    <row r="883" spans="1:25" x14ac:dyDescent="0.25">
      <c r="A883" t="s">
        <v>4095</v>
      </c>
      <c r="B883" t="s">
        <v>4096</v>
      </c>
      <c r="C883">
        <v>2021</v>
      </c>
      <c r="D883">
        <v>8001</v>
      </c>
      <c r="E883">
        <v>4</v>
      </c>
      <c r="F883" t="s">
        <v>4097</v>
      </c>
      <c r="G883">
        <v>0</v>
      </c>
      <c r="J883">
        <v>10</v>
      </c>
      <c r="L883">
        <v>49702651</v>
      </c>
      <c r="M883" s="1">
        <v>44589</v>
      </c>
      <c r="N883" t="str">
        <f>"J220128BW5"</f>
        <v>J220128BW5</v>
      </c>
      <c r="O883" t="s">
        <v>28</v>
      </c>
      <c r="Q883" t="s">
        <v>29</v>
      </c>
      <c r="R883" t="s">
        <v>28</v>
      </c>
      <c r="S883" t="s">
        <v>4097</v>
      </c>
      <c r="T883" t="s">
        <v>4098</v>
      </c>
      <c r="U883" t="s">
        <v>4099</v>
      </c>
      <c r="V883" t="s">
        <v>60</v>
      </c>
      <c r="W883" t="s">
        <v>214</v>
      </c>
      <c r="X883" t="s">
        <v>34</v>
      </c>
      <c r="Y883" t="str">
        <f>"774062017   "</f>
        <v xml:space="preserve">774062017   </v>
      </c>
    </row>
    <row r="884" spans="1:25" x14ac:dyDescent="0.25">
      <c r="A884" t="s">
        <v>4100</v>
      </c>
      <c r="B884" t="s">
        <v>4101</v>
      </c>
      <c r="C884">
        <v>2020</v>
      </c>
      <c r="D884">
        <v>8001</v>
      </c>
      <c r="E884">
        <v>1</v>
      </c>
      <c r="F884" t="s">
        <v>4102</v>
      </c>
      <c r="G884">
        <v>29875304</v>
      </c>
      <c r="J884">
        <v>72.099999999999994</v>
      </c>
      <c r="L884">
        <v>47519623</v>
      </c>
      <c r="M884" s="1">
        <v>44357</v>
      </c>
      <c r="N884" t="str">
        <f>"RC210616"</f>
        <v>RC210616</v>
      </c>
      <c r="O884" t="s">
        <v>28</v>
      </c>
      <c r="Q884" t="s">
        <v>29</v>
      </c>
      <c r="R884" t="s">
        <v>28</v>
      </c>
      <c r="S884" t="s">
        <v>4103</v>
      </c>
      <c r="T884" t="s">
        <v>4104</v>
      </c>
      <c r="W884" t="s">
        <v>81</v>
      </c>
      <c r="X884" t="s">
        <v>34</v>
      </c>
      <c r="Y884" t="str">
        <f>"77406"</f>
        <v>77406</v>
      </c>
    </row>
    <row r="885" spans="1:25" x14ac:dyDescent="0.25">
      <c r="A885" t="s">
        <v>4105</v>
      </c>
      <c r="B885" t="s">
        <v>4106</v>
      </c>
      <c r="C885">
        <v>2019</v>
      </c>
      <c r="D885">
        <v>8001</v>
      </c>
      <c r="E885">
        <v>5</v>
      </c>
      <c r="F885" t="s">
        <v>4107</v>
      </c>
      <c r="G885">
        <v>0</v>
      </c>
      <c r="J885">
        <v>12.99</v>
      </c>
      <c r="L885">
        <v>44248602</v>
      </c>
      <c r="M885" s="1">
        <v>43983</v>
      </c>
      <c r="N885" t="str">
        <f>"J200601U2"</f>
        <v>J200601U2</v>
      </c>
      <c r="O885" t="s">
        <v>28</v>
      </c>
      <c r="Q885" t="s">
        <v>29</v>
      </c>
      <c r="R885" t="s">
        <v>28</v>
      </c>
      <c r="S885" t="s">
        <v>4107</v>
      </c>
      <c r="T885" t="s">
        <v>4108</v>
      </c>
      <c r="U885" t="s">
        <v>60</v>
      </c>
      <c r="V885" t="s">
        <v>60</v>
      </c>
      <c r="W885" t="s">
        <v>214</v>
      </c>
      <c r="X885" t="s">
        <v>34</v>
      </c>
      <c r="Y885" t="str">
        <f>"774061362   "</f>
        <v xml:space="preserve">774061362   </v>
      </c>
    </row>
    <row r="886" spans="1:25" x14ac:dyDescent="0.25">
      <c r="A886" t="s">
        <v>4109</v>
      </c>
      <c r="B886" t="s">
        <v>4110</v>
      </c>
      <c r="C886">
        <v>2021</v>
      </c>
      <c r="D886">
        <v>8001</v>
      </c>
      <c r="E886">
        <v>2</v>
      </c>
      <c r="F886" t="s">
        <v>4111</v>
      </c>
      <c r="G886">
        <v>30503759</v>
      </c>
      <c r="J886">
        <v>12.32</v>
      </c>
      <c r="L886">
        <v>48322481</v>
      </c>
      <c r="M886" s="1">
        <v>44536</v>
      </c>
      <c r="N886" t="str">
        <f>"RC220113"</f>
        <v>RC220113</v>
      </c>
      <c r="O886" t="s">
        <v>28</v>
      </c>
      <c r="Q886" t="s">
        <v>29</v>
      </c>
      <c r="R886" t="s">
        <v>28</v>
      </c>
      <c r="S886" t="s">
        <v>4112</v>
      </c>
      <c r="T886" t="s">
        <v>4113</v>
      </c>
      <c r="W886" t="s">
        <v>81</v>
      </c>
      <c r="X886" t="s">
        <v>34</v>
      </c>
      <c r="Y886" t="str">
        <f>"77469"</f>
        <v>77469</v>
      </c>
    </row>
    <row r="887" spans="1:25" x14ac:dyDescent="0.25">
      <c r="A887" t="s">
        <v>4114</v>
      </c>
      <c r="B887" t="s">
        <v>4115</v>
      </c>
      <c r="C887">
        <v>2020</v>
      </c>
      <c r="D887">
        <v>8001</v>
      </c>
      <c r="E887">
        <v>1</v>
      </c>
      <c r="F887" t="s">
        <v>4116</v>
      </c>
      <c r="G887">
        <v>28682678</v>
      </c>
      <c r="J887">
        <v>98.65</v>
      </c>
      <c r="L887">
        <v>47049886</v>
      </c>
      <c r="M887" s="1">
        <v>44263</v>
      </c>
      <c r="N887" t="str">
        <f>"RC210317"</f>
        <v>RC210317</v>
      </c>
      <c r="O887" t="s">
        <v>28</v>
      </c>
      <c r="Q887" t="s">
        <v>29</v>
      </c>
      <c r="R887" t="s">
        <v>28</v>
      </c>
      <c r="S887" t="s">
        <v>4117</v>
      </c>
      <c r="T887" t="s">
        <v>4118</v>
      </c>
      <c r="W887" t="s">
        <v>81</v>
      </c>
      <c r="X887" t="s">
        <v>34</v>
      </c>
      <c r="Y887" t="str">
        <f>"77406"</f>
        <v>77406</v>
      </c>
    </row>
    <row r="888" spans="1:25" x14ac:dyDescent="0.25">
      <c r="A888" t="s">
        <v>4119</v>
      </c>
      <c r="B888" t="s">
        <v>4120</v>
      </c>
      <c r="C888">
        <v>2020</v>
      </c>
      <c r="D888">
        <v>8001</v>
      </c>
      <c r="E888">
        <v>1</v>
      </c>
      <c r="F888" t="s">
        <v>4121</v>
      </c>
      <c r="G888">
        <v>0</v>
      </c>
      <c r="J888">
        <v>44.84</v>
      </c>
      <c r="L888">
        <v>45701050</v>
      </c>
      <c r="M888" s="1">
        <v>44201</v>
      </c>
      <c r="N888" t="str">
        <f>"EL210105"</f>
        <v>EL210105</v>
      </c>
      <c r="O888" t="s">
        <v>28</v>
      </c>
      <c r="Q888" t="s">
        <v>29</v>
      </c>
      <c r="R888" t="s">
        <v>28</v>
      </c>
      <c r="S888" t="s">
        <v>4122</v>
      </c>
      <c r="T888" t="s">
        <v>4123</v>
      </c>
      <c r="U888" t="s">
        <v>60</v>
      </c>
      <c r="V888" t="s">
        <v>60</v>
      </c>
      <c r="W888" t="s">
        <v>214</v>
      </c>
      <c r="X888" t="s">
        <v>34</v>
      </c>
      <c r="Y888" t="str">
        <f>"774066902   "</f>
        <v xml:space="preserve">774066902   </v>
      </c>
    </row>
    <row r="889" spans="1:25" x14ac:dyDescent="0.25">
      <c r="A889" t="s">
        <v>4124</v>
      </c>
      <c r="B889" t="s">
        <v>4125</v>
      </c>
      <c r="C889">
        <v>2020</v>
      </c>
      <c r="D889">
        <v>8001</v>
      </c>
      <c r="E889">
        <v>1</v>
      </c>
      <c r="F889" t="s">
        <v>4126</v>
      </c>
      <c r="G889">
        <v>29855867</v>
      </c>
      <c r="J889">
        <v>9.3699999999999992</v>
      </c>
      <c r="L889">
        <v>47493664</v>
      </c>
      <c r="M889" s="1">
        <v>44350</v>
      </c>
      <c r="N889" t="str">
        <f>"EK210603"</f>
        <v>EK210603</v>
      </c>
      <c r="O889" t="s">
        <v>28</v>
      </c>
      <c r="Q889" t="s">
        <v>29</v>
      </c>
      <c r="R889" t="s">
        <v>28</v>
      </c>
      <c r="S889" t="s">
        <v>4127</v>
      </c>
      <c r="T889" t="s">
        <v>4128</v>
      </c>
      <c r="W889" t="s">
        <v>75</v>
      </c>
      <c r="X889" t="s">
        <v>34</v>
      </c>
      <c r="Y889" t="str">
        <f>"77049"</f>
        <v>77049</v>
      </c>
    </row>
    <row r="890" spans="1:25" x14ac:dyDescent="0.25">
      <c r="A890" t="s">
        <v>4129</v>
      </c>
      <c r="B890" t="s">
        <v>4130</v>
      </c>
      <c r="C890">
        <v>2020</v>
      </c>
      <c r="D890">
        <v>8001</v>
      </c>
      <c r="E890">
        <v>1</v>
      </c>
      <c r="F890" t="s">
        <v>4131</v>
      </c>
      <c r="G890">
        <v>29489471</v>
      </c>
      <c r="J890">
        <v>32.82</v>
      </c>
      <c r="L890">
        <v>46782170</v>
      </c>
      <c r="M890" s="1">
        <v>44231</v>
      </c>
      <c r="N890" t="str">
        <f>"CC210204"</f>
        <v>CC210204</v>
      </c>
      <c r="O890" t="s">
        <v>28</v>
      </c>
      <c r="Q890" t="s">
        <v>29</v>
      </c>
      <c r="R890" t="s">
        <v>28</v>
      </c>
      <c r="S890" t="s">
        <v>4132</v>
      </c>
      <c r="T890" t="s">
        <v>4133</v>
      </c>
      <c r="W890" t="s">
        <v>392</v>
      </c>
      <c r="X890" t="s">
        <v>34</v>
      </c>
      <c r="Y890" t="str">
        <f>"77459"</f>
        <v>77459</v>
      </c>
    </row>
    <row r="891" spans="1:25" x14ac:dyDescent="0.25">
      <c r="A891" t="s">
        <v>4134</v>
      </c>
      <c r="B891" t="s">
        <v>4135</v>
      </c>
      <c r="C891">
        <v>2018</v>
      </c>
      <c r="D891">
        <v>8001</v>
      </c>
      <c r="E891">
        <v>1</v>
      </c>
      <c r="F891" t="s">
        <v>4136</v>
      </c>
      <c r="G891">
        <v>26513455</v>
      </c>
      <c r="J891">
        <v>30.7</v>
      </c>
      <c r="L891">
        <v>41250336</v>
      </c>
      <c r="M891" s="1">
        <v>43614</v>
      </c>
      <c r="N891" t="str">
        <f>"J190529K3"</f>
        <v>J190529K3</v>
      </c>
      <c r="O891" t="s">
        <v>28</v>
      </c>
      <c r="Q891" t="s">
        <v>29</v>
      </c>
      <c r="R891" t="s">
        <v>28</v>
      </c>
      <c r="S891" t="s">
        <v>4137</v>
      </c>
      <c r="T891" t="s">
        <v>4138</v>
      </c>
      <c r="W891" t="s">
        <v>4139</v>
      </c>
      <c r="X891" t="s">
        <v>1248</v>
      </c>
      <c r="Y891" t="str">
        <f>"331461873"</f>
        <v>331461873</v>
      </c>
    </row>
    <row r="892" spans="1:25" x14ac:dyDescent="0.25">
      <c r="A892" t="s">
        <v>4140</v>
      </c>
      <c r="B892" t="s">
        <v>4141</v>
      </c>
      <c r="C892">
        <v>2019</v>
      </c>
      <c r="D892">
        <v>8001</v>
      </c>
      <c r="E892">
        <v>2</v>
      </c>
      <c r="F892" t="s">
        <v>4142</v>
      </c>
      <c r="G892">
        <v>0</v>
      </c>
      <c r="J892">
        <v>30</v>
      </c>
      <c r="L892">
        <v>43393495</v>
      </c>
      <c r="M892" s="1">
        <v>43861</v>
      </c>
      <c r="N892" t="str">
        <f>"T200131BO1"</f>
        <v>T200131BO1</v>
      </c>
      <c r="O892" t="s">
        <v>28</v>
      </c>
      <c r="Q892" t="s">
        <v>29</v>
      </c>
      <c r="R892" t="s">
        <v>28</v>
      </c>
      <c r="S892" t="s">
        <v>4142</v>
      </c>
      <c r="T892" t="s">
        <v>4143</v>
      </c>
      <c r="U892" t="s">
        <v>60</v>
      </c>
      <c r="V892" t="s">
        <v>60</v>
      </c>
      <c r="W892" t="s">
        <v>1137</v>
      </c>
      <c r="X892" t="s">
        <v>34</v>
      </c>
      <c r="Y892" t="str">
        <f>"774940571   "</f>
        <v xml:space="preserve">774940571   </v>
      </c>
    </row>
    <row r="893" spans="1:25" x14ac:dyDescent="0.25">
      <c r="A893" t="s">
        <v>4144</v>
      </c>
      <c r="B893" t="s">
        <v>4145</v>
      </c>
      <c r="C893">
        <v>2021</v>
      </c>
      <c r="D893">
        <v>8001</v>
      </c>
      <c r="E893">
        <v>1</v>
      </c>
      <c r="F893" t="s">
        <v>4146</v>
      </c>
      <c r="G893">
        <v>30514003</v>
      </c>
      <c r="J893">
        <v>553.84</v>
      </c>
      <c r="L893">
        <v>48463547</v>
      </c>
      <c r="M893" s="1">
        <v>44544</v>
      </c>
      <c r="N893" t="str">
        <f>"RC220114"</f>
        <v>RC220114</v>
      </c>
      <c r="O893" t="s">
        <v>28</v>
      </c>
      <c r="Q893" t="s">
        <v>29</v>
      </c>
      <c r="R893" t="s">
        <v>28</v>
      </c>
      <c r="S893" t="s">
        <v>4147</v>
      </c>
      <c r="T893" t="s">
        <v>4148</v>
      </c>
      <c r="W893" t="s">
        <v>4149</v>
      </c>
      <c r="X893" t="s">
        <v>34</v>
      </c>
      <c r="Y893" t="str">
        <f>"78644"</f>
        <v>78644</v>
      </c>
    </row>
    <row r="894" spans="1:25" x14ac:dyDescent="0.25">
      <c r="A894" t="s">
        <v>4150</v>
      </c>
      <c r="B894" t="s">
        <v>4151</v>
      </c>
      <c r="C894">
        <v>2020</v>
      </c>
      <c r="D894">
        <v>8001</v>
      </c>
      <c r="E894">
        <v>8</v>
      </c>
      <c r="F894" t="s">
        <v>4152</v>
      </c>
      <c r="G894">
        <v>0</v>
      </c>
      <c r="J894">
        <v>26.57</v>
      </c>
      <c r="L894">
        <v>44608601</v>
      </c>
      <c r="M894" s="1">
        <v>44147</v>
      </c>
      <c r="N894" t="str">
        <f>"TE201112"</f>
        <v>TE201112</v>
      </c>
      <c r="O894" t="s">
        <v>28</v>
      </c>
      <c r="Q894" t="s">
        <v>29</v>
      </c>
      <c r="R894" t="s">
        <v>28</v>
      </c>
      <c r="S894" t="s">
        <v>4152</v>
      </c>
      <c r="T894" t="s">
        <v>4153</v>
      </c>
      <c r="U894" t="s">
        <v>60</v>
      </c>
      <c r="V894" t="s">
        <v>60</v>
      </c>
      <c r="W894" t="s">
        <v>1137</v>
      </c>
      <c r="X894" t="s">
        <v>34</v>
      </c>
      <c r="Y894" t="str">
        <f>"774941616   "</f>
        <v xml:space="preserve">774941616   </v>
      </c>
    </row>
    <row r="895" spans="1:25" x14ac:dyDescent="0.25">
      <c r="A895" t="s">
        <v>4154</v>
      </c>
      <c r="B895" t="s">
        <v>4155</v>
      </c>
      <c r="C895">
        <v>2021</v>
      </c>
      <c r="D895">
        <v>8001</v>
      </c>
      <c r="E895">
        <v>1</v>
      </c>
      <c r="F895" t="s">
        <v>4156</v>
      </c>
      <c r="G895">
        <v>0</v>
      </c>
      <c r="J895">
        <v>471.24</v>
      </c>
      <c r="L895">
        <v>49953257</v>
      </c>
      <c r="M895" s="1">
        <v>44595</v>
      </c>
      <c r="N895" t="str">
        <f>"J220203BW4"</f>
        <v>J220203BW4</v>
      </c>
      <c r="O895" t="s">
        <v>28</v>
      </c>
      <c r="Q895" t="s">
        <v>29</v>
      </c>
      <c r="R895" t="s">
        <v>28</v>
      </c>
      <c r="S895" t="s">
        <v>4157</v>
      </c>
      <c r="T895" t="s">
        <v>4158</v>
      </c>
      <c r="U895" t="s">
        <v>60</v>
      </c>
      <c r="V895" t="s">
        <v>60</v>
      </c>
      <c r="W895" t="s">
        <v>1333</v>
      </c>
      <c r="X895" t="s">
        <v>34</v>
      </c>
      <c r="Y895" t="str">
        <f>"774891304   "</f>
        <v xml:space="preserve">774891304   </v>
      </c>
    </row>
    <row r="896" spans="1:25" x14ac:dyDescent="0.25">
      <c r="A896" t="s">
        <v>4159</v>
      </c>
      <c r="B896" t="s">
        <v>4160</v>
      </c>
      <c r="C896">
        <v>2021</v>
      </c>
      <c r="D896">
        <v>8001</v>
      </c>
      <c r="E896">
        <v>2</v>
      </c>
      <c r="F896" t="s">
        <v>4161</v>
      </c>
      <c r="G896">
        <v>0</v>
      </c>
      <c r="J896">
        <v>14.19</v>
      </c>
      <c r="L896">
        <v>50169247</v>
      </c>
      <c r="M896" s="1">
        <v>44607</v>
      </c>
      <c r="N896" t="str">
        <f>"J220215BW5"</f>
        <v>J220215BW5</v>
      </c>
      <c r="O896" t="s">
        <v>28</v>
      </c>
      <c r="Q896" t="s">
        <v>29</v>
      </c>
      <c r="R896" t="s">
        <v>28</v>
      </c>
      <c r="S896" t="s">
        <v>4161</v>
      </c>
      <c r="T896" t="s">
        <v>4162</v>
      </c>
      <c r="U896" t="s">
        <v>60</v>
      </c>
      <c r="V896" t="s">
        <v>60</v>
      </c>
      <c r="W896" t="s">
        <v>721</v>
      </c>
      <c r="X896" t="s">
        <v>34</v>
      </c>
      <c r="Y896" t="str">
        <f>"775832737   "</f>
        <v xml:space="preserve">775832737   </v>
      </c>
    </row>
    <row r="897" spans="1:25" x14ac:dyDescent="0.25">
      <c r="A897" t="s">
        <v>4163</v>
      </c>
      <c r="B897" t="s">
        <v>4164</v>
      </c>
      <c r="C897">
        <v>2020</v>
      </c>
      <c r="D897">
        <v>8001</v>
      </c>
      <c r="E897">
        <v>3</v>
      </c>
      <c r="F897" t="s">
        <v>4165</v>
      </c>
      <c r="G897">
        <v>28749033</v>
      </c>
      <c r="J897">
        <v>10.88</v>
      </c>
      <c r="L897">
        <v>44771635</v>
      </c>
      <c r="M897" s="1">
        <v>44140</v>
      </c>
      <c r="N897" t="str">
        <f>"O201105AB1"</f>
        <v>O201105AB1</v>
      </c>
      <c r="O897" t="s">
        <v>28</v>
      </c>
      <c r="Q897" t="s">
        <v>29</v>
      </c>
      <c r="R897" t="s">
        <v>28</v>
      </c>
      <c r="S897" t="s">
        <v>4166</v>
      </c>
      <c r="T897" t="s">
        <v>4167</v>
      </c>
      <c r="W897" t="s">
        <v>899</v>
      </c>
      <c r="X897" t="s">
        <v>900</v>
      </c>
      <c r="Y897" t="str">
        <f>"606023797"</f>
        <v>606023797</v>
      </c>
    </row>
    <row r="898" spans="1:25" x14ac:dyDescent="0.25">
      <c r="A898" t="s">
        <v>4168</v>
      </c>
      <c r="B898" t="s">
        <v>4169</v>
      </c>
      <c r="C898">
        <v>2018</v>
      </c>
      <c r="D898">
        <v>8001</v>
      </c>
      <c r="E898">
        <v>1</v>
      </c>
      <c r="F898" t="s">
        <v>4170</v>
      </c>
      <c r="G898">
        <v>0</v>
      </c>
      <c r="J898">
        <v>66.36</v>
      </c>
      <c r="L898">
        <v>40925528</v>
      </c>
      <c r="M898" s="1">
        <v>43535</v>
      </c>
      <c r="N898" t="str">
        <f>"J190311AW1"</f>
        <v>J190311AW1</v>
      </c>
      <c r="O898" t="s">
        <v>28</v>
      </c>
      <c r="Q898" t="s">
        <v>29</v>
      </c>
      <c r="R898" t="s">
        <v>28</v>
      </c>
      <c r="S898" t="s">
        <v>4170</v>
      </c>
      <c r="T898" t="s">
        <v>4171</v>
      </c>
      <c r="U898" t="s">
        <v>60</v>
      </c>
      <c r="V898" t="s">
        <v>60</v>
      </c>
      <c r="W898" t="s">
        <v>376</v>
      </c>
      <c r="X898" t="s">
        <v>34</v>
      </c>
      <c r="Y898" t="str">
        <f>"774775815   "</f>
        <v xml:space="preserve">774775815   </v>
      </c>
    </row>
    <row r="899" spans="1:25" x14ac:dyDescent="0.25">
      <c r="A899" t="s">
        <v>4168</v>
      </c>
      <c r="B899" t="s">
        <v>4169</v>
      </c>
      <c r="C899">
        <v>2020</v>
      </c>
      <c r="D899">
        <v>8001</v>
      </c>
      <c r="E899">
        <v>1</v>
      </c>
      <c r="F899" t="s">
        <v>4170</v>
      </c>
      <c r="G899">
        <v>0</v>
      </c>
      <c r="J899">
        <v>132.81</v>
      </c>
      <c r="L899">
        <v>46743494</v>
      </c>
      <c r="M899" s="1">
        <v>44230</v>
      </c>
      <c r="N899" t="str">
        <f>"EL210203"</f>
        <v>EL210203</v>
      </c>
      <c r="O899" t="s">
        <v>28</v>
      </c>
      <c r="Q899" t="s">
        <v>29</v>
      </c>
      <c r="R899" t="s">
        <v>28</v>
      </c>
      <c r="S899" t="s">
        <v>4170</v>
      </c>
      <c r="T899" t="s">
        <v>4171</v>
      </c>
      <c r="U899" t="s">
        <v>60</v>
      </c>
      <c r="V899" t="s">
        <v>60</v>
      </c>
      <c r="W899" t="s">
        <v>376</v>
      </c>
      <c r="X899" t="s">
        <v>34</v>
      </c>
      <c r="Y899" t="str">
        <f>"774775815   "</f>
        <v xml:space="preserve">774775815   </v>
      </c>
    </row>
    <row r="900" spans="1:25" x14ac:dyDescent="0.25">
      <c r="A900" t="s">
        <v>4172</v>
      </c>
      <c r="B900" t="s">
        <v>4173</v>
      </c>
      <c r="C900">
        <v>2019</v>
      </c>
      <c r="D900">
        <v>8001</v>
      </c>
      <c r="E900">
        <v>1</v>
      </c>
      <c r="F900" t="s">
        <v>4174</v>
      </c>
      <c r="G900">
        <v>22263977</v>
      </c>
      <c r="J900">
        <v>84.77</v>
      </c>
      <c r="L900">
        <v>44050092</v>
      </c>
      <c r="M900" s="1">
        <v>43930</v>
      </c>
      <c r="N900" t="str">
        <f>"RC200414"</f>
        <v>RC200414</v>
      </c>
      <c r="O900" t="s">
        <v>28</v>
      </c>
      <c r="Q900" t="s">
        <v>29</v>
      </c>
      <c r="R900" t="s">
        <v>28</v>
      </c>
      <c r="S900" t="s">
        <v>2995</v>
      </c>
      <c r="T900" t="s">
        <v>2997</v>
      </c>
      <c r="W900" t="s">
        <v>75</v>
      </c>
      <c r="X900" t="s">
        <v>34</v>
      </c>
      <c r="Y900" t="str">
        <f>"77056"</f>
        <v>77056</v>
      </c>
    </row>
    <row r="901" spans="1:25" x14ac:dyDescent="0.25">
      <c r="A901" t="s">
        <v>4175</v>
      </c>
      <c r="B901" t="s">
        <v>4176</v>
      </c>
      <c r="C901">
        <v>2019</v>
      </c>
      <c r="D901">
        <v>8001</v>
      </c>
      <c r="E901">
        <v>1</v>
      </c>
      <c r="F901" t="s">
        <v>4177</v>
      </c>
      <c r="G901">
        <v>28305678</v>
      </c>
      <c r="J901">
        <v>75.62</v>
      </c>
      <c r="L901">
        <v>43875733</v>
      </c>
      <c r="M901" s="1">
        <v>43894</v>
      </c>
      <c r="N901" t="str">
        <f>"EK200304"</f>
        <v>EK200304</v>
      </c>
      <c r="O901" t="s">
        <v>28</v>
      </c>
      <c r="Q901" t="s">
        <v>29</v>
      </c>
      <c r="R901" t="s">
        <v>28</v>
      </c>
      <c r="S901" t="s">
        <v>4178</v>
      </c>
      <c r="T901" t="s">
        <v>4179</v>
      </c>
      <c r="W901" t="s">
        <v>371</v>
      </c>
      <c r="X901" t="s">
        <v>34</v>
      </c>
      <c r="Y901" t="str">
        <f>"77477"</f>
        <v>77477</v>
      </c>
    </row>
    <row r="902" spans="1:25" x14ac:dyDescent="0.25">
      <c r="A902" t="s">
        <v>4180</v>
      </c>
      <c r="B902" t="s">
        <v>4181</v>
      </c>
      <c r="C902">
        <v>2020</v>
      </c>
      <c r="D902">
        <v>8001</v>
      </c>
      <c r="E902">
        <v>1</v>
      </c>
      <c r="F902" t="s">
        <v>4182</v>
      </c>
      <c r="G902">
        <v>0</v>
      </c>
      <c r="J902">
        <v>5.47</v>
      </c>
      <c r="L902">
        <v>45192223</v>
      </c>
      <c r="M902" s="1">
        <v>44174</v>
      </c>
      <c r="N902" t="str">
        <f>"L201209"</f>
        <v>L201209</v>
      </c>
      <c r="O902" t="s">
        <v>28</v>
      </c>
      <c r="Q902" t="s">
        <v>29</v>
      </c>
      <c r="R902" t="s">
        <v>28</v>
      </c>
      <c r="S902" t="s">
        <v>4182</v>
      </c>
      <c r="T902" t="s">
        <v>4183</v>
      </c>
      <c r="U902" t="s">
        <v>60</v>
      </c>
      <c r="V902" t="s">
        <v>60</v>
      </c>
      <c r="W902" t="s">
        <v>135</v>
      </c>
      <c r="X902" t="s">
        <v>34</v>
      </c>
      <c r="Y902" t="str">
        <f>"770835813   "</f>
        <v xml:space="preserve">770835813   </v>
      </c>
    </row>
    <row r="903" spans="1:25" x14ac:dyDescent="0.25">
      <c r="A903" t="s">
        <v>4184</v>
      </c>
      <c r="B903" t="s">
        <v>4185</v>
      </c>
      <c r="C903">
        <v>2020</v>
      </c>
      <c r="D903">
        <v>8001</v>
      </c>
      <c r="E903">
        <v>2</v>
      </c>
      <c r="F903" t="s">
        <v>4186</v>
      </c>
      <c r="G903">
        <v>0</v>
      </c>
      <c r="J903">
        <v>71.48</v>
      </c>
      <c r="L903">
        <v>47341050</v>
      </c>
      <c r="M903" s="1">
        <v>44314</v>
      </c>
      <c r="N903" t="str">
        <f>"J210428BW3"</f>
        <v>J210428BW3</v>
      </c>
      <c r="O903" t="s">
        <v>28</v>
      </c>
      <c r="Q903" t="s">
        <v>29</v>
      </c>
      <c r="R903" t="s">
        <v>28</v>
      </c>
      <c r="S903" t="s">
        <v>4186</v>
      </c>
      <c r="T903" t="s">
        <v>4187</v>
      </c>
      <c r="U903" t="s">
        <v>60</v>
      </c>
      <c r="V903" t="s">
        <v>60</v>
      </c>
      <c r="W903" t="s">
        <v>135</v>
      </c>
      <c r="X903" t="s">
        <v>34</v>
      </c>
      <c r="Y903" t="str">
        <f>"770835661   "</f>
        <v xml:space="preserve">770835661   </v>
      </c>
    </row>
    <row r="904" spans="1:25" x14ac:dyDescent="0.25">
      <c r="A904" t="s">
        <v>4188</v>
      </c>
      <c r="B904" t="s">
        <v>4189</v>
      </c>
      <c r="C904">
        <v>2018</v>
      </c>
      <c r="D904">
        <v>8001</v>
      </c>
      <c r="E904">
        <v>1</v>
      </c>
      <c r="F904" t="s">
        <v>4190</v>
      </c>
      <c r="G904">
        <v>0</v>
      </c>
      <c r="J904">
        <v>45.68</v>
      </c>
      <c r="L904">
        <v>41053972</v>
      </c>
      <c r="M904" s="1">
        <v>43557</v>
      </c>
      <c r="N904" t="str">
        <f>"J190402K2"</f>
        <v>J190402K2</v>
      </c>
      <c r="O904" t="s">
        <v>28</v>
      </c>
      <c r="Q904" t="s">
        <v>29</v>
      </c>
      <c r="R904" t="s">
        <v>28</v>
      </c>
      <c r="S904" t="s">
        <v>4190</v>
      </c>
      <c r="T904" t="s">
        <v>4191</v>
      </c>
      <c r="U904" t="s">
        <v>60</v>
      </c>
      <c r="V904" t="s">
        <v>60</v>
      </c>
      <c r="W904" t="s">
        <v>1333</v>
      </c>
      <c r="X904" t="s">
        <v>34</v>
      </c>
      <c r="Y904" t="str">
        <f>"774896207   "</f>
        <v xml:space="preserve">774896207   </v>
      </c>
    </row>
    <row r="905" spans="1:25" x14ac:dyDescent="0.25">
      <c r="A905" t="s">
        <v>4192</v>
      </c>
      <c r="B905" t="s">
        <v>4193</v>
      </c>
      <c r="C905">
        <v>2020</v>
      </c>
      <c r="D905">
        <v>8001</v>
      </c>
      <c r="E905">
        <v>1</v>
      </c>
      <c r="F905" t="s">
        <v>4194</v>
      </c>
      <c r="G905">
        <v>0</v>
      </c>
      <c r="J905">
        <v>168.74</v>
      </c>
      <c r="L905">
        <v>46861460</v>
      </c>
      <c r="M905" s="1">
        <v>44235</v>
      </c>
      <c r="N905" t="str">
        <f>"L210208"</f>
        <v>L210208</v>
      </c>
      <c r="O905" t="s">
        <v>28</v>
      </c>
      <c r="Q905" t="s">
        <v>29</v>
      </c>
      <c r="R905" t="s">
        <v>28</v>
      </c>
      <c r="S905" t="s">
        <v>4194</v>
      </c>
      <c r="T905" t="s">
        <v>4195</v>
      </c>
      <c r="U905" t="s">
        <v>60</v>
      </c>
      <c r="V905" t="s">
        <v>60</v>
      </c>
      <c r="W905" t="s">
        <v>1333</v>
      </c>
      <c r="X905" t="s">
        <v>34</v>
      </c>
      <c r="Y905" t="str">
        <f>"774895224   "</f>
        <v xml:space="preserve">774895224   </v>
      </c>
    </row>
    <row r="906" spans="1:25" x14ac:dyDescent="0.25">
      <c r="A906" t="s">
        <v>4200</v>
      </c>
      <c r="B906" t="s">
        <v>4201</v>
      </c>
      <c r="C906">
        <v>2019</v>
      </c>
      <c r="D906">
        <v>8001</v>
      </c>
      <c r="E906">
        <v>2</v>
      </c>
      <c r="F906" t="s">
        <v>4202</v>
      </c>
      <c r="G906">
        <v>28220942</v>
      </c>
      <c r="J906">
        <v>30.29</v>
      </c>
      <c r="L906">
        <v>44282800</v>
      </c>
      <c r="M906" s="1">
        <v>43987</v>
      </c>
      <c r="N906" t="str">
        <f>"J200605K1"</f>
        <v>J200605K1</v>
      </c>
      <c r="O906" t="s">
        <v>28</v>
      </c>
      <c r="Q906" t="s">
        <v>29</v>
      </c>
      <c r="R906" t="s">
        <v>28</v>
      </c>
      <c r="S906" t="s">
        <v>2579</v>
      </c>
      <c r="T906" t="s">
        <v>2052</v>
      </c>
      <c r="W906" t="s">
        <v>1328</v>
      </c>
      <c r="X906" t="s">
        <v>162</v>
      </c>
      <c r="Y906" t="str">
        <f>"080545452"</f>
        <v>080545452</v>
      </c>
    </row>
    <row r="907" spans="1:25" x14ac:dyDescent="0.25">
      <c r="A907" t="s">
        <v>4203</v>
      </c>
      <c r="B907" t="s">
        <v>4204</v>
      </c>
      <c r="C907">
        <v>2020</v>
      </c>
      <c r="D907">
        <v>8001</v>
      </c>
      <c r="E907">
        <v>2</v>
      </c>
      <c r="F907" t="s">
        <v>4205</v>
      </c>
      <c r="G907">
        <v>0</v>
      </c>
      <c r="J907">
        <v>69.02</v>
      </c>
      <c r="L907">
        <v>46904618</v>
      </c>
      <c r="M907" s="1">
        <v>44238</v>
      </c>
      <c r="N907" t="str">
        <f>"J210211BW1"</f>
        <v>J210211BW1</v>
      </c>
      <c r="O907" t="s">
        <v>28</v>
      </c>
      <c r="Q907" t="s">
        <v>29</v>
      </c>
      <c r="R907" t="s">
        <v>28</v>
      </c>
      <c r="S907" t="s">
        <v>4205</v>
      </c>
      <c r="T907" t="s">
        <v>4206</v>
      </c>
      <c r="U907" t="s">
        <v>60</v>
      </c>
      <c r="V907" t="s">
        <v>60</v>
      </c>
      <c r="W907" t="s">
        <v>1333</v>
      </c>
      <c r="X907" t="s">
        <v>34</v>
      </c>
      <c r="Y907" t="str">
        <f>"774892008   "</f>
        <v xml:space="preserve">774892008   </v>
      </c>
    </row>
    <row r="908" spans="1:25" x14ac:dyDescent="0.25">
      <c r="A908" t="s">
        <v>4207</v>
      </c>
      <c r="B908" t="s">
        <v>4208</v>
      </c>
      <c r="C908">
        <v>2018</v>
      </c>
      <c r="D908">
        <v>8001</v>
      </c>
      <c r="E908">
        <v>1</v>
      </c>
      <c r="F908" t="s">
        <v>4209</v>
      </c>
      <c r="G908">
        <v>27328772</v>
      </c>
      <c r="J908">
        <v>36.659999999999997</v>
      </c>
      <c r="L908">
        <v>41063813</v>
      </c>
      <c r="M908" s="1">
        <v>43558</v>
      </c>
      <c r="N908" t="str">
        <f>"EK190403"</f>
        <v>EK190403</v>
      </c>
      <c r="O908" t="s">
        <v>28</v>
      </c>
      <c r="Q908" t="s">
        <v>29</v>
      </c>
      <c r="R908" t="s">
        <v>28</v>
      </c>
      <c r="S908" t="s">
        <v>4210</v>
      </c>
      <c r="T908" t="s">
        <v>4211</v>
      </c>
      <c r="W908" t="s">
        <v>4212</v>
      </c>
      <c r="X908" t="s">
        <v>4213</v>
      </c>
      <c r="Y908" t="str">
        <f>"70589"</f>
        <v>70589</v>
      </c>
    </row>
    <row r="909" spans="1:25" x14ac:dyDescent="0.25">
      <c r="A909" t="s">
        <v>4214</v>
      </c>
      <c r="B909" t="s">
        <v>4215</v>
      </c>
      <c r="C909">
        <v>2020</v>
      </c>
      <c r="D909">
        <v>8001</v>
      </c>
      <c r="E909">
        <v>2</v>
      </c>
      <c r="F909" t="s">
        <v>4216</v>
      </c>
      <c r="G909">
        <v>0</v>
      </c>
      <c r="J909">
        <v>473.88</v>
      </c>
      <c r="L909">
        <v>44484071</v>
      </c>
      <c r="M909" s="1">
        <v>44147</v>
      </c>
      <c r="N909" t="str">
        <f>"TE201112"</f>
        <v>TE201112</v>
      </c>
      <c r="O909" t="s">
        <v>28</v>
      </c>
      <c r="Q909" t="s">
        <v>29</v>
      </c>
      <c r="R909" t="s">
        <v>28</v>
      </c>
      <c r="S909" t="s">
        <v>4217</v>
      </c>
      <c r="T909" t="s">
        <v>4218</v>
      </c>
      <c r="U909" t="s">
        <v>60</v>
      </c>
      <c r="V909" t="s">
        <v>60</v>
      </c>
      <c r="W909" t="s">
        <v>1333</v>
      </c>
      <c r="X909" t="s">
        <v>34</v>
      </c>
      <c r="Y909" t="str">
        <f>"774895304   "</f>
        <v xml:space="preserve">774895304   </v>
      </c>
    </row>
    <row r="910" spans="1:25" x14ac:dyDescent="0.25">
      <c r="A910" t="s">
        <v>4219</v>
      </c>
      <c r="B910" t="s">
        <v>4220</v>
      </c>
      <c r="C910">
        <v>2019</v>
      </c>
      <c r="D910">
        <v>8001</v>
      </c>
      <c r="E910">
        <v>1</v>
      </c>
      <c r="F910" t="s">
        <v>4221</v>
      </c>
      <c r="G910">
        <v>23893814</v>
      </c>
      <c r="J910">
        <v>55.26</v>
      </c>
      <c r="L910">
        <v>43915440</v>
      </c>
      <c r="M910" s="1">
        <v>43900</v>
      </c>
      <c r="N910" t="str">
        <f>"J200310AW6"</f>
        <v>J200310AW6</v>
      </c>
      <c r="O910" t="s">
        <v>28</v>
      </c>
      <c r="Q910" t="s">
        <v>29</v>
      </c>
      <c r="R910" t="s">
        <v>28</v>
      </c>
      <c r="S910" t="s">
        <v>341</v>
      </c>
      <c r="T910" t="s">
        <v>4222</v>
      </c>
      <c r="W910" t="s">
        <v>4223</v>
      </c>
      <c r="X910" t="s">
        <v>34</v>
      </c>
      <c r="Y910" t="str">
        <f>"77377"</f>
        <v>77377</v>
      </c>
    </row>
    <row r="911" spans="1:25" x14ac:dyDescent="0.25">
      <c r="A911" t="s">
        <v>4224</v>
      </c>
      <c r="B911" t="s">
        <v>4225</v>
      </c>
      <c r="C911">
        <v>2020</v>
      </c>
      <c r="D911">
        <v>8001</v>
      </c>
      <c r="E911">
        <v>1</v>
      </c>
      <c r="F911" t="s">
        <v>4226</v>
      </c>
      <c r="G911">
        <v>0</v>
      </c>
      <c r="J911">
        <v>19.73</v>
      </c>
      <c r="L911">
        <v>47453751</v>
      </c>
      <c r="M911" s="1">
        <v>44343</v>
      </c>
      <c r="N911" t="str">
        <f>"EL210527"</f>
        <v>EL210527</v>
      </c>
      <c r="O911" t="s">
        <v>28</v>
      </c>
      <c r="Q911" t="s">
        <v>29</v>
      </c>
      <c r="R911" t="s">
        <v>28</v>
      </c>
      <c r="S911" t="s">
        <v>4226</v>
      </c>
      <c r="T911" t="s">
        <v>4227</v>
      </c>
      <c r="U911" t="s">
        <v>60</v>
      </c>
      <c r="V911" t="s">
        <v>60</v>
      </c>
      <c r="W911" t="s">
        <v>1333</v>
      </c>
      <c r="X911" t="s">
        <v>34</v>
      </c>
      <c r="Y911" t="str">
        <f>"774895305   "</f>
        <v xml:space="preserve">774895305   </v>
      </c>
    </row>
    <row r="912" spans="1:25" x14ac:dyDescent="0.25">
      <c r="A912" t="s">
        <v>4228</v>
      </c>
      <c r="B912" t="s">
        <v>4229</v>
      </c>
      <c r="C912">
        <v>2018</v>
      </c>
      <c r="D912">
        <v>8001</v>
      </c>
      <c r="E912">
        <v>1</v>
      </c>
      <c r="F912" t="s">
        <v>4230</v>
      </c>
      <c r="G912">
        <v>27531185</v>
      </c>
      <c r="J912">
        <v>282.37</v>
      </c>
      <c r="L912">
        <v>41515708</v>
      </c>
      <c r="M912" s="1">
        <v>43705</v>
      </c>
      <c r="N912" t="str">
        <f>"J190828AW1"</f>
        <v>J190828AW1</v>
      </c>
      <c r="O912" t="s">
        <v>28</v>
      </c>
      <c r="Q912" t="s">
        <v>29</v>
      </c>
      <c r="R912" t="s">
        <v>28</v>
      </c>
      <c r="S912" t="s">
        <v>686</v>
      </c>
      <c r="T912" t="s">
        <v>4231</v>
      </c>
      <c r="W912" t="s">
        <v>688</v>
      </c>
      <c r="X912" t="s">
        <v>34</v>
      </c>
      <c r="Y912" t="str">
        <f>"77505"</f>
        <v>77505</v>
      </c>
    </row>
    <row r="913" spans="1:25" x14ac:dyDescent="0.25">
      <c r="A913" t="s">
        <v>4232</v>
      </c>
      <c r="B913" t="s">
        <v>4233</v>
      </c>
      <c r="C913">
        <v>2020</v>
      </c>
      <c r="D913">
        <v>8001</v>
      </c>
      <c r="E913">
        <v>1</v>
      </c>
      <c r="F913" t="s">
        <v>4234</v>
      </c>
      <c r="G913">
        <v>29489567</v>
      </c>
      <c r="J913">
        <v>189.52</v>
      </c>
      <c r="L913">
        <v>46782267</v>
      </c>
      <c r="M913" s="1">
        <v>44231</v>
      </c>
      <c r="N913" t="str">
        <f>"CC210204"</f>
        <v>CC210204</v>
      </c>
      <c r="O913" t="s">
        <v>28</v>
      </c>
      <c r="Q913" t="s">
        <v>29</v>
      </c>
      <c r="R913" t="s">
        <v>28</v>
      </c>
      <c r="S913" t="s">
        <v>4235</v>
      </c>
      <c r="T913" t="s">
        <v>4236</v>
      </c>
      <c r="W913" t="s">
        <v>75</v>
      </c>
      <c r="X913" t="s">
        <v>34</v>
      </c>
      <c r="Y913" t="str">
        <f>"77025"</f>
        <v>77025</v>
      </c>
    </row>
    <row r="914" spans="1:25" x14ac:dyDescent="0.25">
      <c r="A914" t="s">
        <v>4237</v>
      </c>
      <c r="B914" t="s">
        <v>4238</v>
      </c>
      <c r="C914">
        <v>2019</v>
      </c>
      <c r="D914">
        <v>8001</v>
      </c>
      <c r="E914">
        <v>1</v>
      </c>
      <c r="F914" t="s">
        <v>4239</v>
      </c>
      <c r="G914">
        <v>0</v>
      </c>
      <c r="J914">
        <v>635.33000000000004</v>
      </c>
      <c r="L914">
        <v>44091543</v>
      </c>
      <c r="M914" s="1">
        <v>43944</v>
      </c>
      <c r="N914" t="str">
        <f>"J200423F2"</f>
        <v>J200423F2</v>
      </c>
      <c r="O914" t="s">
        <v>28</v>
      </c>
      <c r="Q914" t="s">
        <v>29</v>
      </c>
      <c r="R914" t="s">
        <v>28</v>
      </c>
      <c r="S914" t="s">
        <v>4239</v>
      </c>
      <c r="T914" t="s">
        <v>4240</v>
      </c>
      <c r="U914" t="s">
        <v>60</v>
      </c>
      <c r="V914" t="s">
        <v>60</v>
      </c>
      <c r="W914" t="s">
        <v>4241</v>
      </c>
      <c r="X914" t="s">
        <v>1107</v>
      </c>
      <c r="Y914" t="str">
        <f>"300394772   "</f>
        <v xml:space="preserve">300394772   </v>
      </c>
    </row>
    <row r="915" spans="1:25" x14ac:dyDescent="0.25">
      <c r="A915" t="s">
        <v>4242</v>
      </c>
      <c r="B915" t="s">
        <v>4243</v>
      </c>
      <c r="C915">
        <v>2019</v>
      </c>
      <c r="D915">
        <v>8001</v>
      </c>
      <c r="E915">
        <v>1</v>
      </c>
      <c r="F915" t="s">
        <v>4244</v>
      </c>
      <c r="G915">
        <v>27757396</v>
      </c>
      <c r="J915">
        <v>684</v>
      </c>
      <c r="L915">
        <v>42329681</v>
      </c>
      <c r="M915" s="1">
        <v>43818</v>
      </c>
      <c r="N915" t="str">
        <f>"J191219AW3"</f>
        <v>J191219AW3</v>
      </c>
      <c r="O915" t="s">
        <v>28</v>
      </c>
      <c r="Q915" t="s">
        <v>29</v>
      </c>
      <c r="R915" t="s">
        <v>28</v>
      </c>
      <c r="S915" t="s">
        <v>4245</v>
      </c>
      <c r="T915" t="s">
        <v>4246</v>
      </c>
      <c r="U915" t="s">
        <v>4247</v>
      </c>
      <c r="W915" t="s">
        <v>33</v>
      </c>
      <c r="X915" t="s">
        <v>34</v>
      </c>
      <c r="Y915" t="str">
        <f>"75024"</f>
        <v>75024</v>
      </c>
    </row>
    <row r="916" spans="1:25" x14ac:dyDescent="0.25">
      <c r="A916" t="s">
        <v>4248</v>
      </c>
      <c r="B916" t="s">
        <v>4249</v>
      </c>
      <c r="C916">
        <v>2019</v>
      </c>
      <c r="D916">
        <v>8001</v>
      </c>
      <c r="E916">
        <v>5</v>
      </c>
      <c r="F916" t="s">
        <v>4250</v>
      </c>
      <c r="G916">
        <v>0</v>
      </c>
      <c r="J916">
        <v>7.48</v>
      </c>
      <c r="L916">
        <v>44372085</v>
      </c>
      <c r="M916" s="1">
        <v>44018</v>
      </c>
      <c r="N916" t="str">
        <f>"J200706U1"</f>
        <v>J200706U1</v>
      </c>
      <c r="O916" t="s">
        <v>28</v>
      </c>
      <c r="Q916" t="s">
        <v>29</v>
      </c>
      <c r="R916" t="s">
        <v>28</v>
      </c>
      <c r="S916" t="s">
        <v>4250</v>
      </c>
      <c r="T916" t="s">
        <v>4251</v>
      </c>
      <c r="U916" t="s">
        <v>60</v>
      </c>
      <c r="V916" t="s">
        <v>60</v>
      </c>
      <c r="W916" t="s">
        <v>1333</v>
      </c>
      <c r="X916" t="s">
        <v>34</v>
      </c>
      <c r="Y916" t="str">
        <f>"774895322   "</f>
        <v xml:space="preserve">774895322   </v>
      </c>
    </row>
    <row r="917" spans="1:25" x14ac:dyDescent="0.25">
      <c r="A917" t="s">
        <v>4252</v>
      </c>
      <c r="B917" t="s">
        <v>4253</v>
      </c>
      <c r="C917">
        <v>2020</v>
      </c>
      <c r="D917">
        <v>8001</v>
      </c>
      <c r="E917">
        <v>1</v>
      </c>
      <c r="F917" t="s">
        <v>4254</v>
      </c>
      <c r="G917">
        <v>29461695</v>
      </c>
      <c r="J917">
        <v>197.01</v>
      </c>
      <c r="L917">
        <v>46728695</v>
      </c>
      <c r="M917" s="1">
        <v>44230</v>
      </c>
      <c r="N917" t="str">
        <f>"EK210203"</f>
        <v>EK210203</v>
      </c>
      <c r="O917" t="s">
        <v>28</v>
      </c>
      <c r="Q917" t="s">
        <v>29</v>
      </c>
      <c r="R917" t="s">
        <v>28</v>
      </c>
      <c r="S917" t="s">
        <v>4254</v>
      </c>
      <c r="T917" t="s">
        <v>4255</v>
      </c>
      <c r="W917" t="s">
        <v>75</v>
      </c>
      <c r="X917" t="s">
        <v>34</v>
      </c>
      <c r="Y917" t="str">
        <f>"77225"</f>
        <v>77225</v>
      </c>
    </row>
    <row r="918" spans="1:25" x14ac:dyDescent="0.25">
      <c r="A918" t="s">
        <v>4256</v>
      </c>
      <c r="B918" t="s">
        <v>4257</v>
      </c>
      <c r="C918">
        <v>2019</v>
      </c>
      <c r="D918">
        <v>8001</v>
      </c>
      <c r="E918">
        <v>5</v>
      </c>
      <c r="F918" t="s">
        <v>4258</v>
      </c>
      <c r="G918">
        <v>1627053</v>
      </c>
      <c r="J918">
        <v>47.13</v>
      </c>
      <c r="L918">
        <v>44372540</v>
      </c>
      <c r="M918" s="1">
        <v>44019</v>
      </c>
      <c r="N918" t="str">
        <f>"J200707K2"</f>
        <v>J200707K2</v>
      </c>
      <c r="O918" t="s">
        <v>28</v>
      </c>
      <c r="Q918" t="s">
        <v>29</v>
      </c>
      <c r="R918" t="s">
        <v>28</v>
      </c>
      <c r="S918" t="s">
        <v>4259</v>
      </c>
      <c r="T918" t="s">
        <v>4260</v>
      </c>
      <c r="W918" t="s">
        <v>392</v>
      </c>
      <c r="X918" t="s">
        <v>34</v>
      </c>
      <c r="Y918" t="str">
        <f>"77489-5422"</f>
        <v>77489-5422</v>
      </c>
    </row>
    <row r="919" spans="1:25" x14ac:dyDescent="0.25">
      <c r="A919" t="s">
        <v>4261</v>
      </c>
      <c r="B919" t="s">
        <v>4262</v>
      </c>
      <c r="C919">
        <v>2020</v>
      </c>
      <c r="D919">
        <v>8001</v>
      </c>
      <c r="E919">
        <v>3</v>
      </c>
      <c r="F919" t="s">
        <v>4263</v>
      </c>
      <c r="G919">
        <v>21835494</v>
      </c>
      <c r="J919">
        <v>6.8</v>
      </c>
      <c r="L919">
        <v>47875847</v>
      </c>
      <c r="M919" s="1">
        <v>44496</v>
      </c>
      <c r="N919" t="str">
        <f>"O211027I1"</f>
        <v>O211027I1</v>
      </c>
      <c r="O919" t="s">
        <v>28</v>
      </c>
      <c r="Q919" t="s">
        <v>29</v>
      </c>
      <c r="R919" t="s">
        <v>28</v>
      </c>
      <c r="S919" t="s">
        <v>4264</v>
      </c>
      <c r="T919" t="s">
        <v>4265</v>
      </c>
      <c r="W919" t="s">
        <v>392</v>
      </c>
      <c r="X919" t="s">
        <v>34</v>
      </c>
      <c r="Y919" t="str">
        <f>"774895379"</f>
        <v>774895379</v>
      </c>
    </row>
    <row r="920" spans="1:25" x14ac:dyDescent="0.25">
      <c r="A920" t="s">
        <v>4266</v>
      </c>
      <c r="B920" t="s">
        <v>4267</v>
      </c>
      <c r="C920">
        <v>2019</v>
      </c>
      <c r="D920">
        <v>8001</v>
      </c>
      <c r="E920">
        <v>1</v>
      </c>
      <c r="F920" t="s">
        <v>4268</v>
      </c>
      <c r="G920">
        <v>27035606</v>
      </c>
      <c r="J920">
        <v>21.89</v>
      </c>
      <c r="L920">
        <v>44469092</v>
      </c>
      <c r="M920" s="1">
        <v>44048</v>
      </c>
      <c r="N920" t="str">
        <f>"J200805K6"</f>
        <v>J200805K6</v>
      </c>
      <c r="O920" t="s">
        <v>28</v>
      </c>
      <c r="Q920" t="s">
        <v>29</v>
      </c>
      <c r="R920" t="s">
        <v>28</v>
      </c>
      <c r="S920" t="s">
        <v>2317</v>
      </c>
      <c r="T920" t="s">
        <v>4269</v>
      </c>
      <c r="W920" t="s">
        <v>2938</v>
      </c>
      <c r="X920" t="s">
        <v>317</v>
      </c>
      <c r="Y920" t="str">
        <f>"928065951"</f>
        <v>928065951</v>
      </c>
    </row>
    <row r="921" spans="1:25" x14ac:dyDescent="0.25">
      <c r="A921" t="s">
        <v>4270</v>
      </c>
      <c r="B921" t="s">
        <v>4271</v>
      </c>
      <c r="C921">
        <v>2021</v>
      </c>
      <c r="D921">
        <v>8001</v>
      </c>
      <c r="E921">
        <v>1</v>
      </c>
      <c r="F921" t="s">
        <v>4272</v>
      </c>
      <c r="G921">
        <v>22320160</v>
      </c>
      <c r="J921">
        <v>47.84</v>
      </c>
      <c r="L921">
        <v>48413453</v>
      </c>
      <c r="M921" s="1">
        <v>44540</v>
      </c>
      <c r="N921" t="str">
        <f>"RC220113"</f>
        <v>RC220113</v>
      </c>
      <c r="O921" t="s">
        <v>28</v>
      </c>
      <c r="Q921" t="s">
        <v>29</v>
      </c>
      <c r="R921" t="s">
        <v>28</v>
      </c>
      <c r="S921" t="s">
        <v>4273</v>
      </c>
      <c r="T921" t="s">
        <v>4274</v>
      </c>
      <c r="W921" t="s">
        <v>75</v>
      </c>
      <c r="X921" t="s">
        <v>34</v>
      </c>
      <c r="Y921" t="str">
        <f>"770367397"</f>
        <v>770367397</v>
      </c>
    </row>
    <row r="922" spans="1:25" x14ac:dyDescent="0.25">
      <c r="A922" t="s">
        <v>4275</v>
      </c>
      <c r="B922" t="s">
        <v>4276</v>
      </c>
      <c r="C922">
        <v>2020</v>
      </c>
      <c r="D922">
        <v>8001</v>
      </c>
      <c r="E922">
        <v>2</v>
      </c>
      <c r="F922" t="s">
        <v>4277</v>
      </c>
      <c r="G922">
        <v>29461882</v>
      </c>
      <c r="J922">
        <v>874.29</v>
      </c>
      <c r="L922">
        <v>46728882</v>
      </c>
      <c r="M922" s="1">
        <v>44230</v>
      </c>
      <c r="N922" t="str">
        <f>"EK210203"</f>
        <v>EK210203</v>
      </c>
      <c r="O922" t="s">
        <v>28</v>
      </c>
      <c r="Q922" t="s">
        <v>29</v>
      </c>
      <c r="R922" t="s">
        <v>28</v>
      </c>
      <c r="S922" t="s">
        <v>4278</v>
      </c>
      <c r="T922" t="s">
        <v>4279</v>
      </c>
      <c r="W922" t="s">
        <v>2419</v>
      </c>
      <c r="X922" t="s">
        <v>2175</v>
      </c>
      <c r="Y922" t="str">
        <f>"28202"</f>
        <v>28202</v>
      </c>
    </row>
    <row r="923" spans="1:25" x14ac:dyDescent="0.25">
      <c r="A923" t="s">
        <v>4280</v>
      </c>
      <c r="B923" t="s">
        <v>4281</v>
      </c>
      <c r="C923">
        <v>2018</v>
      </c>
      <c r="D923">
        <v>8001</v>
      </c>
      <c r="E923">
        <v>1</v>
      </c>
      <c r="F923" t="s">
        <v>4282</v>
      </c>
      <c r="G923">
        <v>26243303</v>
      </c>
      <c r="J923">
        <v>14.37</v>
      </c>
      <c r="L923">
        <v>41370668</v>
      </c>
      <c r="M923" s="1">
        <v>43648</v>
      </c>
      <c r="N923" t="str">
        <f>"J190702AW5"</f>
        <v>J190702AW5</v>
      </c>
      <c r="O923" t="s">
        <v>28</v>
      </c>
      <c r="Q923" t="s">
        <v>29</v>
      </c>
      <c r="R923" t="s">
        <v>28</v>
      </c>
      <c r="S923" t="s">
        <v>79</v>
      </c>
      <c r="T923" t="s">
        <v>203</v>
      </c>
      <c r="U923" t="s">
        <v>3308</v>
      </c>
      <c r="W923" t="s">
        <v>392</v>
      </c>
      <c r="X923" t="s">
        <v>34</v>
      </c>
      <c r="Y923" t="str">
        <f>"77459"</f>
        <v>77459</v>
      </c>
    </row>
    <row r="924" spans="1:25" x14ac:dyDescent="0.25">
      <c r="A924" t="s">
        <v>4283</v>
      </c>
      <c r="B924" t="s">
        <v>4284</v>
      </c>
      <c r="C924">
        <v>2019</v>
      </c>
      <c r="D924">
        <v>8001</v>
      </c>
      <c r="E924">
        <v>2</v>
      </c>
      <c r="F924" t="s">
        <v>4285</v>
      </c>
      <c r="G924">
        <v>25607113</v>
      </c>
      <c r="J924">
        <v>217.75</v>
      </c>
      <c r="L924">
        <v>43735405</v>
      </c>
      <c r="M924" s="1">
        <v>43875</v>
      </c>
      <c r="N924" t="str">
        <f>"O200214M1"</f>
        <v>O200214M1</v>
      </c>
      <c r="O924" t="s">
        <v>28</v>
      </c>
      <c r="Q924" t="s">
        <v>29</v>
      </c>
      <c r="R924" t="s">
        <v>28</v>
      </c>
      <c r="S924" t="s">
        <v>79</v>
      </c>
      <c r="T924" t="s">
        <v>80</v>
      </c>
      <c r="W924" t="s">
        <v>81</v>
      </c>
      <c r="X924" t="s">
        <v>34</v>
      </c>
      <c r="Y924" t="str">
        <f>"774069802"</f>
        <v>774069802</v>
      </c>
    </row>
    <row r="925" spans="1:25" x14ac:dyDescent="0.25">
      <c r="A925" t="s">
        <v>4286</v>
      </c>
      <c r="B925" t="s">
        <v>4287</v>
      </c>
      <c r="C925">
        <v>2020</v>
      </c>
      <c r="D925">
        <v>8001</v>
      </c>
      <c r="E925">
        <v>1</v>
      </c>
      <c r="F925" t="s">
        <v>4288</v>
      </c>
      <c r="G925">
        <v>0</v>
      </c>
      <c r="J925">
        <v>929.1</v>
      </c>
      <c r="L925">
        <v>44999045</v>
      </c>
      <c r="M925" s="1">
        <v>44160</v>
      </c>
      <c r="N925" t="str">
        <f>"J201125AE8"</f>
        <v>J201125AE8</v>
      </c>
      <c r="O925" t="s">
        <v>28</v>
      </c>
      <c r="Q925" t="s">
        <v>29</v>
      </c>
      <c r="R925" t="s">
        <v>28</v>
      </c>
      <c r="S925" t="s">
        <v>4288</v>
      </c>
      <c r="T925" t="s">
        <v>4289</v>
      </c>
      <c r="U925" t="s">
        <v>60</v>
      </c>
      <c r="V925" t="s">
        <v>60</v>
      </c>
      <c r="W925" t="s">
        <v>1333</v>
      </c>
      <c r="X925" t="s">
        <v>34</v>
      </c>
      <c r="Y925" t="str">
        <f>"774593118   "</f>
        <v xml:space="preserve">774593118   </v>
      </c>
    </row>
    <row r="926" spans="1:25" x14ac:dyDescent="0.25">
      <c r="A926" t="s">
        <v>4290</v>
      </c>
      <c r="B926" t="s">
        <v>4291</v>
      </c>
      <c r="C926">
        <v>2021</v>
      </c>
      <c r="D926">
        <v>8001</v>
      </c>
      <c r="E926">
        <v>1</v>
      </c>
      <c r="F926" t="s">
        <v>4292</v>
      </c>
      <c r="G926">
        <v>0</v>
      </c>
      <c r="J926">
        <v>393.08</v>
      </c>
      <c r="L926">
        <v>48671069</v>
      </c>
      <c r="M926" s="1">
        <v>44557</v>
      </c>
      <c r="N926" t="str">
        <f>"L211227A"</f>
        <v>L211227A</v>
      </c>
      <c r="O926" t="s">
        <v>28</v>
      </c>
      <c r="Q926" t="s">
        <v>29</v>
      </c>
      <c r="R926" t="s">
        <v>28</v>
      </c>
      <c r="S926" t="s">
        <v>4292</v>
      </c>
      <c r="T926" t="s">
        <v>4293</v>
      </c>
      <c r="U926" t="s">
        <v>60</v>
      </c>
      <c r="V926" t="s">
        <v>60</v>
      </c>
      <c r="W926" t="s">
        <v>1333</v>
      </c>
      <c r="X926" t="s">
        <v>34</v>
      </c>
      <c r="Y926" t="str">
        <f>"774593125   "</f>
        <v xml:space="preserve">774593125   </v>
      </c>
    </row>
    <row r="927" spans="1:25" x14ac:dyDescent="0.25">
      <c r="A927" t="s">
        <v>4294</v>
      </c>
      <c r="B927" t="s">
        <v>4295</v>
      </c>
      <c r="C927">
        <v>2021</v>
      </c>
      <c r="D927">
        <v>8001</v>
      </c>
      <c r="E927">
        <v>1</v>
      </c>
      <c r="F927" t="s">
        <v>4296</v>
      </c>
      <c r="G927">
        <v>24176765</v>
      </c>
      <c r="J927">
        <v>190.35</v>
      </c>
      <c r="L927">
        <v>50091013</v>
      </c>
      <c r="M927" s="1">
        <v>44600</v>
      </c>
      <c r="N927" t="str">
        <f>"RC220314"</f>
        <v>RC220314</v>
      </c>
      <c r="O927" t="s">
        <v>28</v>
      </c>
      <c r="Q927" t="s">
        <v>29</v>
      </c>
      <c r="R927" t="s">
        <v>28</v>
      </c>
      <c r="S927" t="s">
        <v>4297</v>
      </c>
      <c r="T927" t="s">
        <v>4298</v>
      </c>
      <c r="W927" t="s">
        <v>392</v>
      </c>
      <c r="X927" t="s">
        <v>34</v>
      </c>
      <c r="Y927" t="str">
        <f>"774593354"</f>
        <v>774593354</v>
      </c>
    </row>
    <row r="928" spans="1:25" x14ac:dyDescent="0.25">
      <c r="A928" t="s">
        <v>4299</v>
      </c>
      <c r="B928" t="s">
        <v>4300</v>
      </c>
      <c r="C928">
        <v>2020</v>
      </c>
      <c r="D928">
        <v>8001</v>
      </c>
      <c r="E928">
        <v>2</v>
      </c>
      <c r="F928" t="s">
        <v>4301</v>
      </c>
      <c r="G928">
        <v>25594898</v>
      </c>
      <c r="J928">
        <v>90.81</v>
      </c>
      <c r="L928">
        <v>47697339</v>
      </c>
      <c r="M928" s="1">
        <v>44421</v>
      </c>
      <c r="N928" t="str">
        <f>"RC210820"</f>
        <v>RC210820</v>
      </c>
      <c r="O928" t="s">
        <v>28</v>
      </c>
      <c r="Q928" t="s">
        <v>29</v>
      </c>
      <c r="R928" t="s">
        <v>28</v>
      </c>
      <c r="S928" t="s">
        <v>1699</v>
      </c>
      <c r="T928" t="s">
        <v>1069</v>
      </c>
      <c r="U928" t="s">
        <v>1015</v>
      </c>
      <c r="W928" t="s">
        <v>563</v>
      </c>
      <c r="X928" t="s">
        <v>34</v>
      </c>
      <c r="Y928" t="str">
        <f>"75063"</f>
        <v>75063</v>
      </c>
    </row>
    <row r="929" spans="1:25" x14ac:dyDescent="0.25">
      <c r="A929" t="s">
        <v>4302</v>
      </c>
      <c r="B929" t="s">
        <v>4303</v>
      </c>
      <c r="C929">
        <v>2020</v>
      </c>
      <c r="D929">
        <v>8001</v>
      </c>
      <c r="E929">
        <v>1</v>
      </c>
      <c r="F929" t="s">
        <v>4304</v>
      </c>
      <c r="G929">
        <v>29743140</v>
      </c>
      <c r="J929">
        <v>114.87</v>
      </c>
      <c r="L929">
        <v>47251233</v>
      </c>
      <c r="M929" s="1">
        <v>44292</v>
      </c>
      <c r="N929" t="str">
        <f>"RC210414"</f>
        <v>RC210414</v>
      </c>
      <c r="O929" t="s">
        <v>28</v>
      </c>
      <c r="Q929" t="s">
        <v>29</v>
      </c>
      <c r="R929" t="s">
        <v>28</v>
      </c>
      <c r="S929" t="s">
        <v>30</v>
      </c>
      <c r="T929" t="s">
        <v>4305</v>
      </c>
      <c r="U929" t="s">
        <v>4306</v>
      </c>
      <c r="W929" t="s">
        <v>332</v>
      </c>
      <c r="X929" t="s">
        <v>34</v>
      </c>
      <c r="Y929" t="str">
        <f>"75252"</f>
        <v>75252</v>
      </c>
    </row>
    <row r="930" spans="1:25" x14ac:dyDescent="0.25">
      <c r="A930" t="s">
        <v>4307</v>
      </c>
      <c r="B930" t="s">
        <v>4308</v>
      </c>
      <c r="C930">
        <v>2020</v>
      </c>
      <c r="D930">
        <v>8001</v>
      </c>
      <c r="E930">
        <v>2</v>
      </c>
      <c r="F930" t="s">
        <v>4309</v>
      </c>
      <c r="G930">
        <v>203254</v>
      </c>
      <c r="J930">
        <v>51.19</v>
      </c>
      <c r="L930">
        <v>47513809</v>
      </c>
      <c r="M930" s="1">
        <v>44356</v>
      </c>
      <c r="N930" t="str">
        <f>"RC210616"</f>
        <v>RC210616</v>
      </c>
      <c r="O930" t="s">
        <v>28</v>
      </c>
      <c r="Q930" t="s">
        <v>29</v>
      </c>
      <c r="R930" t="s">
        <v>28</v>
      </c>
      <c r="S930" t="s">
        <v>904</v>
      </c>
      <c r="T930" t="s">
        <v>243</v>
      </c>
      <c r="W930" t="s">
        <v>244</v>
      </c>
      <c r="X930" t="s">
        <v>245</v>
      </c>
      <c r="Y930" t="str">
        <f>"482261906"</f>
        <v>482261906</v>
      </c>
    </row>
    <row r="931" spans="1:25" x14ac:dyDescent="0.25">
      <c r="A931" t="s">
        <v>4310</v>
      </c>
      <c r="B931" t="s">
        <v>4311</v>
      </c>
      <c r="C931">
        <v>2019</v>
      </c>
      <c r="D931">
        <v>8001</v>
      </c>
      <c r="E931">
        <v>1</v>
      </c>
      <c r="F931" t="s">
        <v>4312</v>
      </c>
      <c r="G931">
        <v>28490187</v>
      </c>
      <c r="J931">
        <v>291.99</v>
      </c>
      <c r="L931">
        <v>44250393</v>
      </c>
      <c r="M931" s="1">
        <v>43983</v>
      </c>
      <c r="N931" t="str">
        <f>"J200601U4"</f>
        <v>J200601U4</v>
      </c>
      <c r="O931" t="s">
        <v>28</v>
      </c>
      <c r="Q931" t="s">
        <v>29</v>
      </c>
      <c r="R931" t="s">
        <v>28</v>
      </c>
      <c r="S931" t="s">
        <v>4313</v>
      </c>
      <c r="T931" t="s">
        <v>4314</v>
      </c>
      <c r="W931" t="s">
        <v>392</v>
      </c>
      <c r="X931" t="s">
        <v>34</v>
      </c>
      <c r="Y931" t="str">
        <f>"774896048"</f>
        <v>774896048</v>
      </c>
    </row>
    <row r="932" spans="1:25" x14ac:dyDescent="0.25">
      <c r="A932" t="s">
        <v>4315</v>
      </c>
      <c r="B932" t="s">
        <v>4316</v>
      </c>
      <c r="C932">
        <v>2021</v>
      </c>
      <c r="D932">
        <v>8001</v>
      </c>
      <c r="E932">
        <v>2</v>
      </c>
      <c r="F932" t="s">
        <v>4317</v>
      </c>
      <c r="G932">
        <v>31094693</v>
      </c>
      <c r="J932">
        <v>10</v>
      </c>
      <c r="L932">
        <v>49967134</v>
      </c>
      <c r="M932" s="1">
        <v>44595</v>
      </c>
      <c r="N932" t="str">
        <f>"RC220303"</f>
        <v>RC220303</v>
      </c>
      <c r="O932" t="s">
        <v>28</v>
      </c>
      <c r="Q932" t="s">
        <v>29</v>
      </c>
      <c r="R932" t="s">
        <v>28</v>
      </c>
      <c r="S932" t="s">
        <v>4318</v>
      </c>
      <c r="T932" t="s">
        <v>4319</v>
      </c>
      <c r="W932" t="s">
        <v>392</v>
      </c>
      <c r="X932" t="s">
        <v>34</v>
      </c>
      <c r="Y932" t="str">
        <f>"774896063"</f>
        <v>774896063</v>
      </c>
    </row>
    <row r="933" spans="1:25" x14ac:dyDescent="0.25">
      <c r="A933" t="s">
        <v>4320</v>
      </c>
      <c r="B933" t="s">
        <v>4321</v>
      </c>
      <c r="C933">
        <v>2020</v>
      </c>
      <c r="D933">
        <v>8001</v>
      </c>
      <c r="E933">
        <v>2</v>
      </c>
      <c r="F933" t="s">
        <v>4322</v>
      </c>
      <c r="G933">
        <v>28436601</v>
      </c>
      <c r="J933">
        <v>66.459999999999994</v>
      </c>
      <c r="L933">
        <v>47374798</v>
      </c>
      <c r="M933" s="1">
        <v>44322</v>
      </c>
      <c r="N933" t="str">
        <f>"RC210512"</f>
        <v>RC210512</v>
      </c>
      <c r="O933" t="s">
        <v>28</v>
      </c>
      <c r="Q933" t="s">
        <v>29</v>
      </c>
      <c r="R933" t="s">
        <v>28</v>
      </c>
      <c r="S933" t="s">
        <v>4323</v>
      </c>
      <c r="T933" t="s">
        <v>4324</v>
      </c>
      <c r="U933" t="s">
        <v>2909</v>
      </c>
      <c r="W933" t="s">
        <v>2910</v>
      </c>
      <c r="X933" t="s">
        <v>317</v>
      </c>
      <c r="Y933" t="str">
        <f>"91768"</f>
        <v>91768</v>
      </c>
    </row>
    <row r="934" spans="1:25" x14ac:dyDescent="0.25">
      <c r="A934" t="s">
        <v>4325</v>
      </c>
      <c r="B934" t="s">
        <v>4326</v>
      </c>
      <c r="C934">
        <v>2019</v>
      </c>
      <c r="D934">
        <v>8001</v>
      </c>
      <c r="E934">
        <v>3</v>
      </c>
      <c r="F934" t="s">
        <v>4327</v>
      </c>
      <c r="G934">
        <v>0</v>
      </c>
      <c r="J934">
        <v>8.36</v>
      </c>
      <c r="L934">
        <v>44136860</v>
      </c>
      <c r="M934" s="1">
        <v>43957</v>
      </c>
      <c r="N934" t="str">
        <f>"O200506Y7"</f>
        <v>O200506Y7</v>
      </c>
      <c r="O934" t="s">
        <v>28</v>
      </c>
      <c r="Q934" t="s">
        <v>29</v>
      </c>
      <c r="R934" t="s">
        <v>28</v>
      </c>
      <c r="S934" t="s">
        <v>4327</v>
      </c>
      <c r="T934" t="s">
        <v>4328</v>
      </c>
      <c r="U934" t="s">
        <v>60</v>
      </c>
      <c r="V934" t="s">
        <v>60</v>
      </c>
      <c r="W934" t="s">
        <v>1333</v>
      </c>
      <c r="X934" t="s">
        <v>34</v>
      </c>
      <c r="Y934" t="str">
        <f>"774593348   "</f>
        <v xml:space="preserve">774593348   </v>
      </c>
    </row>
    <row r="935" spans="1:25" x14ac:dyDescent="0.25">
      <c r="A935" t="s">
        <v>4329</v>
      </c>
      <c r="B935" t="s">
        <v>4330</v>
      </c>
      <c r="C935">
        <v>2018</v>
      </c>
      <c r="D935">
        <v>8001</v>
      </c>
      <c r="E935">
        <v>1</v>
      </c>
      <c r="F935" t="s">
        <v>4331</v>
      </c>
      <c r="G935">
        <v>21516361</v>
      </c>
      <c r="J935" s="2">
        <v>2351.2399999999998</v>
      </c>
      <c r="L935">
        <v>41253934</v>
      </c>
      <c r="M935" s="1">
        <v>43615</v>
      </c>
      <c r="N935" t="str">
        <f>"J190530K2"</f>
        <v>J190530K2</v>
      </c>
      <c r="O935" t="s">
        <v>28</v>
      </c>
      <c r="Q935" t="s">
        <v>29</v>
      </c>
      <c r="R935" t="s">
        <v>28</v>
      </c>
      <c r="S935" t="s">
        <v>4332</v>
      </c>
      <c r="T935" t="s">
        <v>4333</v>
      </c>
      <c r="W935" t="s">
        <v>4334</v>
      </c>
      <c r="X935" t="s">
        <v>1248</v>
      </c>
      <c r="Y935" t="str">
        <f>"33409"</f>
        <v>33409</v>
      </c>
    </row>
    <row r="936" spans="1:25" x14ac:dyDescent="0.25">
      <c r="A936" t="s">
        <v>4335</v>
      </c>
      <c r="B936" t="s">
        <v>4336</v>
      </c>
      <c r="C936">
        <v>2021</v>
      </c>
      <c r="D936">
        <v>8001</v>
      </c>
      <c r="E936">
        <v>2</v>
      </c>
      <c r="F936" t="s">
        <v>4337</v>
      </c>
      <c r="G936">
        <v>28692840</v>
      </c>
      <c r="J936">
        <v>452.72</v>
      </c>
      <c r="L936">
        <v>48888871</v>
      </c>
      <c r="M936" s="1">
        <v>44565</v>
      </c>
      <c r="N936" t="str">
        <f>"CL210001"</f>
        <v>CL210001</v>
      </c>
      <c r="O936" t="s">
        <v>28</v>
      </c>
      <c r="Q936" t="s">
        <v>29</v>
      </c>
      <c r="R936" t="s">
        <v>28</v>
      </c>
      <c r="S936" t="s">
        <v>1019</v>
      </c>
      <c r="T936" t="s">
        <v>562</v>
      </c>
      <c r="W936" t="s">
        <v>563</v>
      </c>
      <c r="X936" t="s">
        <v>34</v>
      </c>
      <c r="Y936" t="str">
        <f>"750630156"</f>
        <v>750630156</v>
      </c>
    </row>
    <row r="937" spans="1:25" x14ac:dyDescent="0.25">
      <c r="A937" t="s">
        <v>4338</v>
      </c>
      <c r="B937" t="s">
        <v>4339</v>
      </c>
      <c r="C937">
        <v>2019</v>
      </c>
      <c r="D937">
        <v>8001</v>
      </c>
      <c r="E937">
        <v>3</v>
      </c>
      <c r="F937" t="s">
        <v>4340</v>
      </c>
      <c r="G937">
        <v>28142014</v>
      </c>
      <c r="J937">
        <v>189.01</v>
      </c>
      <c r="L937">
        <v>43514256</v>
      </c>
      <c r="M937" s="1">
        <v>43864</v>
      </c>
      <c r="N937" t="str">
        <f>"O200203L5"</f>
        <v>O200203L5</v>
      </c>
      <c r="O937" t="s">
        <v>28</v>
      </c>
      <c r="Q937" t="s">
        <v>29</v>
      </c>
      <c r="R937" t="s">
        <v>28</v>
      </c>
      <c r="S937" t="s">
        <v>4341</v>
      </c>
      <c r="T937" t="s">
        <v>4342</v>
      </c>
      <c r="W937" t="s">
        <v>392</v>
      </c>
      <c r="X937" t="s">
        <v>34</v>
      </c>
      <c r="Y937" t="str">
        <f>"774594008"</f>
        <v>774594008</v>
      </c>
    </row>
    <row r="938" spans="1:25" x14ac:dyDescent="0.25">
      <c r="A938" t="s">
        <v>4343</v>
      </c>
      <c r="B938" t="s">
        <v>4344</v>
      </c>
      <c r="C938">
        <v>2019</v>
      </c>
      <c r="D938">
        <v>8001</v>
      </c>
      <c r="E938">
        <v>8</v>
      </c>
      <c r="F938" t="s">
        <v>4345</v>
      </c>
      <c r="G938">
        <v>0</v>
      </c>
      <c r="J938">
        <v>9.91</v>
      </c>
      <c r="L938">
        <v>44340164</v>
      </c>
      <c r="M938" s="1">
        <v>44011</v>
      </c>
      <c r="N938" t="str">
        <f>"O200629BK7"</f>
        <v>O200629BK7</v>
      </c>
      <c r="O938" t="s">
        <v>28</v>
      </c>
      <c r="Q938" t="s">
        <v>29</v>
      </c>
      <c r="R938" t="s">
        <v>28</v>
      </c>
      <c r="S938" t="s">
        <v>4345</v>
      </c>
      <c r="T938" t="s">
        <v>4346</v>
      </c>
      <c r="U938" t="s">
        <v>60</v>
      </c>
      <c r="V938" t="s">
        <v>60</v>
      </c>
      <c r="W938" t="s">
        <v>1333</v>
      </c>
      <c r="X938" t="s">
        <v>34</v>
      </c>
      <c r="Y938" t="str">
        <f>"774593018   "</f>
        <v xml:space="preserve">774593018   </v>
      </c>
    </row>
    <row r="939" spans="1:25" x14ac:dyDescent="0.25">
      <c r="A939" t="s">
        <v>4347</v>
      </c>
      <c r="B939" t="s">
        <v>4348</v>
      </c>
      <c r="C939">
        <v>2020</v>
      </c>
      <c r="D939">
        <v>8001</v>
      </c>
      <c r="E939">
        <v>2</v>
      </c>
      <c r="F939" t="s">
        <v>4349</v>
      </c>
      <c r="G939">
        <v>29461781</v>
      </c>
      <c r="J939">
        <v>16.420000000000002</v>
      </c>
      <c r="L939">
        <v>46728781</v>
      </c>
      <c r="M939" s="1">
        <v>44230</v>
      </c>
      <c r="N939" t="str">
        <f>"EK210203"</f>
        <v>EK210203</v>
      </c>
      <c r="O939" t="s">
        <v>28</v>
      </c>
      <c r="Q939" t="s">
        <v>29</v>
      </c>
      <c r="R939" t="s">
        <v>28</v>
      </c>
      <c r="S939" t="s">
        <v>4350</v>
      </c>
      <c r="T939" t="s">
        <v>4351</v>
      </c>
      <c r="W939" t="s">
        <v>392</v>
      </c>
      <c r="X939" t="s">
        <v>34</v>
      </c>
      <c r="Y939" t="str">
        <f>"77459"</f>
        <v>77459</v>
      </c>
    </row>
    <row r="940" spans="1:25" x14ac:dyDescent="0.25">
      <c r="A940" t="s">
        <v>4352</v>
      </c>
      <c r="B940" t="s">
        <v>4353</v>
      </c>
      <c r="C940">
        <v>2019</v>
      </c>
      <c r="D940">
        <v>8001</v>
      </c>
      <c r="E940">
        <v>2</v>
      </c>
      <c r="F940" t="s">
        <v>4354</v>
      </c>
      <c r="G940">
        <v>26181046</v>
      </c>
      <c r="J940">
        <v>78.34</v>
      </c>
      <c r="L940">
        <v>43907835</v>
      </c>
      <c r="M940" s="1">
        <v>43899</v>
      </c>
      <c r="N940" t="str">
        <f>"J200309AW1"</f>
        <v>J200309AW1</v>
      </c>
      <c r="O940" t="s">
        <v>28</v>
      </c>
      <c r="Q940" t="s">
        <v>29</v>
      </c>
      <c r="R940" t="s">
        <v>28</v>
      </c>
      <c r="S940" t="s">
        <v>4355</v>
      </c>
      <c r="T940" t="s">
        <v>4356</v>
      </c>
      <c r="W940" t="s">
        <v>392</v>
      </c>
      <c r="X940" t="s">
        <v>34</v>
      </c>
      <c r="Y940" t="str">
        <f>"774592605"</f>
        <v>774592605</v>
      </c>
    </row>
    <row r="941" spans="1:25" x14ac:dyDescent="0.25">
      <c r="A941" t="s">
        <v>4357</v>
      </c>
      <c r="B941" t="s">
        <v>4358</v>
      </c>
      <c r="C941">
        <v>2020</v>
      </c>
      <c r="D941">
        <v>8001</v>
      </c>
      <c r="E941">
        <v>2</v>
      </c>
      <c r="F941" t="s">
        <v>4359</v>
      </c>
      <c r="G941">
        <v>0</v>
      </c>
      <c r="J941">
        <v>38.409999999999997</v>
      </c>
      <c r="L941">
        <v>44217754</v>
      </c>
      <c r="M941" s="1">
        <v>44147</v>
      </c>
      <c r="N941" t="str">
        <f>"TE201112"</f>
        <v>TE201112</v>
      </c>
      <c r="O941" t="s">
        <v>28</v>
      </c>
      <c r="Q941" t="s">
        <v>29</v>
      </c>
      <c r="R941" t="s">
        <v>28</v>
      </c>
      <c r="S941" t="s">
        <v>4359</v>
      </c>
      <c r="T941" t="s">
        <v>4360</v>
      </c>
      <c r="U941" t="s">
        <v>60</v>
      </c>
      <c r="V941" t="s">
        <v>60</v>
      </c>
      <c r="W941" t="s">
        <v>1333</v>
      </c>
      <c r="X941" t="s">
        <v>34</v>
      </c>
      <c r="Y941" t="str">
        <f>"774593457   "</f>
        <v xml:space="preserve">774593457   </v>
      </c>
    </row>
    <row r="942" spans="1:25" x14ac:dyDescent="0.25">
      <c r="A942" t="s">
        <v>4361</v>
      </c>
      <c r="B942" t="s">
        <v>4362</v>
      </c>
      <c r="C942">
        <v>2020</v>
      </c>
      <c r="D942">
        <v>8001</v>
      </c>
      <c r="E942">
        <v>1</v>
      </c>
      <c r="F942" t="s">
        <v>4363</v>
      </c>
      <c r="G942">
        <v>0</v>
      </c>
      <c r="J942">
        <v>191.73</v>
      </c>
      <c r="L942">
        <v>46861513</v>
      </c>
      <c r="M942" s="1">
        <v>44235</v>
      </c>
      <c r="N942" t="str">
        <f>"L210208"</f>
        <v>L210208</v>
      </c>
      <c r="O942" t="s">
        <v>28</v>
      </c>
      <c r="Q942" t="s">
        <v>29</v>
      </c>
      <c r="R942" t="s">
        <v>28</v>
      </c>
      <c r="S942" t="s">
        <v>4363</v>
      </c>
      <c r="T942" t="s">
        <v>4364</v>
      </c>
      <c r="U942" t="s">
        <v>60</v>
      </c>
      <c r="V942" t="s">
        <v>60</v>
      </c>
      <c r="W942" t="s">
        <v>1333</v>
      </c>
      <c r="X942" t="s">
        <v>34</v>
      </c>
      <c r="Y942" t="str">
        <f>"774593417   "</f>
        <v xml:space="preserve">774593417   </v>
      </c>
    </row>
    <row r="943" spans="1:25" x14ac:dyDescent="0.25">
      <c r="A943" t="s">
        <v>4365</v>
      </c>
      <c r="B943" t="s">
        <v>4366</v>
      </c>
      <c r="C943">
        <v>2020</v>
      </c>
      <c r="D943">
        <v>8001</v>
      </c>
      <c r="E943">
        <v>1</v>
      </c>
      <c r="F943" t="s">
        <v>4367</v>
      </c>
      <c r="G943">
        <v>29461897</v>
      </c>
      <c r="J943">
        <v>289.72000000000003</v>
      </c>
      <c r="L943">
        <v>46728897</v>
      </c>
      <c r="M943" s="1">
        <v>44230</v>
      </c>
      <c r="N943" t="str">
        <f>"EK210203"</f>
        <v>EK210203</v>
      </c>
      <c r="O943" t="s">
        <v>28</v>
      </c>
      <c r="Q943" t="s">
        <v>29</v>
      </c>
      <c r="R943" t="s">
        <v>28</v>
      </c>
      <c r="S943" t="s">
        <v>4368</v>
      </c>
      <c r="T943" t="s">
        <v>4369</v>
      </c>
      <c r="W943" t="s">
        <v>392</v>
      </c>
      <c r="X943" t="s">
        <v>34</v>
      </c>
      <c r="Y943" t="str">
        <f>"77459"</f>
        <v>77459</v>
      </c>
    </row>
    <row r="944" spans="1:25" x14ac:dyDescent="0.25">
      <c r="A944" t="s">
        <v>4370</v>
      </c>
      <c r="B944" t="s">
        <v>4371</v>
      </c>
      <c r="C944">
        <v>2020</v>
      </c>
      <c r="D944">
        <v>8001</v>
      </c>
      <c r="E944">
        <v>1</v>
      </c>
      <c r="F944" t="s">
        <v>4372</v>
      </c>
      <c r="G944">
        <v>21818801</v>
      </c>
      <c r="J944">
        <v>132.1</v>
      </c>
      <c r="L944">
        <v>46739625</v>
      </c>
      <c r="M944" s="1">
        <v>44230</v>
      </c>
      <c r="N944" t="str">
        <f>"RC210301"</f>
        <v>RC210301</v>
      </c>
      <c r="O944" t="s">
        <v>28</v>
      </c>
      <c r="Q944" t="s">
        <v>29</v>
      </c>
      <c r="R944" t="s">
        <v>28</v>
      </c>
      <c r="S944" t="s">
        <v>4373</v>
      </c>
      <c r="T944" t="s">
        <v>4374</v>
      </c>
      <c r="W944" t="s">
        <v>392</v>
      </c>
      <c r="X944" t="s">
        <v>34</v>
      </c>
      <c r="Y944" t="str">
        <f>"774592501"</f>
        <v>774592501</v>
      </c>
    </row>
    <row r="945" spans="1:25" x14ac:dyDescent="0.25">
      <c r="A945" t="s">
        <v>4375</v>
      </c>
      <c r="B945" t="s">
        <v>4376</v>
      </c>
      <c r="C945">
        <v>2021</v>
      </c>
      <c r="D945">
        <v>8001</v>
      </c>
      <c r="E945">
        <v>1</v>
      </c>
      <c r="F945" t="s">
        <v>4377</v>
      </c>
      <c r="G945">
        <v>30997137</v>
      </c>
      <c r="J945">
        <v>9</v>
      </c>
      <c r="L945">
        <v>48940008</v>
      </c>
      <c r="M945" s="1">
        <v>44566</v>
      </c>
      <c r="N945" t="str">
        <f>"RC220208"</f>
        <v>RC220208</v>
      </c>
      <c r="O945" t="s">
        <v>28</v>
      </c>
      <c r="Q945" t="s">
        <v>29</v>
      </c>
      <c r="R945" t="s">
        <v>28</v>
      </c>
      <c r="S945" t="s">
        <v>4378</v>
      </c>
      <c r="T945" t="s">
        <v>4379</v>
      </c>
      <c r="W945" t="s">
        <v>392</v>
      </c>
      <c r="X945" t="s">
        <v>34</v>
      </c>
      <c r="Y945" t="str">
        <f>"774592501"</f>
        <v>774592501</v>
      </c>
    </row>
    <row r="946" spans="1:25" x14ac:dyDescent="0.25">
      <c r="A946" t="s">
        <v>4380</v>
      </c>
      <c r="B946" t="s">
        <v>4381</v>
      </c>
      <c r="C946">
        <v>2019</v>
      </c>
      <c r="D946">
        <v>8001</v>
      </c>
      <c r="E946">
        <v>1</v>
      </c>
      <c r="F946" t="s">
        <v>4382</v>
      </c>
      <c r="G946">
        <v>0</v>
      </c>
      <c r="J946">
        <v>5</v>
      </c>
      <c r="L946">
        <v>43566556</v>
      </c>
      <c r="M946" s="1">
        <v>43865</v>
      </c>
      <c r="N946" t="str">
        <f>"L200204"</f>
        <v>L200204</v>
      </c>
      <c r="O946" t="s">
        <v>28</v>
      </c>
      <c r="Q946" t="s">
        <v>29</v>
      </c>
      <c r="R946" t="s">
        <v>28</v>
      </c>
      <c r="S946" t="s">
        <v>4382</v>
      </c>
      <c r="T946" t="s">
        <v>4383</v>
      </c>
      <c r="U946" t="s">
        <v>60</v>
      </c>
      <c r="V946" t="s">
        <v>60</v>
      </c>
      <c r="W946" t="s">
        <v>1333</v>
      </c>
      <c r="X946" t="s">
        <v>34</v>
      </c>
      <c r="Y946" t="str">
        <f>"774591917   "</f>
        <v xml:space="preserve">774591917   </v>
      </c>
    </row>
    <row r="947" spans="1:25" x14ac:dyDescent="0.25">
      <c r="A947" t="s">
        <v>4384</v>
      </c>
      <c r="B947" t="s">
        <v>4385</v>
      </c>
      <c r="C947">
        <v>2020</v>
      </c>
      <c r="D947">
        <v>8001</v>
      </c>
      <c r="E947">
        <v>12</v>
      </c>
      <c r="F947" t="s">
        <v>4386</v>
      </c>
      <c r="G947">
        <v>0</v>
      </c>
      <c r="J947">
        <v>58.77</v>
      </c>
      <c r="L947">
        <v>47824437</v>
      </c>
      <c r="M947" s="1">
        <v>44524</v>
      </c>
      <c r="N947" t="str">
        <f>"T211124AJ3"</f>
        <v>T211124AJ3</v>
      </c>
      <c r="O947" t="s">
        <v>28</v>
      </c>
      <c r="Q947" t="s">
        <v>29</v>
      </c>
      <c r="R947" t="s">
        <v>28</v>
      </c>
      <c r="S947" t="s">
        <v>4386</v>
      </c>
      <c r="T947" t="s">
        <v>4387</v>
      </c>
      <c r="U947" t="s">
        <v>60</v>
      </c>
      <c r="V947" t="s">
        <v>60</v>
      </c>
      <c r="W947" t="s">
        <v>219</v>
      </c>
      <c r="X947" t="s">
        <v>34</v>
      </c>
      <c r="Y947" t="str">
        <f>"774982353   "</f>
        <v xml:space="preserve">774982353   </v>
      </c>
    </row>
    <row r="948" spans="1:25" x14ac:dyDescent="0.25">
      <c r="A948" t="s">
        <v>4388</v>
      </c>
      <c r="B948" t="s">
        <v>4389</v>
      </c>
      <c r="C948">
        <v>2020</v>
      </c>
      <c r="D948">
        <v>8001</v>
      </c>
      <c r="E948">
        <v>1</v>
      </c>
      <c r="F948" t="s">
        <v>4390</v>
      </c>
      <c r="G948">
        <v>29576653</v>
      </c>
      <c r="J948">
        <v>176.68</v>
      </c>
      <c r="L948">
        <v>46709476</v>
      </c>
      <c r="M948" s="1">
        <v>44230</v>
      </c>
      <c r="N948" t="str">
        <f>"RC210301"</f>
        <v>RC210301</v>
      </c>
      <c r="O948" t="s">
        <v>28</v>
      </c>
      <c r="Q948" t="s">
        <v>29</v>
      </c>
      <c r="R948" t="s">
        <v>28</v>
      </c>
      <c r="S948" t="s">
        <v>4391</v>
      </c>
      <c r="T948" t="s">
        <v>203</v>
      </c>
      <c r="U948" t="s">
        <v>4392</v>
      </c>
      <c r="W948" t="s">
        <v>2295</v>
      </c>
      <c r="X948" t="s">
        <v>34</v>
      </c>
      <c r="Y948" t="str">
        <f>"77840"</f>
        <v>77840</v>
      </c>
    </row>
    <row r="949" spans="1:25" x14ac:dyDescent="0.25">
      <c r="A949" t="s">
        <v>4393</v>
      </c>
      <c r="B949" t="s">
        <v>4394</v>
      </c>
      <c r="C949">
        <v>2021</v>
      </c>
      <c r="D949">
        <v>8001</v>
      </c>
      <c r="E949">
        <v>1</v>
      </c>
      <c r="F949" t="s">
        <v>4395</v>
      </c>
      <c r="G949">
        <v>29911506</v>
      </c>
      <c r="J949">
        <v>403.13</v>
      </c>
      <c r="L949">
        <v>50040293</v>
      </c>
      <c r="M949" s="1">
        <v>44599</v>
      </c>
      <c r="N949" t="str">
        <f>"RC220314"</f>
        <v>RC220314</v>
      </c>
      <c r="O949" t="s">
        <v>28</v>
      </c>
      <c r="Q949" t="s">
        <v>29</v>
      </c>
      <c r="R949" t="s">
        <v>28</v>
      </c>
      <c r="S949" t="s">
        <v>1772</v>
      </c>
      <c r="T949" t="s">
        <v>4396</v>
      </c>
      <c r="U949" t="s">
        <v>4397</v>
      </c>
      <c r="W949" t="s">
        <v>75</v>
      </c>
      <c r="X949" t="s">
        <v>34</v>
      </c>
      <c r="Y949" t="str">
        <f>"770273049"</f>
        <v>770273049</v>
      </c>
    </row>
    <row r="950" spans="1:25" x14ac:dyDescent="0.25">
      <c r="A950" t="s">
        <v>4398</v>
      </c>
      <c r="B950" t="s">
        <v>4399</v>
      </c>
      <c r="C950">
        <v>2021</v>
      </c>
      <c r="D950">
        <v>8001</v>
      </c>
      <c r="E950">
        <v>1</v>
      </c>
      <c r="F950" t="s">
        <v>4400</v>
      </c>
      <c r="G950">
        <v>0</v>
      </c>
      <c r="J950">
        <v>209.48</v>
      </c>
      <c r="L950">
        <v>49600609</v>
      </c>
      <c r="M950" s="1">
        <v>44588</v>
      </c>
      <c r="N950" t="str">
        <f>"EL220127"</f>
        <v>EL220127</v>
      </c>
      <c r="O950" t="s">
        <v>28</v>
      </c>
      <c r="Q950" t="s">
        <v>29</v>
      </c>
      <c r="R950" t="s">
        <v>28</v>
      </c>
      <c r="S950" t="s">
        <v>4400</v>
      </c>
      <c r="T950" t="s">
        <v>4401</v>
      </c>
      <c r="U950" t="s">
        <v>60</v>
      </c>
      <c r="V950" t="s">
        <v>60</v>
      </c>
      <c r="W950" t="s">
        <v>219</v>
      </c>
      <c r="X950" t="s">
        <v>34</v>
      </c>
      <c r="Y950" t="str">
        <f>"774795385   "</f>
        <v xml:space="preserve">774795385   </v>
      </c>
    </row>
    <row r="951" spans="1:25" x14ac:dyDescent="0.25">
      <c r="A951" t="s">
        <v>4402</v>
      </c>
      <c r="B951" t="s">
        <v>4403</v>
      </c>
      <c r="C951">
        <v>2020</v>
      </c>
      <c r="D951">
        <v>8001</v>
      </c>
      <c r="E951">
        <v>1</v>
      </c>
      <c r="F951" t="s">
        <v>4404</v>
      </c>
      <c r="G951">
        <v>0</v>
      </c>
      <c r="J951" s="2">
        <v>1918.11</v>
      </c>
      <c r="L951">
        <v>46225370</v>
      </c>
      <c r="M951" s="1">
        <v>44218</v>
      </c>
      <c r="N951" t="str">
        <f>"J210122AE2"</f>
        <v>J210122AE2</v>
      </c>
      <c r="O951" t="s">
        <v>28</v>
      </c>
      <c r="Q951" t="s">
        <v>29</v>
      </c>
      <c r="R951" t="s">
        <v>28</v>
      </c>
      <c r="S951" t="s">
        <v>4404</v>
      </c>
      <c r="T951" t="s">
        <v>4405</v>
      </c>
      <c r="U951" t="s">
        <v>60</v>
      </c>
      <c r="V951" t="s">
        <v>60</v>
      </c>
      <c r="W951" t="s">
        <v>219</v>
      </c>
      <c r="X951" t="s">
        <v>34</v>
      </c>
      <c r="Y951" t="str">
        <f>"774794248   "</f>
        <v xml:space="preserve">774794248   </v>
      </c>
    </row>
    <row r="952" spans="1:25" x14ac:dyDescent="0.25">
      <c r="A952" t="s">
        <v>4406</v>
      </c>
      <c r="B952" t="s">
        <v>4407</v>
      </c>
      <c r="C952">
        <v>2021</v>
      </c>
      <c r="D952">
        <v>8001</v>
      </c>
      <c r="E952">
        <v>1</v>
      </c>
      <c r="F952" t="s">
        <v>4408</v>
      </c>
      <c r="G952">
        <v>30997206</v>
      </c>
      <c r="J952">
        <v>140.07</v>
      </c>
      <c r="L952">
        <v>49023984</v>
      </c>
      <c r="M952" s="1">
        <v>44568</v>
      </c>
      <c r="N952" t="str">
        <f>"RC220208"</f>
        <v>RC220208</v>
      </c>
      <c r="O952" t="s">
        <v>28</v>
      </c>
      <c r="Q952" t="s">
        <v>29</v>
      </c>
      <c r="R952" t="s">
        <v>28</v>
      </c>
      <c r="S952" t="s">
        <v>4408</v>
      </c>
      <c r="T952" t="s">
        <v>4409</v>
      </c>
      <c r="W952" t="s">
        <v>81</v>
      </c>
      <c r="X952" t="s">
        <v>34</v>
      </c>
      <c r="Y952" t="str">
        <f>"774067771"</f>
        <v>774067771</v>
      </c>
    </row>
    <row r="953" spans="1:25" x14ac:dyDescent="0.25">
      <c r="A953" t="s">
        <v>4410</v>
      </c>
      <c r="B953" t="s">
        <v>4411</v>
      </c>
      <c r="C953">
        <v>2020</v>
      </c>
      <c r="D953">
        <v>8001</v>
      </c>
      <c r="E953">
        <v>1</v>
      </c>
      <c r="F953" t="s">
        <v>4412</v>
      </c>
      <c r="G953">
        <v>29596093</v>
      </c>
      <c r="J953">
        <v>74.56</v>
      </c>
      <c r="L953">
        <v>47018862</v>
      </c>
      <c r="M953" s="1">
        <v>44258</v>
      </c>
      <c r="N953" t="str">
        <f>"EK210303"</f>
        <v>EK210303</v>
      </c>
      <c r="O953" t="s">
        <v>28</v>
      </c>
      <c r="Q953" t="s">
        <v>29</v>
      </c>
      <c r="R953" t="s">
        <v>28</v>
      </c>
      <c r="S953" t="s">
        <v>4413</v>
      </c>
      <c r="T953" t="s">
        <v>4414</v>
      </c>
      <c r="W953" t="s">
        <v>75</v>
      </c>
      <c r="X953" t="s">
        <v>34</v>
      </c>
      <c r="Y953" t="str">
        <f>"77036"</f>
        <v>77036</v>
      </c>
    </row>
    <row r="954" spans="1:25" x14ac:dyDescent="0.25">
      <c r="A954" t="s">
        <v>4415</v>
      </c>
      <c r="B954" t="s">
        <v>4416</v>
      </c>
      <c r="C954">
        <v>2020</v>
      </c>
      <c r="D954">
        <v>8001</v>
      </c>
      <c r="E954">
        <v>1</v>
      </c>
      <c r="F954" t="s">
        <v>4417</v>
      </c>
      <c r="G954">
        <v>29461654</v>
      </c>
      <c r="J954">
        <v>297.05</v>
      </c>
      <c r="L954">
        <v>46728654</v>
      </c>
      <c r="M954" s="1">
        <v>44230</v>
      </c>
      <c r="N954" t="str">
        <f>"EK210203"</f>
        <v>EK210203</v>
      </c>
      <c r="O954" t="s">
        <v>28</v>
      </c>
      <c r="Q954" t="s">
        <v>29</v>
      </c>
      <c r="R954" t="s">
        <v>28</v>
      </c>
      <c r="S954" t="s">
        <v>4418</v>
      </c>
      <c r="T954" t="s">
        <v>4419</v>
      </c>
      <c r="W954" t="s">
        <v>40</v>
      </c>
      <c r="X954" t="s">
        <v>34</v>
      </c>
      <c r="Y954" t="str">
        <f>"774987330"</f>
        <v>774987330</v>
      </c>
    </row>
    <row r="955" spans="1:25" x14ac:dyDescent="0.25">
      <c r="A955" t="s">
        <v>4420</v>
      </c>
      <c r="B955" t="s">
        <v>4421</v>
      </c>
      <c r="C955">
        <v>2020</v>
      </c>
      <c r="D955">
        <v>8001</v>
      </c>
      <c r="E955">
        <v>1</v>
      </c>
      <c r="F955" t="s">
        <v>4422</v>
      </c>
      <c r="G955">
        <v>26697683</v>
      </c>
      <c r="J955">
        <v>77.86</v>
      </c>
      <c r="L955">
        <v>46733335</v>
      </c>
      <c r="M955" s="1">
        <v>44230</v>
      </c>
      <c r="N955" t="str">
        <f>"O210203AZ1"</f>
        <v>O210203AZ1</v>
      </c>
      <c r="O955" t="s">
        <v>28</v>
      </c>
      <c r="Q955" t="s">
        <v>29</v>
      </c>
      <c r="R955" t="s">
        <v>28</v>
      </c>
      <c r="S955" t="s">
        <v>4423</v>
      </c>
      <c r="T955" t="s">
        <v>4424</v>
      </c>
      <c r="W955" t="s">
        <v>75</v>
      </c>
      <c r="X955" t="s">
        <v>34</v>
      </c>
      <c r="Y955" t="str">
        <f>"770423745"</f>
        <v>770423745</v>
      </c>
    </row>
    <row r="956" spans="1:25" x14ac:dyDescent="0.25">
      <c r="A956" t="s">
        <v>4425</v>
      </c>
      <c r="B956" t="s">
        <v>4426</v>
      </c>
      <c r="C956">
        <v>2020</v>
      </c>
      <c r="D956">
        <v>8001</v>
      </c>
      <c r="E956">
        <v>1</v>
      </c>
      <c r="F956" t="s">
        <v>4422</v>
      </c>
      <c r="G956">
        <v>26697683</v>
      </c>
      <c r="J956">
        <v>77.86</v>
      </c>
      <c r="L956">
        <v>46733335</v>
      </c>
      <c r="M956" s="1">
        <v>44230</v>
      </c>
      <c r="N956" t="str">
        <f>"O210203AZ1"</f>
        <v>O210203AZ1</v>
      </c>
      <c r="O956" t="s">
        <v>28</v>
      </c>
      <c r="Q956" t="s">
        <v>29</v>
      </c>
      <c r="R956" t="s">
        <v>28</v>
      </c>
      <c r="S956" t="s">
        <v>4423</v>
      </c>
      <c r="T956" t="s">
        <v>4424</v>
      </c>
      <c r="W956" t="s">
        <v>75</v>
      </c>
      <c r="X956" t="s">
        <v>34</v>
      </c>
      <c r="Y956" t="str">
        <f>"770423745"</f>
        <v>770423745</v>
      </c>
    </row>
    <row r="957" spans="1:25" x14ac:dyDescent="0.25">
      <c r="A957" t="s">
        <v>4427</v>
      </c>
      <c r="B957" t="s">
        <v>4428</v>
      </c>
      <c r="C957">
        <v>2019</v>
      </c>
      <c r="D957">
        <v>8001</v>
      </c>
      <c r="E957">
        <v>1</v>
      </c>
      <c r="F957" t="s">
        <v>4429</v>
      </c>
      <c r="G957">
        <v>28519874</v>
      </c>
      <c r="J957">
        <v>19.239999999999998</v>
      </c>
      <c r="L957">
        <v>44532041</v>
      </c>
      <c r="M957" s="1">
        <v>44082</v>
      </c>
      <c r="N957" t="str">
        <f>"J200908K3"</f>
        <v>J200908K3</v>
      </c>
      <c r="O957" t="s">
        <v>28</v>
      </c>
      <c r="Q957" t="s">
        <v>29</v>
      </c>
      <c r="R957" t="s">
        <v>28</v>
      </c>
      <c r="S957" t="s">
        <v>1384</v>
      </c>
      <c r="T957" t="s">
        <v>4430</v>
      </c>
      <c r="W957" t="s">
        <v>193</v>
      </c>
      <c r="X957" t="s">
        <v>34</v>
      </c>
      <c r="Y957" t="str">
        <f>"77441"</f>
        <v>77441</v>
      </c>
    </row>
    <row r="958" spans="1:25" x14ac:dyDescent="0.25">
      <c r="A958" t="s">
        <v>4431</v>
      </c>
      <c r="B958" t="s">
        <v>4432</v>
      </c>
      <c r="C958">
        <v>2020</v>
      </c>
      <c r="D958">
        <v>8001</v>
      </c>
      <c r="E958">
        <v>1</v>
      </c>
      <c r="F958" t="s">
        <v>4433</v>
      </c>
      <c r="G958">
        <v>0</v>
      </c>
      <c r="J958">
        <v>16.68</v>
      </c>
      <c r="L958">
        <v>47526019</v>
      </c>
      <c r="M958" s="1">
        <v>44361</v>
      </c>
      <c r="N958" t="str">
        <f>"J210614K2"</f>
        <v>J210614K2</v>
      </c>
      <c r="O958" t="s">
        <v>28</v>
      </c>
      <c r="Q958" t="s">
        <v>29</v>
      </c>
      <c r="R958" t="s">
        <v>28</v>
      </c>
      <c r="S958" t="s">
        <v>4433</v>
      </c>
      <c r="T958" t="s">
        <v>4434</v>
      </c>
      <c r="U958" t="s">
        <v>60</v>
      </c>
      <c r="V958" t="s">
        <v>60</v>
      </c>
      <c r="W958" t="s">
        <v>273</v>
      </c>
      <c r="X958" t="s">
        <v>34</v>
      </c>
      <c r="Y958" t="str">
        <f>"774411679   "</f>
        <v xml:space="preserve">774411679   </v>
      </c>
    </row>
    <row r="959" spans="1:25" x14ac:dyDescent="0.25">
      <c r="A959" t="s">
        <v>4435</v>
      </c>
      <c r="B959" t="s">
        <v>4436</v>
      </c>
      <c r="C959">
        <v>2019</v>
      </c>
      <c r="D959">
        <v>8001</v>
      </c>
      <c r="E959">
        <v>1</v>
      </c>
      <c r="F959" t="s">
        <v>4437</v>
      </c>
      <c r="G959">
        <v>26677939</v>
      </c>
      <c r="J959">
        <v>192.09</v>
      </c>
      <c r="L959">
        <v>43915442</v>
      </c>
      <c r="M959" s="1">
        <v>43900</v>
      </c>
      <c r="N959" t="str">
        <f>"J200310AW6"</f>
        <v>J200310AW6</v>
      </c>
      <c r="O959" t="s">
        <v>28</v>
      </c>
      <c r="Q959" t="s">
        <v>29</v>
      </c>
      <c r="R959" t="s">
        <v>28</v>
      </c>
      <c r="S959" t="s">
        <v>1384</v>
      </c>
      <c r="T959" t="s">
        <v>180</v>
      </c>
      <c r="W959" t="s">
        <v>107</v>
      </c>
      <c r="X959" t="s">
        <v>34</v>
      </c>
      <c r="Y959" t="str">
        <f>"77494"</f>
        <v>77494</v>
      </c>
    </row>
    <row r="960" spans="1:25" x14ac:dyDescent="0.25">
      <c r="A960" t="s">
        <v>4438</v>
      </c>
      <c r="B960" t="s">
        <v>4439</v>
      </c>
      <c r="C960">
        <v>2019</v>
      </c>
      <c r="D960">
        <v>8001</v>
      </c>
      <c r="E960">
        <v>1</v>
      </c>
      <c r="F960" t="s">
        <v>4440</v>
      </c>
      <c r="G960">
        <v>26682808</v>
      </c>
      <c r="J960">
        <v>37.94</v>
      </c>
      <c r="L960">
        <v>43915434</v>
      </c>
      <c r="M960" s="1">
        <v>43900</v>
      </c>
      <c r="N960" t="str">
        <f>"J200310AW6"</f>
        <v>J200310AW6</v>
      </c>
      <c r="O960" t="s">
        <v>28</v>
      </c>
      <c r="Q960" t="s">
        <v>29</v>
      </c>
      <c r="R960" t="s">
        <v>28</v>
      </c>
      <c r="S960" t="s">
        <v>4441</v>
      </c>
      <c r="T960" t="s">
        <v>2997</v>
      </c>
      <c r="W960" t="s">
        <v>75</v>
      </c>
      <c r="X960" t="s">
        <v>34</v>
      </c>
      <c r="Y960" t="str">
        <f>"77056"</f>
        <v>77056</v>
      </c>
    </row>
    <row r="961" spans="1:25" x14ac:dyDescent="0.25">
      <c r="A961" t="s">
        <v>4442</v>
      </c>
      <c r="B961" t="s">
        <v>4443</v>
      </c>
      <c r="C961">
        <v>2020</v>
      </c>
      <c r="D961">
        <v>8001</v>
      </c>
      <c r="E961">
        <v>1</v>
      </c>
      <c r="F961" t="s">
        <v>4444</v>
      </c>
      <c r="G961">
        <v>27745442</v>
      </c>
      <c r="J961">
        <v>42.22</v>
      </c>
      <c r="L961">
        <v>47078234</v>
      </c>
      <c r="M961" s="1">
        <v>44266</v>
      </c>
      <c r="N961" t="str">
        <f>"RC210317"</f>
        <v>RC210317</v>
      </c>
      <c r="O961" t="s">
        <v>28</v>
      </c>
      <c r="Q961" t="s">
        <v>29</v>
      </c>
      <c r="R961" t="s">
        <v>28</v>
      </c>
      <c r="S961" t="s">
        <v>2818</v>
      </c>
      <c r="T961" t="s">
        <v>4445</v>
      </c>
      <c r="W961" t="s">
        <v>75</v>
      </c>
      <c r="X961" t="s">
        <v>34</v>
      </c>
      <c r="Y961" t="str">
        <f>"77058"</f>
        <v>77058</v>
      </c>
    </row>
    <row r="962" spans="1:25" x14ac:dyDescent="0.25">
      <c r="A962" t="s">
        <v>4446</v>
      </c>
      <c r="B962" t="s">
        <v>4447</v>
      </c>
      <c r="C962">
        <v>2019</v>
      </c>
      <c r="D962">
        <v>8001</v>
      </c>
      <c r="E962">
        <v>1</v>
      </c>
      <c r="F962" t="s">
        <v>4448</v>
      </c>
      <c r="G962">
        <v>28310313</v>
      </c>
      <c r="J962">
        <v>8.27</v>
      </c>
      <c r="L962">
        <v>43887134</v>
      </c>
      <c r="M962" s="1">
        <v>43895</v>
      </c>
      <c r="N962" t="str">
        <f>"CC200305"</f>
        <v>CC200305</v>
      </c>
      <c r="O962" t="s">
        <v>28</v>
      </c>
      <c r="Q962" t="s">
        <v>29</v>
      </c>
      <c r="R962" t="s">
        <v>28</v>
      </c>
      <c r="S962" t="s">
        <v>4449</v>
      </c>
      <c r="T962" t="s">
        <v>4450</v>
      </c>
      <c r="W962" t="s">
        <v>392</v>
      </c>
      <c r="X962" t="s">
        <v>34</v>
      </c>
      <c r="Y962" t="str">
        <f>"77489"</f>
        <v>77489</v>
      </c>
    </row>
    <row r="963" spans="1:25" x14ac:dyDescent="0.25">
      <c r="A963" t="s">
        <v>4451</v>
      </c>
      <c r="B963" t="s">
        <v>4452</v>
      </c>
      <c r="C963">
        <v>2019</v>
      </c>
      <c r="D963">
        <v>8001</v>
      </c>
      <c r="E963">
        <v>3</v>
      </c>
      <c r="F963" t="s">
        <v>4453</v>
      </c>
      <c r="G963">
        <v>28512011</v>
      </c>
      <c r="J963">
        <v>42.63</v>
      </c>
      <c r="L963">
        <v>44277835</v>
      </c>
      <c r="M963" s="1">
        <v>43986</v>
      </c>
      <c r="N963" t="str">
        <f>"CC300604"</f>
        <v>CC300604</v>
      </c>
      <c r="O963" t="s">
        <v>28</v>
      </c>
      <c r="Q963" t="s">
        <v>29</v>
      </c>
      <c r="R963" t="s">
        <v>28</v>
      </c>
      <c r="S963" t="s">
        <v>4454</v>
      </c>
      <c r="T963" t="s">
        <v>4455</v>
      </c>
      <c r="W963" t="s">
        <v>81</v>
      </c>
      <c r="X963" t="s">
        <v>34</v>
      </c>
      <c r="Y963" t="str">
        <f>"77469"</f>
        <v>77469</v>
      </c>
    </row>
    <row r="964" spans="1:25" x14ac:dyDescent="0.25">
      <c r="A964" t="s">
        <v>4456</v>
      </c>
      <c r="B964" t="s">
        <v>4457</v>
      </c>
      <c r="C964">
        <v>2020</v>
      </c>
      <c r="D964">
        <v>8001</v>
      </c>
      <c r="E964">
        <v>6</v>
      </c>
      <c r="F964" t="s">
        <v>4458</v>
      </c>
      <c r="G964">
        <v>29718327</v>
      </c>
      <c r="J964">
        <v>11.34</v>
      </c>
      <c r="L964">
        <v>47245550</v>
      </c>
      <c r="M964" s="1">
        <v>44291</v>
      </c>
      <c r="N964" t="str">
        <f>"CC310405"</f>
        <v>CC310405</v>
      </c>
      <c r="O964" t="s">
        <v>28</v>
      </c>
      <c r="Q964" t="s">
        <v>29</v>
      </c>
      <c r="R964" t="s">
        <v>28</v>
      </c>
      <c r="S964" t="s">
        <v>4459</v>
      </c>
      <c r="T964" t="s">
        <v>4460</v>
      </c>
      <c r="W964" t="s">
        <v>75</v>
      </c>
      <c r="X964" t="s">
        <v>34</v>
      </c>
      <c r="Y964" t="str">
        <f>"77053"</f>
        <v>77053</v>
      </c>
    </row>
    <row r="965" spans="1:25" x14ac:dyDescent="0.25">
      <c r="A965" t="s">
        <v>4461</v>
      </c>
      <c r="B965" t="s">
        <v>4462</v>
      </c>
      <c r="C965">
        <v>2019</v>
      </c>
      <c r="D965">
        <v>8001</v>
      </c>
      <c r="E965">
        <v>2</v>
      </c>
      <c r="F965" t="s">
        <v>4463</v>
      </c>
      <c r="G965">
        <v>0</v>
      </c>
      <c r="J965">
        <v>31.03</v>
      </c>
      <c r="L965">
        <v>43915002</v>
      </c>
      <c r="M965" s="1">
        <v>43900</v>
      </c>
      <c r="N965" t="str">
        <f>"J200310AW2"</f>
        <v>J200310AW2</v>
      </c>
      <c r="O965" t="s">
        <v>28</v>
      </c>
      <c r="Q965" t="s">
        <v>29</v>
      </c>
      <c r="R965" t="s">
        <v>28</v>
      </c>
      <c r="S965" t="s">
        <v>4463</v>
      </c>
      <c r="T965" t="s">
        <v>4464</v>
      </c>
      <c r="U965" t="s">
        <v>60</v>
      </c>
      <c r="V965" t="s">
        <v>60</v>
      </c>
      <c r="W965" t="s">
        <v>135</v>
      </c>
      <c r="X965" t="s">
        <v>34</v>
      </c>
      <c r="Y965" t="str">
        <f>"770533630   "</f>
        <v xml:space="preserve">770533630   </v>
      </c>
    </row>
    <row r="966" spans="1:25" x14ac:dyDescent="0.25">
      <c r="A966" t="s">
        <v>4465</v>
      </c>
      <c r="B966" t="s">
        <v>4466</v>
      </c>
      <c r="C966">
        <v>2019</v>
      </c>
      <c r="D966">
        <v>8001</v>
      </c>
      <c r="E966">
        <v>3</v>
      </c>
      <c r="F966" t="s">
        <v>4467</v>
      </c>
      <c r="G966">
        <v>28053840</v>
      </c>
      <c r="J966">
        <v>48.91</v>
      </c>
      <c r="L966">
        <v>43299791</v>
      </c>
      <c r="M966" s="1">
        <v>43859</v>
      </c>
      <c r="N966" t="str">
        <f>"O200129AB1"</f>
        <v>O200129AB1</v>
      </c>
      <c r="O966" t="s">
        <v>28</v>
      </c>
      <c r="Q966" t="s">
        <v>29</v>
      </c>
      <c r="R966" t="s">
        <v>28</v>
      </c>
      <c r="S966" t="s">
        <v>4468</v>
      </c>
      <c r="T966" t="s">
        <v>4469</v>
      </c>
      <c r="W966" t="s">
        <v>75</v>
      </c>
      <c r="X966" t="s">
        <v>34</v>
      </c>
      <c r="Y966" t="str">
        <f>"770533719"</f>
        <v>770533719</v>
      </c>
    </row>
    <row r="967" spans="1:25" x14ac:dyDescent="0.25">
      <c r="A967" t="s">
        <v>4470</v>
      </c>
      <c r="B967" t="s">
        <v>4471</v>
      </c>
      <c r="C967">
        <v>2020</v>
      </c>
      <c r="D967">
        <v>8001</v>
      </c>
      <c r="E967">
        <v>1</v>
      </c>
      <c r="F967" t="s">
        <v>4472</v>
      </c>
      <c r="G967">
        <v>0</v>
      </c>
      <c r="J967">
        <v>28.8</v>
      </c>
      <c r="L967">
        <v>47055322</v>
      </c>
      <c r="M967" s="1">
        <v>44263</v>
      </c>
      <c r="N967" t="str">
        <f>"L210308"</f>
        <v>L210308</v>
      </c>
      <c r="O967" t="s">
        <v>28</v>
      </c>
      <c r="Q967" t="s">
        <v>29</v>
      </c>
      <c r="R967" t="s">
        <v>28</v>
      </c>
      <c r="S967" t="s">
        <v>4472</v>
      </c>
      <c r="T967" t="s">
        <v>4473</v>
      </c>
      <c r="U967" t="s">
        <v>60</v>
      </c>
      <c r="V967" t="s">
        <v>60</v>
      </c>
      <c r="W967" t="s">
        <v>135</v>
      </c>
      <c r="X967" t="s">
        <v>34</v>
      </c>
      <c r="Y967" t="str">
        <f>"770534514   "</f>
        <v xml:space="preserve">770534514   </v>
      </c>
    </row>
    <row r="968" spans="1:25" x14ac:dyDescent="0.25">
      <c r="A968" t="s">
        <v>4474</v>
      </c>
      <c r="B968" t="s">
        <v>4475</v>
      </c>
      <c r="C968">
        <v>2019</v>
      </c>
      <c r="D968">
        <v>8001</v>
      </c>
      <c r="E968">
        <v>1</v>
      </c>
      <c r="F968" t="s">
        <v>4476</v>
      </c>
      <c r="G968">
        <v>28305725</v>
      </c>
      <c r="J968">
        <v>41.71</v>
      </c>
      <c r="L968">
        <v>43875780</v>
      </c>
      <c r="M968" s="1">
        <v>43894</v>
      </c>
      <c r="N968" t="str">
        <f>"EK200304"</f>
        <v>EK200304</v>
      </c>
      <c r="O968" t="s">
        <v>28</v>
      </c>
      <c r="Q968" t="s">
        <v>29</v>
      </c>
      <c r="R968" t="s">
        <v>28</v>
      </c>
      <c r="S968" t="s">
        <v>4477</v>
      </c>
      <c r="T968" t="s">
        <v>4478</v>
      </c>
      <c r="W968" t="s">
        <v>563</v>
      </c>
      <c r="X968" t="s">
        <v>34</v>
      </c>
      <c r="Y968" t="str">
        <f>"75063"</f>
        <v>75063</v>
      </c>
    </row>
    <row r="969" spans="1:25" x14ac:dyDescent="0.25">
      <c r="A969" t="s">
        <v>4479</v>
      </c>
      <c r="B969" t="s">
        <v>4480</v>
      </c>
      <c r="C969">
        <v>2018</v>
      </c>
      <c r="D969">
        <v>8001</v>
      </c>
      <c r="E969">
        <v>1</v>
      </c>
      <c r="F969" t="s">
        <v>4481</v>
      </c>
      <c r="G969">
        <v>0</v>
      </c>
      <c r="J969">
        <v>7.9</v>
      </c>
      <c r="L969">
        <v>40873712</v>
      </c>
      <c r="M969" s="1">
        <v>43528</v>
      </c>
      <c r="N969" t="str">
        <f>"O190304BE5"</f>
        <v>O190304BE5</v>
      </c>
      <c r="O969" t="s">
        <v>28</v>
      </c>
      <c r="Q969" t="s">
        <v>29</v>
      </c>
      <c r="R969" t="s">
        <v>28</v>
      </c>
      <c r="S969" t="s">
        <v>4481</v>
      </c>
      <c r="T969" t="s">
        <v>4482</v>
      </c>
      <c r="U969" t="s">
        <v>60</v>
      </c>
      <c r="V969" t="s">
        <v>60</v>
      </c>
      <c r="W969" t="s">
        <v>135</v>
      </c>
      <c r="X969" t="s">
        <v>34</v>
      </c>
      <c r="Y969" t="str">
        <f>"770534538   "</f>
        <v xml:space="preserve">770534538   </v>
      </c>
    </row>
    <row r="970" spans="1:25" x14ac:dyDescent="0.25">
      <c r="A970" t="s">
        <v>4483</v>
      </c>
      <c r="B970" t="s">
        <v>4484</v>
      </c>
      <c r="C970">
        <v>2019</v>
      </c>
      <c r="D970">
        <v>8001</v>
      </c>
      <c r="E970">
        <v>2</v>
      </c>
      <c r="F970" t="s">
        <v>4485</v>
      </c>
      <c r="G970">
        <v>25560244</v>
      </c>
      <c r="J970">
        <v>41.93</v>
      </c>
      <c r="L970">
        <v>44130344</v>
      </c>
      <c r="M970" s="1">
        <v>43956</v>
      </c>
      <c r="N970" t="str">
        <f>"J200505AW2"</f>
        <v>J200505AW2</v>
      </c>
      <c r="O970" t="s">
        <v>28</v>
      </c>
      <c r="Q970" t="s">
        <v>29</v>
      </c>
      <c r="R970" t="s">
        <v>28</v>
      </c>
      <c r="S970" t="s">
        <v>2042</v>
      </c>
      <c r="T970" t="s">
        <v>3682</v>
      </c>
      <c r="U970" t="s">
        <v>3683</v>
      </c>
      <c r="V970" t="s">
        <v>562</v>
      </c>
      <c r="W970" t="s">
        <v>563</v>
      </c>
      <c r="X970" t="s">
        <v>34</v>
      </c>
      <c r="Y970" t="str">
        <f>"750630156"</f>
        <v>750630156</v>
      </c>
    </row>
    <row r="971" spans="1:25" x14ac:dyDescent="0.25">
      <c r="A971" t="s">
        <v>4486</v>
      </c>
      <c r="B971" t="s">
        <v>4487</v>
      </c>
      <c r="C971">
        <v>2020</v>
      </c>
      <c r="D971">
        <v>8001</v>
      </c>
      <c r="E971">
        <v>1</v>
      </c>
      <c r="F971" t="s">
        <v>4488</v>
      </c>
      <c r="G971">
        <v>28569681</v>
      </c>
      <c r="J971">
        <v>37.65</v>
      </c>
      <c r="L971">
        <v>47595704</v>
      </c>
      <c r="M971" s="1">
        <v>44386</v>
      </c>
      <c r="N971" t="str">
        <f>"O210709AB1"</f>
        <v>O210709AB1</v>
      </c>
      <c r="O971" t="s">
        <v>28</v>
      </c>
      <c r="Q971" t="s">
        <v>29</v>
      </c>
      <c r="R971" t="s">
        <v>28</v>
      </c>
      <c r="S971" t="s">
        <v>4489</v>
      </c>
      <c r="T971" t="s">
        <v>1613</v>
      </c>
      <c r="U971" t="s">
        <v>1795</v>
      </c>
      <c r="W971" t="s">
        <v>1615</v>
      </c>
      <c r="X971" t="s">
        <v>143</v>
      </c>
      <c r="Y971" t="str">
        <f>"191156320"</f>
        <v>191156320</v>
      </c>
    </row>
    <row r="972" spans="1:25" x14ac:dyDescent="0.25">
      <c r="A972" t="s">
        <v>4490</v>
      </c>
      <c r="B972" t="s">
        <v>4491</v>
      </c>
      <c r="C972">
        <v>2019</v>
      </c>
      <c r="D972">
        <v>8001</v>
      </c>
      <c r="E972">
        <v>2</v>
      </c>
      <c r="F972" t="s">
        <v>4492</v>
      </c>
      <c r="G972">
        <v>0</v>
      </c>
      <c r="J972">
        <v>19.829999999999998</v>
      </c>
      <c r="L972">
        <v>44147741</v>
      </c>
      <c r="M972" s="1">
        <v>43959</v>
      </c>
      <c r="N972" t="str">
        <f>"J200508AW6"</f>
        <v>J200508AW6</v>
      </c>
      <c r="O972" t="s">
        <v>28</v>
      </c>
      <c r="Q972" t="s">
        <v>29</v>
      </c>
      <c r="R972" t="s">
        <v>28</v>
      </c>
      <c r="S972" t="s">
        <v>4492</v>
      </c>
      <c r="T972" t="s">
        <v>4493</v>
      </c>
      <c r="U972" t="s">
        <v>60</v>
      </c>
      <c r="V972" t="s">
        <v>60</v>
      </c>
      <c r="W972" t="s">
        <v>135</v>
      </c>
      <c r="X972" t="s">
        <v>34</v>
      </c>
      <c r="Y972" t="str">
        <f>"770534433   "</f>
        <v xml:space="preserve">770534433   </v>
      </c>
    </row>
    <row r="973" spans="1:25" x14ac:dyDescent="0.25">
      <c r="A973" t="s">
        <v>4494</v>
      </c>
      <c r="B973" t="s">
        <v>4495</v>
      </c>
      <c r="C973">
        <v>2020</v>
      </c>
      <c r="D973">
        <v>8001</v>
      </c>
      <c r="E973">
        <v>1</v>
      </c>
      <c r="F973" t="s">
        <v>4496</v>
      </c>
      <c r="G973">
        <v>29461912</v>
      </c>
      <c r="J973">
        <v>117.75</v>
      </c>
      <c r="L973">
        <v>46728912</v>
      </c>
      <c r="M973" s="1">
        <v>44230</v>
      </c>
      <c r="N973" t="str">
        <f>"EK210203"</f>
        <v>EK210203</v>
      </c>
      <c r="O973" t="s">
        <v>28</v>
      </c>
      <c r="Q973" t="s">
        <v>29</v>
      </c>
      <c r="R973" t="s">
        <v>28</v>
      </c>
      <c r="S973" t="s">
        <v>4497</v>
      </c>
      <c r="T973" t="s">
        <v>4498</v>
      </c>
      <c r="W973" t="s">
        <v>75</v>
      </c>
      <c r="X973" t="s">
        <v>34</v>
      </c>
      <c r="Y973" t="str">
        <f>"77053"</f>
        <v>77053</v>
      </c>
    </row>
    <row r="974" spans="1:25" x14ac:dyDescent="0.25">
      <c r="A974" t="s">
        <v>4499</v>
      </c>
      <c r="B974" t="s">
        <v>4500</v>
      </c>
      <c r="C974">
        <v>2018</v>
      </c>
      <c r="D974">
        <v>8001</v>
      </c>
      <c r="E974">
        <v>1</v>
      </c>
      <c r="F974" t="s">
        <v>4501</v>
      </c>
      <c r="G974">
        <v>957732</v>
      </c>
      <c r="J974">
        <v>42.03</v>
      </c>
      <c r="L974">
        <v>41082670</v>
      </c>
      <c r="M974" s="1">
        <v>43563</v>
      </c>
      <c r="N974" t="str">
        <f>"J190408AW1"</f>
        <v>J190408AW1</v>
      </c>
      <c r="O974" t="s">
        <v>28</v>
      </c>
      <c r="Q974" t="s">
        <v>29</v>
      </c>
      <c r="R974" t="s">
        <v>28</v>
      </c>
      <c r="S974" t="s">
        <v>4502</v>
      </c>
      <c r="T974" t="s">
        <v>4503</v>
      </c>
      <c r="W974" t="s">
        <v>75</v>
      </c>
      <c r="X974" t="s">
        <v>34</v>
      </c>
      <c r="Y974" t="str">
        <f>"77027-9303"</f>
        <v>77027-9303</v>
      </c>
    </row>
    <row r="975" spans="1:25" x14ac:dyDescent="0.25">
      <c r="A975" t="s">
        <v>4504</v>
      </c>
      <c r="B975" t="s">
        <v>4505</v>
      </c>
      <c r="C975">
        <v>2020</v>
      </c>
      <c r="D975">
        <v>8001</v>
      </c>
      <c r="E975">
        <v>1</v>
      </c>
      <c r="F975" t="s">
        <v>4506</v>
      </c>
      <c r="G975">
        <v>29489552</v>
      </c>
      <c r="J975">
        <v>70.61</v>
      </c>
      <c r="L975">
        <v>46782251</v>
      </c>
      <c r="M975" s="1">
        <v>44231</v>
      </c>
      <c r="N975" t="str">
        <f>"CC210204"</f>
        <v>CC210204</v>
      </c>
      <c r="O975" t="s">
        <v>28</v>
      </c>
      <c r="Q975" t="s">
        <v>29</v>
      </c>
      <c r="R975" t="s">
        <v>28</v>
      </c>
      <c r="S975" t="s">
        <v>4507</v>
      </c>
      <c r="T975" t="s">
        <v>4508</v>
      </c>
      <c r="W975" t="s">
        <v>75</v>
      </c>
      <c r="X975" t="s">
        <v>34</v>
      </c>
      <c r="Y975" t="str">
        <f>"77053"</f>
        <v>77053</v>
      </c>
    </row>
    <row r="976" spans="1:25" x14ac:dyDescent="0.25">
      <c r="A976" t="s">
        <v>4514</v>
      </c>
      <c r="B976" t="s">
        <v>4515</v>
      </c>
      <c r="C976">
        <v>2020</v>
      </c>
      <c r="D976">
        <v>8001</v>
      </c>
      <c r="E976">
        <v>2</v>
      </c>
      <c r="F976" t="s">
        <v>4516</v>
      </c>
      <c r="G976">
        <v>0</v>
      </c>
      <c r="J976">
        <v>17.89</v>
      </c>
      <c r="L976">
        <v>47709593</v>
      </c>
      <c r="M976" s="1">
        <v>44428</v>
      </c>
      <c r="N976" t="str">
        <f>"R210820AZ1"</f>
        <v>R210820AZ1</v>
      </c>
      <c r="O976" t="s">
        <v>28</v>
      </c>
      <c r="Q976" t="s">
        <v>29</v>
      </c>
      <c r="R976" t="s">
        <v>28</v>
      </c>
      <c r="S976" t="s">
        <v>4516</v>
      </c>
      <c r="T976" t="s">
        <v>4517</v>
      </c>
      <c r="U976" t="s">
        <v>60</v>
      </c>
      <c r="V976" t="s">
        <v>60</v>
      </c>
      <c r="W976" t="s">
        <v>135</v>
      </c>
      <c r="X976" t="s">
        <v>34</v>
      </c>
      <c r="Y976" t="str">
        <f>"770533701   "</f>
        <v xml:space="preserve">770533701   </v>
      </c>
    </row>
    <row r="977" spans="1:25" x14ac:dyDescent="0.25">
      <c r="A977" t="s">
        <v>4518</v>
      </c>
      <c r="B977" t="s">
        <v>4519</v>
      </c>
      <c r="C977">
        <v>2020</v>
      </c>
      <c r="D977">
        <v>8001</v>
      </c>
      <c r="E977">
        <v>1</v>
      </c>
      <c r="F977" t="s">
        <v>4520</v>
      </c>
      <c r="G977">
        <v>0</v>
      </c>
      <c r="J977">
        <v>9.16</v>
      </c>
      <c r="L977">
        <v>47764227</v>
      </c>
      <c r="M977" s="1">
        <v>44467</v>
      </c>
      <c r="N977" t="str">
        <f>"J210928BW1"</f>
        <v>J210928BW1</v>
      </c>
      <c r="O977" t="s">
        <v>28</v>
      </c>
      <c r="Q977" t="s">
        <v>29</v>
      </c>
      <c r="R977" t="s">
        <v>28</v>
      </c>
      <c r="S977" t="s">
        <v>4520</v>
      </c>
      <c r="T977" t="s">
        <v>4521</v>
      </c>
      <c r="U977" t="s">
        <v>60</v>
      </c>
      <c r="V977" t="s">
        <v>60</v>
      </c>
      <c r="W977" t="s">
        <v>135</v>
      </c>
      <c r="X977" t="s">
        <v>34</v>
      </c>
      <c r="Y977" t="str">
        <f>"770534607   "</f>
        <v xml:space="preserve">770534607   </v>
      </c>
    </row>
    <row r="978" spans="1:25" x14ac:dyDescent="0.25">
      <c r="A978" t="s">
        <v>4522</v>
      </c>
      <c r="B978" t="s">
        <v>4523</v>
      </c>
      <c r="C978">
        <v>2019</v>
      </c>
      <c r="D978">
        <v>8001</v>
      </c>
      <c r="E978">
        <v>1</v>
      </c>
      <c r="F978" t="s">
        <v>4524</v>
      </c>
      <c r="G978">
        <v>28298288</v>
      </c>
      <c r="J978">
        <v>19.79</v>
      </c>
      <c r="L978">
        <v>43864404</v>
      </c>
      <c r="M978" s="1">
        <v>43893</v>
      </c>
      <c r="N978" t="str">
        <f>"EK400303"</f>
        <v>EK400303</v>
      </c>
      <c r="O978" t="s">
        <v>28</v>
      </c>
      <c r="Q978" t="s">
        <v>29</v>
      </c>
      <c r="R978" t="s">
        <v>28</v>
      </c>
      <c r="S978" t="s">
        <v>4525</v>
      </c>
      <c r="T978" t="s">
        <v>4526</v>
      </c>
      <c r="W978" t="s">
        <v>81</v>
      </c>
      <c r="X978" t="s">
        <v>34</v>
      </c>
      <c r="Y978" t="str">
        <f>"77469"</f>
        <v>77469</v>
      </c>
    </row>
    <row r="979" spans="1:25" x14ac:dyDescent="0.25">
      <c r="A979" t="s">
        <v>4527</v>
      </c>
      <c r="B979" t="s">
        <v>4528</v>
      </c>
      <c r="C979">
        <v>2021</v>
      </c>
      <c r="D979">
        <v>8001</v>
      </c>
      <c r="E979">
        <v>1</v>
      </c>
      <c r="F979" t="s">
        <v>4529</v>
      </c>
      <c r="G979">
        <v>29977618</v>
      </c>
      <c r="J979">
        <v>6.57</v>
      </c>
      <c r="L979">
        <v>47713660</v>
      </c>
      <c r="M979" s="1">
        <v>44516</v>
      </c>
      <c r="N979" t="str">
        <f>"TE211116"</f>
        <v>TE211116</v>
      </c>
      <c r="O979" t="s">
        <v>28</v>
      </c>
      <c r="Q979" t="s">
        <v>29</v>
      </c>
      <c r="R979" t="s">
        <v>28</v>
      </c>
      <c r="S979" t="s">
        <v>4530</v>
      </c>
      <c r="T979" t="s">
        <v>4531</v>
      </c>
      <c r="U979" t="s">
        <v>4532</v>
      </c>
      <c r="W979" t="s">
        <v>1160</v>
      </c>
      <c r="X979" t="s">
        <v>34</v>
      </c>
      <c r="Y979" t="str">
        <f>"775458088"</f>
        <v>775458088</v>
      </c>
    </row>
    <row r="980" spans="1:25" x14ac:dyDescent="0.25">
      <c r="A980" t="s">
        <v>4533</v>
      </c>
      <c r="B980" t="s">
        <v>4534</v>
      </c>
      <c r="C980">
        <v>2020</v>
      </c>
      <c r="D980">
        <v>8001</v>
      </c>
      <c r="E980">
        <v>1</v>
      </c>
      <c r="F980" t="s">
        <v>4535</v>
      </c>
      <c r="G980">
        <v>24145057</v>
      </c>
      <c r="J980">
        <v>16.22</v>
      </c>
      <c r="L980">
        <v>44176730</v>
      </c>
      <c r="M980" s="1">
        <v>44147</v>
      </c>
      <c r="N980" t="str">
        <f>"TE201112"</f>
        <v>TE201112</v>
      </c>
      <c r="O980" t="s">
        <v>28</v>
      </c>
      <c r="Q980" t="s">
        <v>29</v>
      </c>
      <c r="R980" t="s">
        <v>28</v>
      </c>
      <c r="S980" t="s">
        <v>4536</v>
      </c>
      <c r="T980" t="s">
        <v>4537</v>
      </c>
      <c r="W980" t="s">
        <v>1160</v>
      </c>
      <c r="X980" t="s">
        <v>34</v>
      </c>
      <c r="Y980" t="str">
        <f>"775457898"</f>
        <v>775457898</v>
      </c>
    </row>
    <row r="981" spans="1:25" x14ac:dyDescent="0.25">
      <c r="A981" t="s">
        <v>4538</v>
      </c>
      <c r="B981" t="s">
        <v>4539</v>
      </c>
      <c r="C981">
        <v>2020</v>
      </c>
      <c r="D981">
        <v>8001</v>
      </c>
      <c r="E981">
        <v>1</v>
      </c>
      <c r="F981" t="s">
        <v>4540</v>
      </c>
      <c r="G981">
        <v>28622536</v>
      </c>
      <c r="J981">
        <v>7.02</v>
      </c>
      <c r="L981">
        <v>44485291</v>
      </c>
      <c r="M981" s="1">
        <v>44147</v>
      </c>
      <c r="N981" t="str">
        <f>"TE201112"</f>
        <v>TE201112</v>
      </c>
      <c r="O981" t="s">
        <v>28</v>
      </c>
      <c r="Q981" t="s">
        <v>29</v>
      </c>
      <c r="R981" t="s">
        <v>28</v>
      </c>
      <c r="S981" t="s">
        <v>4541</v>
      </c>
      <c r="T981" t="s">
        <v>4542</v>
      </c>
      <c r="W981" t="s">
        <v>4543</v>
      </c>
      <c r="X981" t="s">
        <v>34</v>
      </c>
      <c r="Y981" t="str">
        <f>"775714532"</f>
        <v>775714532</v>
      </c>
    </row>
    <row r="982" spans="1:25" x14ac:dyDescent="0.25">
      <c r="A982" t="s">
        <v>4544</v>
      </c>
      <c r="B982" t="s">
        <v>4545</v>
      </c>
      <c r="C982">
        <v>2019</v>
      </c>
      <c r="D982">
        <v>8001</v>
      </c>
      <c r="E982">
        <v>2</v>
      </c>
      <c r="F982" t="s">
        <v>4546</v>
      </c>
      <c r="G982">
        <v>28305480</v>
      </c>
      <c r="J982">
        <v>34.04</v>
      </c>
      <c r="L982">
        <v>43875232</v>
      </c>
      <c r="M982" s="1">
        <v>43894</v>
      </c>
      <c r="N982" t="str">
        <f>"CC400304"</f>
        <v>CC400304</v>
      </c>
      <c r="O982" t="s">
        <v>28</v>
      </c>
      <c r="Q982" t="s">
        <v>29</v>
      </c>
      <c r="R982" t="s">
        <v>28</v>
      </c>
      <c r="S982" t="s">
        <v>4547</v>
      </c>
      <c r="T982" t="s">
        <v>4548</v>
      </c>
      <c r="W982" t="s">
        <v>1160</v>
      </c>
      <c r="X982" t="s">
        <v>34</v>
      </c>
      <c r="Y982" t="str">
        <f>"77545"</f>
        <v>77545</v>
      </c>
    </row>
    <row r="983" spans="1:25" x14ac:dyDescent="0.25">
      <c r="A983" t="s">
        <v>4549</v>
      </c>
      <c r="B983" t="s">
        <v>4550</v>
      </c>
      <c r="C983">
        <v>2019</v>
      </c>
      <c r="D983">
        <v>8001</v>
      </c>
      <c r="E983">
        <v>2</v>
      </c>
      <c r="F983" t="s">
        <v>4551</v>
      </c>
      <c r="G983">
        <v>28319721</v>
      </c>
      <c r="J983">
        <v>11.31</v>
      </c>
      <c r="L983">
        <v>43915445</v>
      </c>
      <c r="M983" s="1">
        <v>43900</v>
      </c>
      <c r="N983" t="str">
        <f>"J200310AW6"</f>
        <v>J200310AW6</v>
      </c>
      <c r="O983" t="s">
        <v>28</v>
      </c>
      <c r="Q983" t="s">
        <v>29</v>
      </c>
      <c r="R983" t="s">
        <v>28</v>
      </c>
      <c r="S983" t="s">
        <v>4552</v>
      </c>
      <c r="T983" t="s">
        <v>4553</v>
      </c>
      <c r="U983" t="s">
        <v>4554</v>
      </c>
      <c r="W983" t="s">
        <v>75</v>
      </c>
      <c r="X983" t="s">
        <v>34</v>
      </c>
      <c r="Y983" t="str">
        <f>"77025"</f>
        <v>77025</v>
      </c>
    </row>
    <row r="984" spans="1:25" x14ac:dyDescent="0.25">
      <c r="A984" t="s">
        <v>4555</v>
      </c>
      <c r="B984" t="s">
        <v>4556</v>
      </c>
      <c r="C984">
        <v>2020</v>
      </c>
      <c r="D984">
        <v>8001</v>
      </c>
      <c r="E984">
        <v>1</v>
      </c>
      <c r="F984" t="s">
        <v>4557</v>
      </c>
      <c r="G984">
        <v>27200422</v>
      </c>
      <c r="J984">
        <v>237.04</v>
      </c>
      <c r="L984">
        <v>44845487</v>
      </c>
      <c r="M984" s="1">
        <v>44147</v>
      </c>
      <c r="N984" t="str">
        <f>"RPS201112U1"</f>
        <v>RPS201112U1</v>
      </c>
      <c r="O984" t="s">
        <v>28</v>
      </c>
      <c r="Q984" t="s">
        <v>29</v>
      </c>
      <c r="R984" t="s">
        <v>28</v>
      </c>
      <c r="S984" t="s">
        <v>4558</v>
      </c>
      <c r="T984" t="s">
        <v>4559</v>
      </c>
      <c r="W984" t="s">
        <v>4560</v>
      </c>
      <c r="Y984" t="str">
        <f>"11620"</f>
        <v>11620</v>
      </c>
    </row>
    <row r="985" spans="1:25" x14ac:dyDescent="0.25">
      <c r="A985" t="s">
        <v>4561</v>
      </c>
      <c r="B985" t="s">
        <v>4562</v>
      </c>
      <c r="C985">
        <v>2018</v>
      </c>
      <c r="D985">
        <v>8001</v>
      </c>
      <c r="E985">
        <v>1</v>
      </c>
      <c r="F985" t="s">
        <v>4563</v>
      </c>
      <c r="G985">
        <v>27330253</v>
      </c>
      <c r="J985">
        <v>11.54</v>
      </c>
      <c r="L985">
        <v>41067059</v>
      </c>
      <c r="M985" s="1">
        <v>43558</v>
      </c>
      <c r="N985" t="str">
        <f>"J190403AW1"</f>
        <v>J190403AW1</v>
      </c>
      <c r="O985" t="s">
        <v>28</v>
      </c>
      <c r="Q985" t="s">
        <v>29</v>
      </c>
      <c r="R985" t="s">
        <v>28</v>
      </c>
      <c r="S985" t="s">
        <v>4564</v>
      </c>
      <c r="T985" t="s">
        <v>4565</v>
      </c>
      <c r="W985" t="s">
        <v>75</v>
      </c>
      <c r="X985" t="s">
        <v>34</v>
      </c>
      <c r="Y985" t="str">
        <f>"770835310"</f>
        <v>770835310</v>
      </c>
    </row>
    <row r="986" spans="1:25" x14ac:dyDescent="0.25">
      <c r="A986" t="s">
        <v>4566</v>
      </c>
      <c r="B986" t="s">
        <v>4567</v>
      </c>
      <c r="C986">
        <v>2018</v>
      </c>
      <c r="D986">
        <v>8001</v>
      </c>
      <c r="E986">
        <v>2</v>
      </c>
      <c r="F986" t="s">
        <v>4568</v>
      </c>
      <c r="G986">
        <v>27408983</v>
      </c>
      <c r="J986">
        <v>19</v>
      </c>
      <c r="L986">
        <v>41238180</v>
      </c>
      <c r="M986" s="1">
        <v>43613</v>
      </c>
      <c r="N986" t="str">
        <f>"EK190528"</f>
        <v>EK190528</v>
      </c>
      <c r="O986" t="s">
        <v>28</v>
      </c>
      <c r="Q986" t="s">
        <v>29</v>
      </c>
      <c r="R986" t="s">
        <v>28</v>
      </c>
      <c r="S986" t="s">
        <v>4569</v>
      </c>
      <c r="T986" t="s">
        <v>4570</v>
      </c>
      <c r="W986" t="s">
        <v>1160</v>
      </c>
      <c r="X986" t="s">
        <v>34</v>
      </c>
      <c r="Y986" t="str">
        <f>"77545"</f>
        <v>77545</v>
      </c>
    </row>
    <row r="987" spans="1:25" x14ac:dyDescent="0.25">
      <c r="A987" t="s">
        <v>4571</v>
      </c>
      <c r="B987" t="s">
        <v>4572</v>
      </c>
      <c r="C987">
        <v>2019</v>
      </c>
      <c r="D987">
        <v>8001</v>
      </c>
      <c r="E987">
        <v>1</v>
      </c>
      <c r="F987" t="s">
        <v>4573</v>
      </c>
      <c r="G987">
        <v>28305482</v>
      </c>
      <c r="J987">
        <v>13.41</v>
      </c>
      <c r="L987">
        <v>43875234</v>
      </c>
      <c r="M987" s="1">
        <v>43894</v>
      </c>
      <c r="N987" t="str">
        <f>"CC400304"</f>
        <v>CC400304</v>
      </c>
      <c r="O987" t="s">
        <v>28</v>
      </c>
      <c r="Q987" t="s">
        <v>29</v>
      </c>
      <c r="R987" t="s">
        <v>28</v>
      </c>
      <c r="S987" t="s">
        <v>4574</v>
      </c>
      <c r="T987" t="s">
        <v>4575</v>
      </c>
      <c r="W987" t="s">
        <v>1160</v>
      </c>
      <c r="X987" t="s">
        <v>34</v>
      </c>
      <c r="Y987" t="str">
        <f>"77545"</f>
        <v>77545</v>
      </c>
    </row>
    <row r="988" spans="1:25" x14ac:dyDescent="0.25">
      <c r="A988" t="s">
        <v>4576</v>
      </c>
      <c r="B988" t="s">
        <v>4577</v>
      </c>
      <c r="C988">
        <v>2019</v>
      </c>
      <c r="D988">
        <v>8001</v>
      </c>
      <c r="E988">
        <v>1</v>
      </c>
      <c r="F988" t="s">
        <v>4578</v>
      </c>
      <c r="G988">
        <v>28305483</v>
      </c>
      <c r="J988">
        <v>10.64</v>
      </c>
      <c r="L988">
        <v>43875235</v>
      </c>
      <c r="M988" s="1">
        <v>43894</v>
      </c>
      <c r="N988" t="str">
        <f>"CC400304"</f>
        <v>CC400304</v>
      </c>
      <c r="O988" t="s">
        <v>28</v>
      </c>
      <c r="Q988" t="s">
        <v>29</v>
      </c>
      <c r="R988" t="s">
        <v>28</v>
      </c>
      <c r="S988" t="s">
        <v>4574</v>
      </c>
      <c r="T988" t="s">
        <v>4575</v>
      </c>
      <c r="W988" t="s">
        <v>1160</v>
      </c>
      <c r="X988" t="s">
        <v>34</v>
      </c>
      <c r="Y988" t="str">
        <f>"77545"</f>
        <v>77545</v>
      </c>
    </row>
    <row r="989" spans="1:25" x14ac:dyDescent="0.25">
      <c r="A989" t="s">
        <v>4579</v>
      </c>
      <c r="B989" t="s">
        <v>4580</v>
      </c>
      <c r="C989">
        <v>2018</v>
      </c>
      <c r="D989">
        <v>8001</v>
      </c>
      <c r="E989">
        <v>3</v>
      </c>
      <c r="F989" t="s">
        <v>4581</v>
      </c>
      <c r="G989">
        <v>1743433</v>
      </c>
      <c r="J989">
        <v>5.22</v>
      </c>
      <c r="L989">
        <v>41040411</v>
      </c>
      <c r="M989" s="1">
        <v>43556</v>
      </c>
      <c r="N989" t="str">
        <f>"O190401BH8"</f>
        <v>O190401BH8</v>
      </c>
      <c r="O989" t="s">
        <v>28</v>
      </c>
      <c r="Q989" t="s">
        <v>29</v>
      </c>
      <c r="R989" t="s">
        <v>28</v>
      </c>
      <c r="S989" t="s">
        <v>4582</v>
      </c>
      <c r="T989" t="s">
        <v>4583</v>
      </c>
      <c r="W989" t="s">
        <v>618</v>
      </c>
      <c r="X989" t="s">
        <v>34</v>
      </c>
      <c r="Y989" t="str">
        <f>"774617342"</f>
        <v>774617342</v>
      </c>
    </row>
    <row r="990" spans="1:25" x14ac:dyDescent="0.25">
      <c r="A990" t="s">
        <v>4584</v>
      </c>
      <c r="B990" t="s">
        <v>4585</v>
      </c>
      <c r="C990">
        <v>2020</v>
      </c>
      <c r="D990">
        <v>8001</v>
      </c>
      <c r="E990">
        <v>1</v>
      </c>
      <c r="F990" t="s">
        <v>1473</v>
      </c>
      <c r="G990">
        <v>0</v>
      </c>
      <c r="J990">
        <v>470.41</v>
      </c>
      <c r="L990">
        <v>45471827</v>
      </c>
      <c r="M990" s="1">
        <v>44193</v>
      </c>
      <c r="N990" t="str">
        <f>"J201228BW6"</f>
        <v>J201228BW6</v>
      </c>
      <c r="O990" t="s">
        <v>28</v>
      </c>
      <c r="Q990" t="s">
        <v>29</v>
      </c>
      <c r="R990" t="s">
        <v>28</v>
      </c>
      <c r="S990" t="s">
        <v>4586</v>
      </c>
      <c r="T990" t="s">
        <v>4587</v>
      </c>
      <c r="U990" t="s">
        <v>60</v>
      </c>
      <c r="V990" t="s">
        <v>60</v>
      </c>
      <c r="W990" t="s">
        <v>219</v>
      </c>
      <c r="X990" t="s">
        <v>34</v>
      </c>
      <c r="Y990" t="str">
        <f>"774785334   "</f>
        <v xml:space="preserve">774785334   </v>
      </c>
    </row>
    <row r="991" spans="1:25" x14ac:dyDescent="0.25">
      <c r="A991" t="s">
        <v>4588</v>
      </c>
      <c r="B991" t="s">
        <v>4589</v>
      </c>
      <c r="C991">
        <v>2020</v>
      </c>
      <c r="D991">
        <v>8001</v>
      </c>
      <c r="E991">
        <v>3</v>
      </c>
      <c r="F991" t="s">
        <v>4590</v>
      </c>
      <c r="G991">
        <v>951963</v>
      </c>
      <c r="J991">
        <v>306.7</v>
      </c>
      <c r="L991">
        <v>47261628</v>
      </c>
      <c r="M991" s="1">
        <v>44293</v>
      </c>
      <c r="N991" t="str">
        <f>"RC210414"</f>
        <v>RC210414</v>
      </c>
      <c r="O991" t="s">
        <v>28</v>
      </c>
      <c r="Q991" t="s">
        <v>29</v>
      </c>
      <c r="R991" t="s">
        <v>28</v>
      </c>
      <c r="S991" t="s">
        <v>4591</v>
      </c>
      <c r="T991" t="s">
        <v>4592</v>
      </c>
      <c r="W991" t="s">
        <v>40</v>
      </c>
      <c r="X991" t="s">
        <v>34</v>
      </c>
      <c r="Y991" t="str">
        <f>"77478"</f>
        <v>77478</v>
      </c>
    </row>
    <row r="992" spans="1:25" x14ac:dyDescent="0.25">
      <c r="A992" t="s">
        <v>4593</v>
      </c>
      <c r="B992" t="s">
        <v>4594</v>
      </c>
      <c r="C992">
        <v>2021</v>
      </c>
      <c r="D992">
        <v>8001</v>
      </c>
      <c r="E992">
        <v>1</v>
      </c>
      <c r="F992" t="s">
        <v>4595</v>
      </c>
      <c r="G992">
        <v>31034757</v>
      </c>
      <c r="J992">
        <v>647.41999999999996</v>
      </c>
      <c r="L992">
        <v>49398454</v>
      </c>
      <c r="M992" s="1">
        <v>44582</v>
      </c>
      <c r="N992" t="str">
        <f>"RC220221"</f>
        <v>RC220221</v>
      </c>
      <c r="O992" t="s">
        <v>28</v>
      </c>
      <c r="Q992" t="s">
        <v>29</v>
      </c>
      <c r="R992" t="s">
        <v>28</v>
      </c>
      <c r="S992" t="s">
        <v>4596</v>
      </c>
      <c r="T992" t="s">
        <v>4597</v>
      </c>
      <c r="W992" t="s">
        <v>4598</v>
      </c>
      <c r="X992" t="s">
        <v>34</v>
      </c>
      <c r="Y992" t="str">
        <f>"774012609"</f>
        <v>774012609</v>
      </c>
    </row>
    <row r="993" spans="1:25" x14ac:dyDescent="0.25">
      <c r="A993" t="s">
        <v>4599</v>
      </c>
      <c r="B993" t="s">
        <v>4600</v>
      </c>
      <c r="C993">
        <v>2019</v>
      </c>
      <c r="D993">
        <v>8001</v>
      </c>
      <c r="E993">
        <v>3</v>
      </c>
      <c r="F993" t="s">
        <v>4601</v>
      </c>
      <c r="G993">
        <v>0</v>
      </c>
      <c r="J993">
        <v>469.1</v>
      </c>
      <c r="L993">
        <v>44463696</v>
      </c>
      <c r="M993" s="1">
        <v>44047</v>
      </c>
      <c r="N993" t="str">
        <f>"J200804K1"</f>
        <v>J200804K1</v>
      </c>
      <c r="O993" t="s">
        <v>28</v>
      </c>
      <c r="Q993" t="s">
        <v>29</v>
      </c>
      <c r="R993" t="s">
        <v>28</v>
      </c>
      <c r="S993" t="s">
        <v>4601</v>
      </c>
      <c r="T993" t="s">
        <v>4602</v>
      </c>
      <c r="U993" t="s">
        <v>60</v>
      </c>
      <c r="V993" t="s">
        <v>60</v>
      </c>
      <c r="W993" t="s">
        <v>219</v>
      </c>
      <c r="X993" t="s">
        <v>34</v>
      </c>
      <c r="Y993" t="str">
        <f>"774791265   "</f>
        <v xml:space="preserve">774791265   </v>
      </c>
    </row>
    <row r="994" spans="1:25" x14ac:dyDescent="0.25">
      <c r="A994" t="s">
        <v>4603</v>
      </c>
      <c r="B994" t="s">
        <v>4604</v>
      </c>
      <c r="C994">
        <v>2020</v>
      </c>
      <c r="D994">
        <v>8001</v>
      </c>
      <c r="E994">
        <v>1</v>
      </c>
      <c r="F994" t="s">
        <v>4605</v>
      </c>
      <c r="G994">
        <v>0</v>
      </c>
      <c r="J994">
        <v>208</v>
      </c>
      <c r="L994">
        <v>45701043</v>
      </c>
      <c r="M994" s="1">
        <v>44201</v>
      </c>
      <c r="N994" t="str">
        <f>"EL210105"</f>
        <v>EL210105</v>
      </c>
      <c r="O994" t="s">
        <v>28</v>
      </c>
      <c r="Q994" t="s">
        <v>29</v>
      </c>
      <c r="R994" t="s">
        <v>28</v>
      </c>
      <c r="S994" t="s">
        <v>4605</v>
      </c>
      <c r="T994" t="s">
        <v>4606</v>
      </c>
      <c r="U994" t="s">
        <v>60</v>
      </c>
      <c r="V994" t="s">
        <v>60</v>
      </c>
      <c r="W994" t="s">
        <v>214</v>
      </c>
      <c r="X994" t="s">
        <v>34</v>
      </c>
      <c r="Y994" t="str">
        <f>"774695656   "</f>
        <v xml:space="preserve">774695656   </v>
      </c>
    </row>
    <row r="995" spans="1:25" x14ac:dyDescent="0.25">
      <c r="A995" t="s">
        <v>4607</v>
      </c>
      <c r="B995" t="s">
        <v>4608</v>
      </c>
      <c r="C995">
        <v>2021</v>
      </c>
      <c r="D995">
        <v>8001</v>
      </c>
      <c r="E995">
        <v>1</v>
      </c>
      <c r="F995" t="s">
        <v>4609</v>
      </c>
      <c r="G995">
        <v>29588730</v>
      </c>
      <c r="J995">
        <v>10.39</v>
      </c>
      <c r="L995">
        <v>48565899</v>
      </c>
      <c r="M995" s="1">
        <v>44550</v>
      </c>
      <c r="N995" t="str">
        <f>"RC220116"</f>
        <v>RC220116</v>
      </c>
      <c r="O995" t="s">
        <v>28</v>
      </c>
      <c r="Q995" t="s">
        <v>29</v>
      </c>
      <c r="R995" t="s">
        <v>28</v>
      </c>
      <c r="S995" t="s">
        <v>4610</v>
      </c>
      <c r="T995" t="s">
        <v>4611</v>
      </c>
      <c r="W995" t="s">
        <v>81</v>
      </c>
      <c r="X995" t="s">
        <v>34</v>
      </c>
      <c r="Y995" t="str">
        <f>"774073274"</f>
        <v>774073274</v>
      </c>
    </row>
    <row r="996" spans="1:25" x14ac:dyDescent="0.25">
      <c r="A996" t="s">
        <v>4612</v>
      </c>
      <c r="B996" t="s">
        <v>4613</v>
      </c>
      <c r="C996">
        <v>2019</v>
      </c>
      <c r="D996">
        <v>8001</v>
      </c>
      <c r="E996">
        <v>1</v>
      </c>
      <c r="F996" t="s">
        <v>4614</v>
      </c>
      <c r="G996">
        <v>0</v>
      </c>
      <c r="J996">
        <v>22</v>
      </c>
      <c r="L996">
        <v>42989822</v>
      </c>
      <c r="M996" s="1">
        <v>43847</v>
      </c>
      <c r="N996" t="str">
        <f>"L200117"</f>
        <v>L200117</v>
      </c>
      <c r="O996" t="s">
        <v>28</v>
      </c>
      <c r="Q996" t="s">
        <v>29</v>
      </c>
      <c r="R996" t="s">
        <v>28</v>
      </c>
      <c r="S996" t="s">
        <v>4614</v>
      </c>
      <c r="T996" t="s">
        <v>4615</v>
      </c>
      <c r="U996" t="s">
        <v>60</v>
      </c>
      <c r="V996" t="s">
        <v>60</v>
      </c>
      <c r="W996" t="s">
        <v>214</v>
      </c>
      <c r="X996" t="s">
        <v>34</v>
      </c>
      <c r="Y996" t="str">
        <f>"774693629   "</f>
        <v xml:space="preserve">774693629   </v>
      </c>
    </row>
    <row r="997" spans="1:25" x14ac:dyDescent="0.25">
      <c r="A997" t="s">
        <v>4616</v>
      </c>
      <c r="B997" t="s">
        <v>4617</v>
      </c>
      <c r="C997">
        <v>2020</v>
      </c>
      <c r="D997">
        <v>8001</v>
      </c>
      <c r="E997">
        <v>2</v>
      </c>
      <c r="F997" t="s">
        <v>4618</v>
      </c>
      <c r="G997">
        <v>29708175</v>
      </c>
      <c r="J997">
        <v>80.540000000000006</v>
      </c>
      <c r="L997">
        <v>47290981</v>
      </c>
      <c r="M997" s="1">
        <v>44300</v>
      </c>
      <c r="N997" t="str">
        <f>"RC210425"</f>
        <v>RC210425</v>
      </c>
      <c r="O997" t="s">
        <v>28</v>
      </c>
      <c r="Q997" t="s">
        <v>29</v>
      </c>
      <c r="R997" t="s">
        <v>28</v>
      </c>
      <c r="S997" t="s">
        <v>2317</v>
      </c>
      <c r="T997" t="s">
        <v>4619</v>
      </c>
      <c r="W997" t="s">
        <v>2938</v>
      </c>
      <c r="X997" t="s">
        <v>317</v>
      </c>
      <c r="Y997" t="str">
        <f>"92808"</f>
        <v>92808</v>
      </c>
    </row>
    <row r="998" spans="1:25" x14ac:dyDescent="0.25">
      <c r="A998" t="s">
        <v>4620</v>
      </c>
      <c r="B998" t="s">
        <v>4621</v>
      </c>
      <c r="C998">
        <v>2021</v>
      </c>
      <c r="D998">
        <v>8001</v>
      </c>
      <c r="E998">
        <v>2</v>
      </c>
      <c r="F998" t="s">
        <v>4622</v>
      </c>
      <c r="G998">
        <v>30997291</v>
      </c>
      <c r="J998" s="2">
        <v>1935.35</v>
      </c>
      <c r="L998">
        <v>48895234</v>
      </c>
      <c r="M998" s="1">
        <v>44565</v>
      </c>
      <c r="N998" t="str">
        <f>"RC220208"</f>
        <v>RC220208</v>
      </c>
      <c r="O998" t="s">
        <v>28</v>
      </c>
      <c r="Q998" t="s">
        <v>29</v>
      </c>
      <c r="R998" t="s">
        <v>28</v>
      </c>
      <c r="S998" t="s">
        <v>4623</v>
      </c>
      <c r="T998" t="s">
        <v>4624</v>
      </c>
      <c r="W998" t="s">
        <v>4625</v>
      </c>
      <c r="X998" t="s">
        <v>317</v>
      </c>
      <c r="Y998" t="str">
        <f>"926754954"</f>
        <v>926754954</v>
      </c>
    </row>
    <row r="999" spans="1:25" x14ac:dyDescent="0.25">
      <c r="A999" t="s">
        <v>4626</v>
      </c>
      <c r="B999" t="s">
        <v>4627</v>
      </c>
      <c r="C999">
        <v>2021</v>
      </c>
      <c r="D999">
        <v>8001</v>
      </c>
      <c r="E999">
        <v>1</v>
      </c>
      <c r="F999" t="s">
        <v>4628</v>
      </c>
      <c r="G999">
        <v>31034764</v>
      </c>
      <c r="J999">
        <v>611.80999999999995</v>
      </c>
      <c r="L999">
        <v>49274779</v>
      </c>
      <c r="M999" s="1">
        <v>44579</v>
      </c>
      <c r="N999" t="str">
        <f>"RC220221"</f>
        <v>RC220221</v>
      </c>
      <c r="O999" t="s">
        <v>28</v>
      </c>
      <c r="Q999" t="s">
        <v>29</v>
      </c>
      <c r="R999" t="s">
        <v>28</v>
      </c>
      <c r="S999" t="s">
        <v>4629</v>
      </c>
      <c r="T999" t="s">
        <v>4630</v>
      </c>
      <c r="W999" t="s">
        <v>4631</v>
      </c>
      <c r="X999" t="s">
        <v>317</v>
      </c>
      <c r="Y999" t="str">
        <f>"940872105"</f>
        <v>940872105</v>
      </c>
    </row>
    <row r="1000" spans="1:25" x14ac:dyDescent="0.25">
      <c r="A1000" t="s">
        <v>4632</v>
      </c>
      <c r="B1000" t="s">
        <v>4633</v>
      </c>
      <c r="C1000">
        <v>2021</v>
      </c>
      <c r="D1000">
        <v>8001</v>
      </c>
      <c r="E1000">
        <v>1</v>
      </c>
      <c r="F1000" t="s">
        <v>4634</v>
      </c>
      <c r="G1000">
        <v>28721693</v>
      </c>
      <c r="J1000" s="2">
        <v>2922.01</v>
      </c>
      <c r="L1000">
        <v>48336562</v>
      </c>
      <c r="M1000" s="1">
        <v>44537</v>
      </c>
      <c r="N1000" t="str">
        <f>"RC220113"</f>
        <v>RC220113</v>
      </c>
      <c r="O1000" t="s">
        <v>28</v>
      </c>
      <c r="Q1000" t="s">
        <v>29</v>
      </c>
      <c r="R1000" t="s">
        <v>28</v>
      </c>
      <c r="S1000" t="s">
        <v>3285</v>
      </c>
      <c r="T1000" t="s">
        <v>3286</v>
      </c>
      <c r="U1000" t="s">
        <v>3287</v>
      </c>
      <c r="W1000" t="s">
        <v>40</v>
      </c>
      <c r="X1000" t="s">
        <v>34</v>
      </c>
      <c r="Y1000" t="str">
        <f>"774783683"</f>
        <v>774783683</v>
      </c>
    </row>
    <row r="1001" spans="1:25" x14ac:dyDescent="0.25">
      <c r="A1001" t="s">
        <v>4635</v>
      </c>
      <c r="B1001" t="s">
        <v>4636</v>
      </c>
      <c r="C1001">
        <v>2019</v>
      </c>
      <c r="D1001">
        <v>8001</v>
      </c>
      <c r="E1001">
        <v>3</v>
      </c>
      <c r="F1001" t="s">
        <v>4637</v>
      </c>
      <c r="G1001">
        <v>0</v>
      </c>
      <c r="J1001">
        <v>92.66</v>
      </c>
      <c r="L1001">
        <v>44498869</v>
      </c>
      <c r="M1001" s="1">
        <v>44062</v>
      </c>
      <c r="N1001" t="str">
        <f>"J200819AW1"</f>
        <v>J200819AW1</v>
      </c>
      <c r="O1001" t="s">
        <v>28</v>
      </c>
      <c r="Q1001" t="s">
        <v>29</v>
      </c>
      <c r="R1001" t="s">
        <v>28</v>
      </c>
      <c r="S1001" t="s">
        <v>4637</v>
      </c>
      <c r="T1001" t="s">
        <v>4638</v>
      </c>
      <c r="U1001" t="s">
        <v>60</v>
      </c>
      <c r="V1001" t="s">
        <v>60</v>
      </c>
      <c r="W1001" t="s">
        <v>219</v>
      </c>
      <c r="X1001" t="s">
        <v>34</v>
      </c>
      <c r="Y1001" t="str">
        <f>"774793724   "</f>
        <v xml:space="preserve">774793724   </v>
      </c>
    </row>
    <row r="1002" spans="1:25" x14ac:dyDescent="0.25">
      <c r="A1002" t="s">
        <v>4639</v>
      </c>
      <c r="B1002" t="s">
        <v>4640</v>
      </c>
      <c r="C1002">
        <v>2019</v>
      </c>
      <c r="D1002">
        <v>8001</v>
      </c>
      <c r="E1002">
        <v>2</v>
      </c>
      <c r="F1002" t="s">
        <v>4641</v>
      </c>
      <c r="G1002">
        <v>28309071</v>
      </c>
      <c r="J1002">
        <v>80.23</v>
      </c>
      <c r="L1002">
        <v>43907985</v>
      </c>
      <c r="M1002" s="1">
        <v>43899</v>
      </c>
      <c r="N1002" t="str">
        <f>"J200309AW2"</f>
        <v>J200309AW2</v>
      </c>
      <c r="O1002" t="s">
        <v>28</v>
      </c>
      <c r="Q1002" t="s">
        <v>29</v>
      </c>
      <c r="R1002" t="s">
        <v>28</v>
      </c>
      <c r="S1002" t="s">
        <v>1555</v>
      </c>
      <c r="T1002" t="s">
        <v>4642</v>
      </c>
      <c r="W1002" t="s">
        <v>4643</v>
      </c>
      <c r="X1002" t="s">
        <v>34</v>
      </c>
      <c r="Y1002" t="str">
        <f>"77573"</f>
        <v>77573</v>
      </c>
    </row>
    <row r="1003" spans="1:25" x14ac:dyDescent="0.25">
      <c r="A1003" t="s">
        <v>4644</v>
      </c>
      <c r="B1003" t="s">
        <v>4645</v>
      </c>
      <c r="C1003">
        <v>2019</v>
      </c>
      <c r="D1003">
        <v>8001</v>
      </c>
      <c r="E1003">
        <v>2</v>
      </c>
      <c r="F1003" t="s">
        <v>4646</v>
      </c>
      <c r="G1003">
        <v>21594338</v>
      </c>
      <c r="J1003">
        <v>238.68</v>
      </c>
      <c r="L1003">
        <v>42888493</v>
      </c>
      <c r="M1003" s="1">
        <v>43844</v>
      </c>
      <c r="N1003" t="str">
        <f>"R200114BO1"</f>
        <v>R200114BO1</v>
      </c>
      <c r="O1003" t="s">
        <v>28</v>
      </c>
      <c r="Q1003" t="s">
        <v>29</v>
      </c>
      <c r="R1003" t="s">
        <v>28</v>
      </c>
      <c r="S1003" t="s">
        <v>4647</v>
      </c>
      <c r="T1003" t="s">
        <v>4648</v>
      </c>
      <c r="W1003" t="s">
        <v>4649</v>
      </c>
      <c r="X1003" t="s">
        <v>34</v>
      </c>
      <c r="Y1003" t="str">
        <f>"76579"</f>
        <v>76579</v>
      </c>
    </row>
    <row r="1004" spans="1:25" x14ac:dyDescent="0.25">
      <c r="A1004" t="s">
        <v>4650</v>
      </c>
      <c r="B1004" t="s">
        <v>4651</v>
      </c>
      <c r="C1004">
        <v>2020</v>
      </c>
      <c r="D1004">
        <v>8001</v>
      </c>
      <c r="E1004">
        <v>2</v>
      </c>
      <c r="F1004" t="s">
        <v>4652</v>
      </c>
      <c r="G1004">
        <v>28692840</v>
      </c>
      <c r="J1004">
        <v>16.93</v>
      </c>
      <c r="L1004">
        <v>47519906</v>
      </c>
      <c r="M1004" s="1">
        <v>44357</v>
      </c>
      <c r="N1004" t="str">
        <f>"RC210616"</f>
        <v>RC210616</v>
      </c>
      <c r="O1004" t="s">
        <v>28</v>
      </c>
      <c r="Q1004" t="s">
        <v>29</v>
      </c>
      <c r="R1004" t="s">
        <v>28</v>
      </c>
      <c r="S1004" t="s">
        <v>1019</v>
      </c>
      <c r="T1004" t="s">
        <v>562</v>
      </c>
      <c r="W1004" t="s">
        <v>563</v>
      </c>
      <c r="X1004" t="s">
        <v>34</v>
      </c>
      <c r="Y1004" t="str">
        <f>"750630156"</f>
        <v>750630156</v>
      </c>
    </row>
    <row r="1005" spans="1:25" x14ac:dyDescent="0.25">
      <c r="A1005" t="s">
        <v>4653</v>
      </c>
      <c r="B1005" t="s">
        <v>4654</v>
      </c>
      <c r="C1005">
        <v>2019</v>
      </c>
      <c r="D1005">
        <v>8001</v>
      </c>
      <c r="E1005">
        <v>2</v>
      </c>
      <c r="F1005" t="s">
        <v>4655</v>
      </c>
      <c r="G1005">
        <v>28013631</v>
      </c>
      <c r="J1005">
        <v>26.87</v>
      </c>
      <c r="L1005">
        <v>44193019</v>
      </c>
      <c r="M1005" s="1">
        <v>43972</v>
      </c>
      <c r="N1005" t="str">
        <f>"O200521G1"</f>
        <v>O200521G1</v>
      </c>
      <c r="O1005" t="s">
        <v>28</v>
      </c>
      <c r="Q1005" t="s">
        <v>29</v>
      </c>
      <c r="R1005" t="s">
        <v>28</v>
      </c>
      <c r="S1005" t="s">
        <v>4656</v>
      </c>
      <c r="T1005" t="s">
        <v>4657</v>
      </c>
      <c r="W1005" t="s">
        <v>81</v>
      </c>
      <c r="X1005" t="s">
        <v>34</v>
      </c>
      <c r="Y1005" t="str">
        <f>"774061827"</f>
        <v>774061827</v>
      </c>
    </row>
    <row r="1006" spans="1:25" x14ac:dyDescent="0.25">
      <c r="A1006" t="s">
        <v>4658</v>
      </c>
      <c r="B1006" t="s">
        <v>4659</v>
      </c>
      <c r="C1006">
        <v>2021</v>
      </c>
      <c r="D1006">
        <v>8001</v>
      </c>
      <c r="E1006">
        <v>2</v>
      </c>
      <c r="F1006" t="s">
        <v>1473</v>
      </c>
      <c r="G1006">
        <v>28406245</v>
      </c>
      <c r="J1006">
        <v>94.38</v>
      </c>
      <c r="L1006">
        <v>49632889</v>
      </c>
      <c r="M1006" s="1">
        <v>44588</v>
      </c>
      <c r="N1006" t="str">
        <f>"RC220309"</f>
        <v>RC220309</v>
      </c>
      <c r="O1006" t="s">
        <v>28</v>
      </c>
      <c r="Q1006" t="s">
        <v>29</v>
      </c>
      <c r="R1006" t="s">
        <v>28</v>
      </c>
      <c r="S1006" t="s">
        <v>1474</v>
      </c>
      <c r="T1006" t="s">
        <v>1475</v>
      </c>
      <c r="W1006" t="s">
        <v>33</v>
      </c>
      <c r="X1006" t="s">
        <v>34</v>
      </c>
      <c r="Y1006" t="str">
        <f>"75093"</f>
        <v>75093</v>
      </c>
    </row>
    <row r="1007" spans="1:25" x14ac:dyDescent="0.25">
      <c r="A1007" t="s">
        <v>4660</v>
      </c>
      <c r="B1007" t="s">
        <v>4661</v>
      </c>
      <c r="C1007">
        <v>2020</v>
      </c>
      <c r="D1007">
        <v>8001</v>
      </c>
      <c r="E1007">
        <v>2</v>
      </c>
      <c r="F1007" t="s">
        <v>4662</v>
      </c>
      <c r="G1007">
        <v>0</v>
      </c>
      <c r="J1007">
        <v>111.48</v>
      </c>
      <c r="L1007">
        <v>47950428</v>
      </c>
      <c r="M1007" s="1">
        <v>44503</v>
      </c>
      <c r="N1007" t="str">
        <f>"EL211103"</f>
        <v>EL211103</v>
      </c>
      <c r="O1007" t="s">
        <v>28</v>
      </c>
      <c r="Q1007" t="s">
        <v>29</v>
      </c>
      <c r="R1007" t="s">
        <v>28</v>
      </c>
      <c r="S1007" t="s">
        <v>4662</v>
      </c>
      <c r="T1007" t="s">
        <v>4663</v>
      </c>
      <c r="U1007" t="s">
        <v>60</v>
      </c>
      <c r="V1007" t="s">
        <v>60</v>
      </c>
      <c r="W1007" t="s">
        <v>214</v>
      </c>
      <c r="X1007" t="s">
        <v>34</v>
      </c>
      <c r="Y1007" t="str">
        <f>"774061877   "</f>
        <v xml:space="preserve">774061877   </v>
      </c>
    </row>
    <row r="1008" spans="1:25" x14ac:dyDescent="0.25">
      <c r="A1008" t="s">
        <v>4664</v>
      </c>
      <c r="B1008" t="s">
        <v>4665</v>
      </c>
      <c r="C1008">
        <v>2019</v>
      </c>
      <c r="D1008">
        <v>8001</v>
      </c>
      <c r="E1008">
        <v>1</v>
      </c>
      <c r="F1008" t="s">
        <v>4666</v>
      </c>
      <c r="G1008">
        <v>0</v>
      </c>
      <c r="J1008">
        <v>100</v>
      </c>
      <c r="L1008">
        <v>43607202</v>
      </c>
      <c r="M1008" s="1">
        <v>43866</v>
      </c>
      <c r="N1008" t="str">
        <f>"L200205"</f>
        <v>L200205</v>
      </c>
      <c r="O1008" t="s">
        <v>28</v>
      </c>
      <c r="Q1008" t="s">
        <v>29</v>
      </c>
      <c r="R1008" t="s">
        <v>28</v>
      </c>
      <c r="S1008" t="s">
        <v>4666</v>
      </c>
      <c r="T1008" t="s">
        <v>4667</v>
      </c>
      <c r="U1008" t="s">
        <v>60</v>
      </c>
      <c r="V1008" t="s">
        <v>60</v>
      </c>
      <c r="W1008" t="s">
        <v>1333</v>
      </c>
      <c r="X1008" t="s">
        <v>34</v>
      </c>
      <c r="Y1008" t="str">
        <f>"774594344   "</f>
        <v xml:space="preserve">774594344   </v>
      </c>
    </row>
    <row r="1009" spans="1:25" x14ac:dyDescent="0.25">
      <c r="A1009" t="s">
        <v>4668</v>
      </c>
      <c r="B1009" t="s">
        <v>4669</v>
      </c>
      <c r="C1009">
        <v>2018</v>
      </c>
      <c r="D1009">
        <v>8001</v>
      </c>
      <c r="E1009">
        <v>2</v>
      </c>
      <c r="F1009" t="s">
        <v>4670</v>
      </c>
      <c r="G1009">
        <v>27297749</v>
      </c>
      <c r="J1009">
        <v>157.44</v>
      </c>
      <c r="L1009">
        <v>41295057</v>
      </c>
      <c r="M1009" s="1">
        <v>43621</v>
      </c>
      <c r="N1009" t="str">
        <f>"J190605AW10"</f>
        <v>J190605AW10</v>
      </c>
      <c r="O1009" t="s">
        <v>28</v>
      </c>
      <c r="Q1009" t="s">
        <v>29</v>
      </c>
      <c r="R1009" t="s">
        <v>28</v>
      </c>
      <c r="S1009" t="s">
        <v>4671</v>
      </c>
      <c r="T1009" t="s">
        <v>4672</v>
      </c>
      <c r="W1009" t="s">
        <v>154</v>
      </c>
      <c r="X1009" t="s">
        <v>34</v>
      </c>
      <c r="Y1009" t="str">
        <f>"774695737"</f>
        <v>774695737</v>
      </c>
    </row>
    <row r="1010" spans="1:25" x14ac:dyDescent="0.25">
      <c r="A1010" t="s">
        <v>4673</v>
      </c>
      <c r="B1010" t="s">
        <v>4674</v>
      </c>
      <c r="C1010">
        <v>2019</v>
      </c>
      <c r="D1010">
        <v>8001</v>
      </c>
      <c r="E1010">
        <v>1</v>
      </c>
      <c r="F1010" t="s">
        <v>4675</v>
      </c>
      <c r="G1010">
        <v>28517980</v>
      </c>
      <c r="J1010">
        <v>21.99</v>
      </c>
      <c r="L1010">
        <v>44292344</v>
      </c>
      <c r="M1010" s="1">
        <v>43991</v>
      </c>
      <c r="N1010" t="str">
        <f>"J200609K2"</f>
        <v>J200609K2</v>
      </c>
      <c r="O1010" t="s">
        <v>28</v>
      </c>
      <c r="Q1010" t="s">
        <v>29</v>
      </c>
      <c r="R1010" t="s">
        <v>28</v>
      </c>
      <c r="S1010" t="s">
        <v>4676</v>
      </c>
      <c r="T1010" t="s">
        <v>4677</v>
      </c>
      <c r="U1010" t="s">
        <v>4678</v>
      </c>
      <c r="W1010" t="s">
        <v>4679</v>
      </c>
      <c r="X1010" t="s">
        <v>34</v>
      </c>
      <c r="Y1010" t="str">
        <f>"779042650"</f>
        <v>779042650</v>
      </c>
    </row>
    <row r="1011" spans="1:25" x14ac:dyDescent="0.25">
      <c r="A1011" t="s">
        <v>4680</v>
      </c>
      <c r="B1011" t="s">
        <v>4681</v>
      </c>
      <c r="C1011">
        <v>2019</v>
      </c>
      <c r="D1011">
        <v>8001</v>
      </c>
      <c r="E1011">
        <v>1</v>
      </c>
      <c r="F1011" t="s">
        <v>4682</v>
      </c>
      <c r="G1011">
        <v>28310316</v>
      </c>
      <c r="J1011">
        <v>12.53</v>
      </c>
      <c r="L1011">
        <v>43887137</v>
      </c>
      <c r="M1011" s="1">
        <v>43895</v>
      </c>
      <c r="N1011" t="str">
        <f>"CC200305"</f>
        <v>CC200305</v>
      </c>
      <c r="O1011" t="s">
        <v>28</v>
      </c>
      <c r="Q1011" t="s">
        <v>29</v>
      </c>
      <c r="R1011" t="s">
        <v>28</v>
      </c>
      <c r="S1011" t="s">
        <v>4683</v>
      </c>
      <c r="T1011" t="s">
        <v>4684</v>
      </c>
      <c r="W1011" t="s">
        <v>618</v>
      </c>
      <c r="X1011" t="s">
        <v>34</v>
      </c>
      <c r="Y1011" t="str">
        <f>"77461"</f>
        <v>77461</v>
      </c>
    </row>
    <row r="1012" spans="1:25" x14ac:dyDescent="0.25">
      <c r="A1012" t="s">
        <v>4685</v>
      </c>
      <c r="B1012" t="s">
        <v>4686</v>
      </c>
      <c r="C1012">
        <v>2019</v>
      </c>
      <c r="D1012">
        <v>8001</v>
      </c>
      <c r="E1012">
        <v>1</v>
      </c>
      <c r="F1012" t="s">
        <v>4687</v>
      </c>
      <c r="G1012">
        <v>28310317</v>
      </c>
      <c r="J1012">
        <v>9.08</v>
      </c>
      <c r="L1012">
        <v>43887138</v>
      </c>
      <c r="M1012" s="1">
        <v>43895</v>
      </c>
      <c r="N1012" t="str">
        <f>"CC200305"</f>
        <v>CC200305</v>
      </c>
      <c r="O1012" t="s">
        <v>28</v>
      </c>
      <c r="Q1012" t="s">
        <v>29</v>
      </c>
      <c r="R1012" t="s">
        <v>28</v>
      </c>
      <c r="S1012" t="s">
        <v>4683</v>
      </c>
      <c r="T1012" t="s">
        <v>4684</v>
      </c>
      <c r="W1012" t="s">
        <v>618</v>
      </c>
      <c r="X1012" t="s">
        <v>34</v>
      </c>
      <c r="Y1012" t="str">
        <f>"77461"</f>
        <v>77461</v>
      </c>
    </row>
    <row r="1013" spans="1:25" x14ac:dyDescent="0.25">
      <c r="A1013" t="s">
        <v>4688</v>
      </c>
      <c r="B1013" t="s">
        <v>4689</v>
      </c>
      <c r="C1013">
        <v>2020</v>
      </c>
      <c r="D1013">
        <v>8001</v>
      </c>
      <c r="E1013">
        <v>1</v>
      </c>
      <c r="F1013" t="s">
        <v>4690</v>
      </c>
      <c r="G1013">
        <v>0</v>
      </c>
      <c r="J1013">
        <v>51.65</v>
      </c>
      <c r="L1013">
        <v>46893713</v>
      </c>
      <c r="M1013" s="1">
        <v>44237</v>
      </c>
      <c r="N1013" t="str">
        <f>"J210210K2"</f>
        <v>J210210K2</v>
      </c>
      <c r="O1013" t="s">
        <v>28</v>
      </c>
      <c r="Q1013" t="s">
        <v>29</v>
      </c>
      <c r="R1013" t="s">
        <v>28</v>
      </c>
      <c r="S1013" t="s">
        <v>4690</v>
      </c>
      <c r="T1013" t="s">
        <v>4691</v>
      </c>
      <c r="U1013" t="s">
        <v>60</v>
      </c>
      <c r="V1013" t="s">
        <v>60</v>
      </c>
      <c r="W1013" t="s">
        <v>1333</v>
      </c>
      <c r="X1013" t="s">
        <v>34</v>
      </c>
      <c r="Y1013" t="str">
        <f>"774595770   "</f>
        <v xml:space="preserve">774595770   </v>
      </c>
    </row>
    <row r="1014" spans="1:25" x14ac:dyDescent="0.25">
      <c r="A1014" t="s">
        <v>4692</v>
      </c>
      <c r="B1014" t="s">
        <v>4693</v>
      </c>
      <c r="C1014">
        <v>2019</v>
      </c>
      <c r="D1014">
        <v>8001</v>
      </c>
      <c r="E1014">
        <v>1</v>
      </c>
      <c r="F1014" t="s">
        <v>4694</v>
      </c>
      <c r="G1014">
        <v>0</v>
      </c>
      <c r="J1014">
        <v>92.03</v>
      </c>
      <c r="L1014">
        <v>43885491</v>
      </c>
      <c r="M1014" s="1">
        <v>43895</v>
      </c>
      <c r="N1014" t="str">
        <f>"J200305K2"</f>
        <v>J200305K2</v>
      </c>
      <c r="O1014" t="s">
        <v>28</v>
      </c>
      <c r="Q1014" t="s">
        <v>29</v>
      </c>
      <c r="R1014" t="s">
        <v>28</v>
      </c>
      <c r="S1014" t="s">
        <v>4694</v>
      </c>
      <c r="T1014" t="s">
        <v>4695</v>
      </c>
      <c r="U1014" t="s">
        <v>60</v>
      </c>
      <c r="V1014" t="s">
        <v>60</v>
      </c>
      <c r="W1014" t="s">
        <v>1333</v>
      </c>
      <c r="X1014" t="s">
        <v>34</v>
      </c>
      <c r="Y1014" t="str">
        <f>"774594953   "</f>
        <v xml:space="preserve">774594953   </v>
      </c>
    </row>
    <row r="1015" spans="1:25" x14ac:dyDescent="0.25">
      <c r="A1015" t="s">
        <v>4696</v>
      </c>
      <c r="B1015" t="s">
        <v>4697</v>
      </c>
      <c r="C1015">
        <v>2019</v>
      </c>
      <c r="D1015">
        <v>8001</v>
      </c>
      <c r="E1015">
        <v>1</v>
      </c>
      <c r="F1015" t="s">
        <v>4698</v>
      </c>
      <c r="G1015">
        <v>27680872</v>
      </c>
      <c r="J1015">
        <v>397.57</v>
      </c>
      <c r="L1015">
        <v>42036958</v>
      </c>
      <c r="M1015" s="1">
        <v>43796</v>
      </c>
      <c r="N1015" t="str">
        <f>"J191127K7"</f>
        <v>J191127K7</v>
      </c>
      <c r="O1015" t="s">
        <v>28</v>
      </c>
      <c r="Q1015" t="s">
        <v>29</v>
      </c>
      <c r="R1015" t="s">
        <v>28</v>
      </c>
      <c r="S1015" t="s">
        <v>4699</v>
      </c>
      <c r="T1015" t="s">
        <v>4700</v>
      </c>
      <c r="U1015" t="s">
        <v>4701</v>
      </c>
      <c r="W1015" t="s">
        <v>75</v>
      </c>
      <c r="X1015" t="s">
        <v>34</v>
      </c>
      <c r="Y1015" t="str">
        <f>"770541374"</f>
        <v>770541374</v>
      </c>
    </row>
    <row r="1016" spans="1:25" x14ac:dyDescent="0.25">
      <c r="A1016" t="s">
        <v>4702</v>
      </c>
      <c r="B1016" t="s">
        <v>4703</v>
      </c>
      <c r="C1016">
        <v>2021</v>
      </c>
      <c r="D1016">
        <v>8001</v>
      </c>
      <c r="E1016">
        <v>1</v>
      </c>
      <c r="F1016" t="s">
        <v>4704</v>
      </c>
      <c r="G1016">
        <v>30361083</v>
      </c>
      <c r="J1016">
        <v>87.08</v>
      </c>
      <c r="L1016">
        <v>48703847</v>
      </c>
      <c r="M1016" s="1">
        <v>44558</v>
      </c>
      <c r="N1016" t="str">
        <f>"O211228BQ7"</f>
        <v>O211228BQ7</v>
      </c>
      <c r="O1016" t="s">
        <v>28</v>
      </c>
      <c r="Q1016" t="s">
        <v>29</v>
      </c>
      <c r="R1016" t="s">
        <v>28</v>
      </c>
      <c r="S1016" t="s">
        <v>4705</v>
      </c>
      <c r="T1016" t="s">
        <v>4706</v>
      </c>
      <c r="W1016" t="s">
        <v>392</v>
      </c>
      <c r="X1016" t="s">
        <v>34</v>
      </c>
      <c r="Y1016" t="str">
        <f>"774596783"</f>
        <v>774596783</v>
      </c>
    </row>
    <row r="1017" spans="1:25" x14ac:dyDescent="0.25">
      <c r="A1017" t="s">
        <v>4707</v>
      </c>
      <c r="B1017" t="s">
        <v>4708</v>
      </c>
      <c r="C1017">
        <v>2020</v>
      </c>
      <c r="D1017">
        <v>8001</v>
      </c>
      <c r="E1017">
        <v>1</v>
      </c>
      <c r="F1017" t="s">
        <v>4709</v>
      </c>
      <c r="G1017">
        <v>29461604</v>
      </c>
      <c r="J1017">
        <v>306.33</v>
      </c>
      <c r="L1017">
        <v>46728604</v>
      </c>
      <c r="M1017" s="1">
        <v>44230</v>
      </c>
      <c r="N1017" t="str">
        <f>"EK210203"</f>
        <v>EK210203</v>
      </c>
      <c r="O1017" t="s">
        <v>28</v>
      </c>
      <c r="Q1017" t="s">
        <v>29</v>
      </c>
      <c r="R1017" t="s">
        <v>28</v>
      </c>
      <c r="S1017" t="s">
        <v>4710</v>
      </c>
      <c r="T1017" t="s">
        <v>4711</v>
      </c>
      <c r="W1017" t="s">
        <v>4712</v>
      </c>
      <c r="X1017" t="s">
        <v>34</v>
      </c>
      <c r="Y1017" t="str">
        <f>"77879"</f>
        <v>77879</v>
      </c>
    </row>
    <row r="1018" spans="1:25" x14ac:dyDescent="0.25">
      <c r="A1018" t="s">
        <v>4713</v>
      </c>
      <c r="B1018" t="s">
        <v>4714</v>
      </c>
      <c r="C1018">
        <v>2020</v>
      </c>
      <c r="D1018">
        <v>8001</v>
      </c>
      <c r="E1018">
        <v>4</v>
      </c>
      <c r="F1018" t="s">
        <v>4715</v>
      </c>
      <c r="G1018">
        <v>0</v>
      </c>
      <c r="J1018">
        <v>7.81</v>
      </c>
      <c r="L1018">
        <v>47727308</v>
      </c>
      <c r="M1018" s="1">
        <v>44440</v>
      </c>
      <c r="N1018" t="str">
        <f>"J210901BW1"</f>
        <v>J210901BW1</v>
      </c>
      <c r="O1018" t="s">
        <v>28</v>
      </c>
      <c r="Q1018" t="s">
        <v>29</v>
      </c>
      <c r="R1018" t="s">
        <v>28</v>
      </c>
      <c r="S1018" t="s">
        <v>4715</v>
      </c>
      <c r="T1018" t="s">
        <v>4716</v>
      </c>
      <c r="U1018" t="s">
        <v>60</v>
      </c>
      <c r="V1018" t="s">
        <v>60</v>
      </c>
      <c r="W1018" t="s">
        <v>219</v>
      </c>
      <c r="X1018" t="s">
        <v>34</v>
      </c>
      <c r="Y1018" t="str">
        <f>"774791946   "</f>
        <v xml:space="preserve">774791946   </v>
      </c>
    </row>
    <row r="1019" spans="1:25" x14ac:dyDescent="0.25">
      <c r="A1019" t="s">
        <v>4717</v>
      </c>
      <c r="B1019" t="s">
        <v>4718</v>
      </c>
      <c r="C1019">
        <v>2020</v>
      </c>
      <c r="D1019">
        <v>8001</v>
      </c>
      <c r="E1019">
        <v>39</v>
      </c>
      <c r="F1019" t="s">
        <v>4719</v>
      </c>
      <c r="G1019">
        <v>0</v>
      </c>
      <c r="J1019">
        <v>272.02</v>
      </c>
      <c r="L1019">
        <v>41005384</v>
      </c>
      <c r="M1019" s="1">
        <v>44147</v>
      </c>
      <c r="N1019" t="str">
        <f t="shared" ref="N1019:N1026" si="0">"TE201112"</f>
        <v>TE201112</v>
      </c>
      <c r="O1019" t="s">
        <v>28</v>
      </c>
      <c r="Q1019" t="s">
        <v>29</v>
      </c>
      <c r="R1019" t="s">
        <v>28</v>
      </c>
      <c r="S1019" t="s">
        <v>4720</v>
      </c>
      <c r="T1019" t="s">
        <v>4721</v>
      </c>
      <c r="U1019" t="s">
        <v>60</v>
      </c>
      <c r="V1019" t="s">
        <v>60</v>
      </c>
      <c r="W1019" t="s">
        <v>219</v>
      </c>
      <c r="X1019" t="s">
        <v>34</v>
      </c>
      <c r="Y1019" t="str">
        <f t="shared" ref="Y1019:Y1024" si="1">"774791825   "</f>
        <v xml:space="preserve">774791825   </v>
      </c>
    </row>
    <row r="1020" spans="1:25" x14ac:dyDescent="0.25">
      <c r="A1020" t="s">
        <v>4717</v>
      </c>
      <c r="B1020" t="s">
        <v>4718</v>
      </c>
      <c r="C1020">
        <v>2020</v>
      </c>
      <c r="D1020">
        <v>8001</v>
      </c>
      <c r="E1020">
        <v>39</v>
      </c>
      <c r="F1020" t="s">
        <v>4719</v>
      </c>
      <c r="G1020">
        <v>0</v>
      </c>
      <c r="J1020">
        <v>300</v>
      </c>
      <c r="L1020">
        <v>41152838</v>
      </c>
      <c r="M1020" s="1">
        <v>44147</v>
      </c>
      <c r="N1020" t="str">
        <f t="shared" si="0"/>
        <v>TE201112</v>
      </c>
      <c r="O1020" t="s">
        <v>28</v>
      </c>
      <c r="Q1020" t="s">
        <v>29</v>
      </c>
      <c r="R1020" t="s">
        <v>28</v>
      </c>
      <c r="S1020" t="s">
        <v>4720</v>
      </c>
      <c r="T1020" t="s">
        <v>4721</v>
      </c>
      <c r="U1020" t="s">
        <v>60</v>
      </c>
      <c r="V1020" t="s">
        <v>60</v>
      </c>
      <c r="W1020" t="s">
        <v>219</v>
      </c>
      <c r="X1020" t="s">
        <v>34</v>
      </c>
      <c r="Y1020" t="str">
        <f t="shared" si="1"/>
        <v xml:space="preserve">774791825   </v>
      </c>
    </row>
    <row r="1021" spans="1:25" x14ac:dyDescent="0.25">
      <c r="A1021" t="s">
        <v>4717</v>
      </c>
      <c r="B1021" t="s">
        <v>4718</v>
      </c>
      <c r="C1021">
        <v>2020</v>
      </c>
      <c r="D1021">
        <v>8001</v>
      </c>
      <c r="E1021">
        <v>39</v>
      </c>
      <c r="F1021" t="s">
        <v>4719</v>
      </c>
      <c r="G1021">
        <v>0</v>
      </c>
      <c r="J1021">
        <v>300</v>
      </c>
      <c r="L1021">
        <v>41275026</v>
      </c>
      <c r="M1021" s="1">
        <v>44147</v>
      </c>
      <c r="N1021" t="str">
        <f t="shared" si="0"/>
        <v>TE201112</v>
      </c>
      <c r="O1021" t="s">
        <v>28</v>
      </c>
      <c r="Q1021" t="s">
        <v>29</v>
      </c>
      <c r="R1021" t="s">
        <v>28</v>
      </c>
      <c r="S1021" t="s">
        <v>4720</v>
      </c>
      <c r="T1021" t="s">
        <v>4721</v>
      </c>
      <c r="U1021" t="s">
        <v>60</v>
      </c>
      <c r="V1021" t="s">
        <v>60</v>
      </c>
      <c r="W1021" t="s">
        <v>219</v>
      </c>
      <c r="X1021" t="s">
        <v>34</v>
      </c>
      <c r="Y1021" t="str">
        <f t="shared" si="1"/>
        <v xml:space="preserve">774791825   </v>
      </c>
    </row>
    <row r="1022" spans="1:25" x14ac:dyDescent="0.25">
      <c r="A1022" t="s">
        <v>4717</v>
      </c>
      <c r="B1022" t="s">
        <v>4718</v>
      </c>
      <c r="C1022">
        <v>2020</v>
      </c>
      <c r="D1022">
        <v>8001</v>
      </c>
      <c r="E1022">
        <v>39</v>
      </c>
      <c r="F1022" t="s">
        <v>4719</v>
      </c>
      <c r="G1022">
        <v>0</v>
      </c>
      <c r="J1022">
        <v>300</v>
      </c>
      <c r="L1022">
        <v>43531587</v>
      </c>
      <c r="M1022" s="1">
        <v>44147</v>
      </c>
      <c r="N1022" t="str">
        <f t="shared" si="0"/>
        <v>TE201112</v>
      </c>
      <c r="O1022" t="s">
        <v>28</v>
      </c>
      <c r="Q1022" t="s">
        <v>29</v>
      </c>
      <c r="R1022" t="s">
        <v>28</v>
      </c>
      <c r="S1022" t="s">
        <v>4720</v>
      </c>
      <c r="T1022" t="s">
        <v>4721</v>
      </c>
      <c r="U1022" t="s">
        <v>60</v>
      </c>
      <c r="V1022" t="s">
        <v>60</v>
      </c>
      <c r="W1022" t="s">
        <v>219</v>
      </c>
      <c r="X1022" t="s">
        <v>34</v>
      </c>
      <c r="Y1022" t="str">
        <f t="shared" si="1"/>
        <v xml:space="preserve">774791825   </v>
      </c>
    </row>
    <row r="1023" spans="1:25" x14ac:dyDescent="0.25">
      <c r="A1023" t="s">
        <v>4717</v>
      </c>
      <c r="B1023" t="s">
        <v>4718</v>
      </c>
      <c r="C1023">
        <v>2020</v>
      </c>
      <c r="D1023">
        <v>8001</v>
      </c>
      <c r="E1023">
        <v>39</v>
      </c>
      <c r="F1023" t="s">
        <v>4719</v>
      </c>
      <c r="G1023">
        <v>0</v>
      </c>
      <c r="J1023">
        <v>300</v>
      </c>
      <c r="L1023">
        <v>43824876</v>
      </c>
      <c r="M1023" s="1">
        <v>44147</v>
      </c>
      <c r="N1023" t="str">
        <f t="shared" si="0"/>
        <v>TE201112</v>
      </c>
      <c r="O1023" t="s">
        <v>28</v>
      </c>
      <c r="Q1023" t="s">
        <v>29</v>
      </c>
      <c r="R1023" t="s">
        <v>28</v>
      </c>
      <c r="S1023" t="s">
        <v>4720</v>
      </c>
      <c r="T1023" t="s">
        <v>4721</v>
      </c>
      <c r="U1023" t="s">
        <v>60</v>
      </c>
      <c r="V1023" t="s">
        <v>60</v>
      </c>
      <c r="W1023" t="s">
        <v>219</v>
      </c>
      <c r="X1023" t="s">
        <v>34</v>
      </c>
      <c r="Y1023" t="str">
        <f t="shared" si="1"/>
        <v xml:space="preserve">774791825   </v>
      </c>
    </row>
    <row r="1024" spans="1:25" x14ac:dyDescent="0.25">
      <c r="A1024" t="s">
        <v>4717</v>
      </c>
      <c r="B1024" t="s">
        <v>4718</v>
      </c>
      <c r="C1024">
        <v>2020</v>
      </c>
      <c r="D1024">
        <v>8001</v>
      </c>
      <c r="E1024">
        <v>39</v>
      </c>
      <c r="F1024" t="s">
        <v>4719</v>
      </c>
      <c r="G1024">
        <v>0</v>
      </c>
      <c r="J1024">
        <v>300</v>
      </c>
      <c r="L1024">
        <v>44026822</v>
      </c>
      <c r="M1024" s="1">
        <v>44147</v>
      </c>
      <c r="N1024" t="str">
        <f t="shared" si="0"/>
        <v>TE201112</v>
      </c>
      <c r="O1024" t="s">
        <v>28</v>
      </c>
      <c r="Q1024" t="s">
        <v>29</v>
      </c>
      <c r="R1024" t="s">
        <v>28</v>
      </c>
      <c r="S1024" t="s">
        <v>4720</v>
      </c>
      <c r="T1024" t="s">
        <v>4721</v>
      </c>
      <c r="U1024" t="s">
        <v>60</v>
      </c>
      <c r="V1024" t="s">
        <v>60</v>
      </c>
      <c r="W1024" t="s">
        <v>219</v>
      </c>
      <c r="X1024" t="s">
        <v>34</v>
      </c>
      <c r="Y1024" t="str">
        <f t="shared" si="1"/>
        <v xml:space="preserve">774791825   </v>
      </c>
    </row>
    <row r="1025" spans="1:25" x14ac:dyDescent="0.25">
      <c r="A1025" t="s">
        <v>4717</v>
      </c>
      <c r="B1025" t="s">
        <v>4718</v>
      </c>
      <c r="C1025">
        <v>2020</v>
      </c>
      <c r="D1025">
        <v>8001</v>
      </c>
      <c r="E1025">
        <v>39</v>
      </c>
      <c r="F1025" t="s">
        <v>4719</v>
      </c>
      <c r="G1025">
        <v>25473495</v>
      </c>
      <c r="J1025">
        <v>300</v>
      </c>
      <c r="L1025">
        <v>44119654</v>
      </c>
      <c r="M1025" s="1">
        <v>44147</v>
      </c>
      <c r="N1025" t="str">
        <f t="shared" si="0"/>
        <v>TE201112</v>
      </c>
      <c r="O1025" t="s">
        <v>28</v>
      </c>
      <c r="Q1025" t="s">
        <v>29</v>
      </c>
      <c r="R1025" t="s">
        <v>28</v>
      </c>
      <c r="S1025" t="s">
        <v>4722</v>
      </c>
      <c r="T1025" t="s">
        <v>4723</v>
      </c>
      <c r="U1025" t="s">
        <v>4724</v>
      </c>
      <c r="W1025" t="s">
        <v>40</v>
      </c>
      <c r="X1025" t="s">
        <v>34</v>
      </c>
      <c r="Y1025" t="str">
        <f>"774791825"</f>
        <v>774791825</v>
      </c>
    </row>
    <row r="1026" spans="1:25" x14ac:dyDescent="0.25">
      <c r="A1026" t="s">
        <v>4717</v>
      </c>
      <c r="B1026" t="s">
        <v>4718</v>
      </c>
      <c r="C1026">
        <v>2020</v>
      </c>
      <c r="D1026">
        <v>8001</v>
      </c>
      <c r="E1026">
        <v>39</v>
      </c>
      <c r="F1026" t="s">
        <v>4719</v>
      </c>
      <c r="G1026">
        <v>0</v>
      </c>
      <c r="J1026">
        <v>300</v>
      </c>
      <c r="L1026">
        <v>44219925</v>
      </c>
      <c r="M1026" s="1">
        <v>44147</v>
      </c>
      <c r="N1026" t="str">
        <f t="shared" si="0"/>
        <v>TE201112</v>
      </c>
      <c r="O1026" t="s">
        <v>28</v>
      </c>
      <c r="Q1026" t="s">
        <v>29</v>
      </c>
      <c r="R1026" t="s">
        <v>28</v>
      </c>
      <c r="S1026" t="s">
        <v>4720</v>
      </c>
      <c r="T1026" t="s">
        <v>4721</v>
      </c>
      <c r="U1026" t="s">
        <v>60</v>
      </c>
      <c r="V1026" t="s">
        <v>60</v>
      </c>
      <c r="W1026" t="s">
        <v>219</v>
      </c>
      <c r="X1026" t="s">
        <v>34</v>
      </c>
      <c r="Y1026" t="str">
        <f>"774791825   "</f>
        <v xml:space="preserve">774791825   </v>
      </c>
    </row>
    <row r="1027" spans="1:25" x14ac:dyDescent="0.25">
      <c r="A1027" t="s">
        <v>4725</v>
      </c>
      <c r="B1027" t="s">
        <v>4726</v>
      </c>
      <c r="C1027">
        <v>2020</v>
      </c>
      <c r="D1027">
        <v>8001</v>
      </c>
      <c r="E1027">
        <v>15</v>
      </c>
      <c r="F1027" t="s">
        <v>4727</v>
      </c>
      <c r="G1027">
        <v>0</v>
      </c>
      <c r="J1027">
        <v>419.17</v>
      </c>
      <c r="L1027">
        <v>47173383</v>
      </c>
      <c r="M1027" s="1">
        <v>44280</v>
      </c>
      <c r="N1027" t="str">
        <f>"EL210325"</f>
        <v>EL210325</v>
      </c>
      <c r="O1027" t="s">
        <v>28</v>
      </c>
      <c r="Q1027" t="s">
        <v>29</v>
      </c>
      <c r="R1027" t="s">
        <v>28</v>
      </c>
      <c r="S1027" t="s">
        <v>4727</v>
      </c>
      <c r="T1027" t="s">
        <v>4728</v>
      </c>
      <c r="U1027" t="s">
        <v>60</v>
      </c>
      <c r="V1027" t="s">
        <v>60</v>
      </c>
      <c r="W1027" t="s">
        <v>219</v>
      </c>
      <c r="X1027" t="s">
        <v>34</v>
      </c>
      <c r="Y1027" t="str">
        <f>"774791867   "</f>
        <v xml:space="preserve">774791867   </v>
      </c>
    </row>
    <row r="1028" spans="1:25" x14ac:dyDescent="0.25">
      <c r="A1028" t="s">
        <v>4729</v>
      </c>
      <c r="B1028" t="s">
        <v>4730</v>
      </c>
      <c r="C1028">
        <v>2020</v>
      </c>
      <c r="D1028">
        <v>8001</v>
      </c>
      <c r="E1028">
        <v>1</v>
      </c>
      <c r="F1028" t="s">
        <v>4731</v>
      </c>
      <c r="G1028">
        <v>30087223</v>
      </c>
      <c r="J1028">
        <v>74.23</v>
      </c>
      <c r="L1028">
        <v>47955640</v>
      </c>
      <c r="M1028" s="1">
        <v>44503</v>
      </c>
      <c r="N1028" t="str">
        <f>"EK211103"</f>
        <v>EK211103</v>
      </c>
      <c r="O1028" t="s">
        <v>28</v>
      </c>
      <c r="Q1028" t="s">
        <v>29</v>
      </c>
      <c r="R1028" t="s">
        <v>28</v>
      </c>
      <c r="S1028" t="s">
        <v>4732</v>
      </c>
      <c r="T1028" t="s">
        <v>4733</v>
      </c>
      <c r="W1028" t="s">
        <v>40</v>
      </c>
      <c r="X1028" t="s">
        <v>34</v>
      </c>
      <c r="Y1028" t="str">
        <f>"77478"</f>
        <v>77478</v>
      </c>
    </row>
    <row r="1029" spans="1:25" x14ac:dyDescent="0.25">
      <c r="A1029" t="s">
        <v>4734</v>
      </c>
      <c r="B1029" t="s">
        <v>4735</v>
      </c>
      <c r="C1029">
        <v>2020</v>
      </c>
      <c r="D1029">
        <v>8001</v>
      </c>
      <c r="E1029">
        <v>1</v>
      </c>
      <c r="F1029" t="s">
        <v>4736</v>
      </c>
      <c r="G1029">
        <v>29461937</v>
      </c>
      <c r="J1029">
        <v>411.44</v>
      </c>
      <c r="L1029">
        <v>46728937</v>
      </c>
      <c r="M1029" s="1">
        <v>44230</v>
      </c>
      <c r="N1029" t="str">
        <f>"EK210203"</f>
        <v>EK210203</v>
      </c>
      <c r="O1029" t="s">
        <v>28</v>
      </c>
      <c r="Q1029" t="s">
        <v>29</v>
      </c>
      <c r="R1029" t="s">
        <v>28</v>
      </c>
      <c r="S1029" t="s">
        <v>4737</v>
      </c>
      <c r="T1029" t="s">
        <v>4738</v>
      </c>
      <c r="W1029" t="s">
        <v>392</v>
      </c>
      <c r="X1029" t="s">
        <v>34</v>
      </c>
      <c r="Y1029" t="str">
        <f>"77459"</f>
        <v>77459</v>
      </c>
    </row>
    <row r="1030" spans="1:25" x14ac:dyDescent="0.25">
      <c r="A1030" t="s">
        <v>4739</v>
      </c>
      <c r="B1030" t="s">
        <v>4740</v>
      </c>
      <c r="C1030">
        <v>2020</v>
      </c>
      <c r="D1030">
        <v>8001</v>
      </c>
      <c r="E1030">
        <v>1</v>
      </c>
      <c r="F1030" t="s">
        <v>4741</v>
      </c>
      <c r="G1030">
        <v>28858633</v>
      </c>
      <c r="J1030">
        <v>602.17999999999995</v>
      </c>
      <c r="L1030">
        <v>45073243</v>
      </c>
      <c r="M1030" s="1">
        <v>44168</v>
      </c>
      <c r="N1030" t="str">
        <f>"RC201217"</f>
        <v>RC201217</v>
      </c>
      <c r="O1030" t="s">
        <v>28</v>
      </c>
      <c r="Q1030" t="s">
        <v>29</v>
      </c>
      <c r="R1030" t="s">
        <v>28</v>
      </c>
      <c r="S1030" t="s">
        <v>1941</v>
      </c>
      <c r="T1030" t="s">
        <v>1942</v>
      </c>
      <c r="U1030" t="s">
        <v>4742</v>
      </c>
      <c r="W1030" t="s">
        <v>4743</v>
      </c>
      <c r="X1030" t="s">
        <v>34</v>
      </c>
      <c r="Y1030" t="str">
        <f>"750194786"</f>
        <v>750194786</v>
      </c>
    </row>
    <row r="1031" spans="1:25" x14ac:dyDescent="0.25">
      <c r="A1031" t="s">
        <v>4744</v>
      </c>
      <c r="B1031" t="s">
        <v>4745</v>
      </c>
      <c r="C1031">
        <v>2021</v>
      </c>
      <c r="D1031">
        <v>8001</v>
      </c>
      <c r="E1031">
        <v>2</v>
      </c>
      <c r="F1031" t="s">
        <v>4746</v>
      </c>
      <c r="G1031">
        <v>27217365</v>
      </c>
      <c r="J1031">
        <v>12.48</v>
      </c>
      <c r="L1031">
        <v>50019859</v>
      </c>
      <c r="M1031" s="1">
        <v>44596</v>
      </c>
      <c r="N1031" t="str">
        <f>"O220204I1"</f>
        <v>O220204I1</v>
      </c>
      <c r="O1031" t="s">
        <v>28</v>
      </c>
      <c r="Q1031" t="s">
        <v>29</v>
      </c>
      <c r="R1031" t="s">
        <v>28</v>
      </c>
      <c r="S1031" t="s">
        <v>4747</v>
      </c>
      <c r="T1031" t="s">
        <v>4748</v>
      </c>
      <c r="W1031" t="s">
        <v>2938</v>
      </c>
      <c r="X1031" t="s">
        <v>317</v>
      </c>
      <c r="Y1031" t="str">
        <f>"928065951"</f>
        <v>928065951</v>
      </c>
    </row>
    <row r="1032" spans="1:25" x14ac:dyDescent="0.25">
      <c r="A1032" t="s">
        <v>4754</v>
      </c>
      <c r="B1032" t="s">
        <v>4755</v>
      </c>
      <c r="C1032">
        <v>2020</v>
      </c>
      <c r="D1032">
        <v>8001</v>
      </c>
      <c r="E1032">
        <v>1</v>
      </c>
      <c r="F1032" t="s">
        <v>4756</v>
      </c>
      <c r="G1032">
        <v>29576648</v>
      </c>
      <c r="J1032" s="2">
        <v>2216.64</v>
      </c>
      <c r="L1032">
        <v>46685990</v>
      </c>
      <c r="M1032" s="1">
        <v>44229</v>
      </c>
      <c r="N1032" t="str">
        <f>"RC210301"</f>
        <v>RC210301</v>
      </c>
      <c r="O1032" t="s">
        <v>28</v>
      </c>
      <c r="Q1032" t="s">
        <v>29</v>
      </c>
      <c r="R1032" t="s">
        <v>28</v>
      </c>
      <c r="S1032" t="s">
        <v>1393</v>
      </c>
      <c r="T1032" t="s">
        <v>1394</v>
      </c>
      <c r="W1032" t="s">
        <v>1075</v>
      </c>
      <c r="X1032" t="s">
        <v>34</v>
      </c>
      <c r="Y1032" t="str">
        <f>"76177"</f>
        <v>76177</v>
      </c>
    </row>
    <row r="1033" spans="1:25" x14ac:dyDescent="0.25">
      <c r="A1033" t="s">
        <v>4757</v>
      </c>
      <c r="B1033" t="s">
        <v>4758</v>
      </c>
      <c r="C1033">
        <v>2021</v>
      </c>
      <c r="D1033">
        <v>8001</v>
      </c>
      <c r="E1033">
        <v>1</v>
      </c>
      <c r="F1033" t="s">
        <v>4759</v>
      </c>
      <c r="G1033">
        <v>30240764</v>
      </c>
      <c r="J1033" s="2">
        <v>1296.0899999999999</v>
      </c>
      <c r="L1033">
        <v>48228651</v>
      </c>
      <c r="M1033" s="1">
        <v>44530</v>
      </c>
      <c r="N1033" t="str">
        <f>"RC211222"</f>
        <v>RC211222</v>
      </c>
      <c r="O1033" t="s">
        <v>28</v>
      </c>
      <c r="Q1033" t="s">
        <v>29</v>
      </c>
      <c r="R1033" t="s">
        <v>28</v>
      </c>
      <c r="S1033" t="s">
        <v>4760</v>
      </c>
      <c r="T1033" t="s">
        <v>203</v>
      </c>
      <c r="U1033" t="s">
        <v>4761</v>
      </c>
      <c r="W1033" t="s">
        <v>4762</v>
      </c>
      <c r="X1033" t="s">
        <v>34</v>
      </c>
      <c r="Y1033" t="str">
        <f>"75001"</f>
        <v>75001</v>
      </c>
    </row>
    <row r="1034" spans="1:25" x14ac:dyDescent="0.25">
      <c r="A1034" t="s">
        <v>4763</v>
      </c>
      <c r="B1034" t="s">
        <v>4764</v>
      </c>
      <c r="C1034">
        <v>2020</v>
      </c>
      <c r="D1034">
        <v>8001</v>
      </c>
      <c r="E1034">
        <v>1</v>
      </c>
      <c r="F1034" t="s">
        <v>4765</v>
      </c>
      <c r="G1034">
        <v>29604578</v>
      </c>
      <c r="J1034">
        <v>20.29</v>
      </c>
      <c r="L1034">
        <v>47034760</v>
      </c>
      <c r="M1034" s="1">
        <v>44259</v>
      </c>
      <c r="N1034" t="str">
        <f>"CC210304"</f>
        <v>CC210304</v>
      </c>
      <c r="O1034" t="s">
        <v>28</v>
      </c>
      <c r="Q1034" t="s">
        <v>29</v>
      </c>
      <c r="R1034" t="s">
        <v>28</v>
      </c>
      <c r="S1034" t="s">
        <v>3907</v>
      </c>
      <c r="T1034" t="s">
        <v>3908</v>
      </c>
      <c r="W1034" t="s">
        <v>107</v>
      </c>
      <c r="X1034" t="s">
        <v>34</v>
      </c>
      <c r="Y1034" t="str">
        <f>"77494"</f>
        <v>77494</v>
      </c>
    </row>
    <row r="1035" spans="1:25" x14ac:dyDescent="0.25">
      <c r="A1035" t="s">
        <v>4766</v>
      </c>
      <c r="B1035" t="s">
        <v>4767</v>
      </c>
      <c r="C1035">
        <v>2020</v>
      </c>
      <c r="D1035">
        <v>8001</v>
      </c>
      <c r="E1035">
        <v>1</v>
      </c>
      <c r="F1035" t="s">
        <v>4765</v>
      </c>
      <c r="G1035">
        <v>29604579</v>
      </c>
      <c r="J1035">
        <v>11.66</v>
      </c>
      <c r="L1035">
        <v>47034761</v>
      </c>
      <c r="M1035" s="1">
        <v>44259</v>
      </c>
      <c r="N1035" t="str">
        <f>"CC210304"</f>
        <v>CC210304</v>
      </c>
      <c r="O1035" t="s">
        <v>28</v>
      </c>
      <c r="Q1035" t="s">
        <v>29</v>
      </c>
      <c r="R1035" t="s">
        <v>28</v>
      </c>
      <c r="S1035" t="s">
        <v>3907</v>
      </c>
      <c r="T1035" t="s">
        <v>3908</v>
      </c>
      <c r="W1035" t="s">
        <v>107</v>
      </c>
      <c r="X1035" t="s">
        <v>34</v>
      </c>
      <c r="Y1035" t="str">
        <f>"77494"</f>
        <v>77494</v>
      </c>
    </row>
    <row r="1036" spans="1:25" x14ac:dyDescent="0.25">
      <c r="A1036" t="s">
        <v>4768</v>
      </c>
      <c r="B1036" t="s">
        <v>4769</v>
      </c>
      <c r="C1036">
        <v>2020</v>
      </c>
      <c r="D1036">
        <v>8001</v>
      </c>
      <c r="E1036">
        <v>1</v>
      </c>
      <c r="F1036" t="s">
        <v>4770</v>
      </c>
      <c r="G1036">
        <v>29596094</v>
      </c>
      <c r="J1036">
        <v>239.14</v>
      </c>
      <c r="L1036">
        <v>47018863</v>
      </c>
      <c r="M1036" s="1">
        <v>44258</v>
      </c>
      <c r="N1036" t="str">
        <f>"EK210303"</f>
        <v>EK210303</v>
      </c>
      <c r="O1036" t="s">
        <v>28</v>
      </c>
      <c r="Q1036" t="s">
        <v>29</v>
      </c>
      <c r="R1036" t="s">
        <v>28</v>
      </c>
      <c r="S1036" t="s">
        <v>4771</v>
      </c>
      <c r="T1036" t="s">
        <v>4772</v>
      </c>
      <c r="W1036" t="s">
        <v>107</v>
      </c>
      <c r="X1036" t="s">
        <v>34</v>
      </c>
      <c r="Y1036" t="str">
        <f>"77494"</f>
        <v>77494</v>
      </c>
    </row>
    <row r="1037" spans="1:25" x14ac:dyDescent="0.25">
      <c r="A1037" t="s">
        <v>4773</v>
      </c>
      <c r="B1037" t="s">
        <v>4774</v>
      </c>
      <c r="C1037">
        <v>2021</v>
      </c>
      <c r="D1037">
        <v>8001</v>
      </c>
      <c r="E1037">
        <v>1</v>
      </c>
      <c r="F1037" t="s">
        <v>4775</v>
      </c>
      <c r="G1037">
        <v>26419208</v>
      </c>
      <c r="J1037">
        <v>509.84</v>
      </c>
      <c r="L1037">
        <v>48228658</v>
      </c>
      <c r="M1037" s="1">
        <v>44530</v>
      </c>
      <c r="N1037" t="str">
        <f>"RC211222"</f>
        <v>RC211222</v>
      </c>
      <c r="O1037" t="s">
        <v>28</v>
      </c>
      <c r="Q1037" t="s">
        <v>29</v>
      </c>
      <c r="R1037" t="s">
        <v>28</v>
      </c>
      <c r="S1037" t="s">
        <v>1073</v>
      </c>
      <c r="T1037" t="s">
        <v>1074</v>
      </c>
      <c r="W1037" t="s">
        <v>1075</v>
      </c>
      <c r="X1037" t="s">
        <v>34</v>
      </c>
      <c r="Y1037" t="str">
        <f>"76177"</f>
        <v>76177</v>
      </c>
    </row>
    <row r="1038" spans="1:25" x14ac:dyDescent="0.25">
      <c r="A1038" t="s">
        <v>4776</v>
      </c>
      <c r="B1038" t="s">
        <v>4777</v>
      </c>
      <c r="C1038">
        <v>2021</v>
      </c>
      <c r="D1038">
        <v>8001</v>
      </c>
      <c r="E1038">
        <v>1</v>
      </c>
      <c r="F1038" t="s">
        <v>4778</v>
      </c>
      <c r="G1038">
        <v>0</v>
      </c>
      <c r="J1038">
        <v>470.07</v>
      </c>
      <c r="L1038">
        <v>49657058</v>
      </c>
      <c r="M1038" s="1">
        <v>44589</v>
      </c>
      <c r="N1038" t="str">
        <f>"L220128"</f>
        <v>L220128</v>
      </c>
      <c r="O1038" t="s">
        <v>28</v>
      </c>
      <c r="Q1038" t="s">
        <v>29</v>
      </c>
      <c r="R1038" t="s">
        <v>28</v>
      </c>
      <c r="S1038" t="s">
        <v>4778</v>
      </c>
      <c r="T1038" t="s">
        <v>4779</v>
      </c>
      <c r="U1038" t="s">
        <v>60</v>
      </c>
      <c r="V1038" t="s">
        <v>60</v>
      </c>
      <c r="W1038" t="s">
        <v>1137</v>
      </c>
      <c r="X1038" t="s">
        <v>34</v>
      </c>
      <c r="Y1038" t="str">
        <f>"774940616   "</f>
        <v xml:space="preserve">774940616   </v>
      </c>
    </row>
    <row r="1039" spans="1:25" x14ac:dyDescent="0.25">
      <c r="A1039" t="s">
        <v>4780</v>
      </c>
      <c r="B1039" t="s">
        <v>4781</v>
      </c>
      <c r="C1039">
        <v>2020</v>
      </c>
      <c r="D1039">
        <v>8001</v>
      </c>
      <c r="E1039">
        <v>1</v>
      </c>
      <c r="F1039" t="s">
        <v>4782</v>
      </c>
      <c r="G1039">
        <v>0</v>
      </c>
      <c r="J1039">
        <v>426.83</v>
      </c>
      <c r="L1039">
        <v>44988549</v>
      </c>
      <c r="M1039" s="1">
        <v>44160</v>
      </c>
      <c r="N1039" t="str">
        <f>"J201125AE2"</f>
        <v>J201125AE2</v>
      </c>
      <c r="O1039" t="s">
        <v>28</v>
      </c>
      <c r="Q1039" t="s">
        <v>29</v>
      </c>
      <c r="R1039" t="s">
        <v>28</v>
      </c>
      <c r="S1039" t="s">
        <v>4782</v>
      </c>
      <c r="T1039" t="s">
        <v>4783</v>
      </c>
      <c r="U1039" t="s">
        <v>60</v>
      </c>
      <c r="V1039" t="s">
        <v>60</v>
      </c>
      <c r="W1039" t="s">
        <v>1137</v>
      </c>
      <c r="X1039" t="s">
        <v>34</v>
      </c>
      <c r="Y1039" t="str">
        <f>"774946673   "</f>
        <v xml:space="preserve">774946673   </v>
      </c>
    </row>
    <row r="1040" spans="1:25" x14ac:dyDescent="0.25">
      <c r="A1040" t="s">
        <v>4784</v>
      </c>
      <c r="B1040" t="s">
        <v>4785</v>
      </c>
      <c r="C1040">
        <v>2021</v>
      </c>
      <c r="D1040">
        <v>8001</v>
      </c>
      <c r="E1040">
        <v>1</v>
      </c>
      <c r="F1040" t="s">
        <v>4786</v>
      </c>
      <c r="G1040">
        <v>0</v>
      </c>
      <c r="J1040">
        <v>8.4</v>
      </c>
      <c r="L1040">
        <v>49498624</v>
      </c>
      <c r="M1040" s="1">
        <v>44586</v>
      </c>
      <c r="N1040" t="str">
        <f>"J220125BW6"</f>
        <v>J220125BW6</v>
      </c>
      <c r="O1040" t="s">
        <v>28</v>
      </c>
      <c r="Q1040" t="s">
        <v>29</v>
      </c>
      <c r="R1040" t="s">
        <v>28</v>
      </c>
      <c r="S1040" t="s">
        <v>4786</v>
      </c>
      <c r="T1040" t="s">
        <v>4787</v>
      </c>
      <c r="U1040" t="s">
        <v>60</v>
      </c>
      <c r="V1040" t="s">
        <v>60</v>
      </c>
      <c r="W1040" t="s">
        <v>214</v>
      </c>
      <c r="X1040" t="s">
        <v>34</v>
      </c>
      <c r="Y1040" t="str">
        <f>"774060424   "</f>
        <v xml:space="preserve">774060424   </v>
      </c>
    </row>
    <row r="1041" spans="1:25" x14ac:dyDescent="0.25">
      <c r="A1041" t="s">
        <v>4788</v>
      </c>
      <c r="B1041" t="s">
        <v>4789</v>
      </c>
      <c r="C1041">
        <v>2020</v>
      </c>
      <c r="D1041">
        <v>8001</v>
      </c>
      <c r="E1041">
        <v>2</v>
      </c>
      <c r="F1041" t="s">
        <v>4790</v>
      </c>
      <c r="G1041">
        <v>29596086</v>
      </c>
      <c r="J1041">
        <v>8.48</v>
      </c>
      <c r="L1041">
        <v>47018855</v>
      </c>
      <c r="M1041" s="1">
        <v>44258</v>
      </c>
      <c r="N1041" t="str">
        <f>"EK210303"</f>
        <v>EK210303</v>
      </c>
      <c r="O1041" t="s">
        <v>28</v>
      </c>
      <c r="Q1041" t="s">
        <v>29</v>
      </c>
      <c r="R1041" t="s">
        <v>28</v>
      </c>
      <c r="S1041" t="s">
        <v>4791</v>
      </c>
      <c r="T1041" t="s">
        <v>4792</v>
      </c>
      <c r="W1041" t="s">
        <v>392</v>
      </c>
      <c r="X1041" t="s">
        <v>34</v>
      </c>
      <c r="Y1041" t="str">
        <f>"77459"</f>
        <v>77459</v>
      </c>
    </row>
    <row r="1042" spans="1:25" x14ac:dyDescent="0.25">
      <c r="A1042" t="s">
        <v>4793</v>
      </c>
      <c r="B1042" t="s">
        <v>4794</v>
      </c>
      <c r="C1042">
        <v>2020</v>
      </c>
      <c r="D1042">
        <v>8001</v>
      </c>
      <c r="E1042">
        <v>1</v>
      </c>
      <c r="F1042" t="s">
        <v>4795</v>
      </c>
      <c r="G1042">
        <v>24761070</v>
      </c>
      <c r="J1042">
        <v>118.71</v>
      </c>
      <c r="L1042">
        <v>45223371</v>
      </c>
      <c r="M1042" s="1">
        <v>44176</v>
      </c>
      <c r="N1042" t="str">
        <f>"RC201217"</f>
        <v>RC201217</v>
      </c>
      <c r="O1042" t="s">
        <v>28</v>
      </c>
      <c r="Q1042" t="s">
        <v>29</v>
      </c>
      <c r="R1042" t="s">
        <v>28</v>
      </c>
      <c r="S1042" t="s">
        <v>3677</v>
      </c>
      <c r="T1042" t="s">
        <v>3625</v>
      </c>
      <c r="U1042" t="s">
        <v>4796</v>
      </c>
      <c r="W1042" t="s">
        <v>33</v>
      </c>
      <c r="X1042" t="s">
        <v>34</v>
      </c>
      <c r="Y1042" t="str">
        <f>"750758442"</f>
        <v>750758442</v>
      </c>
    </row>
    <row r="1043" spans="1:25" x14ac:dyDescent="0.25">
      <c r="A1043" t="s">
        <v>4797</v>
      </c>
      <c r="B1043" t="s">
        <v>4798</v>
      </c>
      <c r="C1043">
        <v>2021</v>
      </c>
      <c r="D1043">
        <v>8001</v>
      </c>
      <c r="E1043">
        <v>1</v>
      </c>
      <c r="F1043" t="s">
        <v>4799</v>
      </c>
      <c r="G1043">
        <v>30674834</v>
      </c>
      <c r="J1043">
        <v>846.53</v>
      </c>
      <c r="L1043">
        <v>48666679</v>
      </c>
      <c r="M1043" s="1">
        <v>44557</v>
      </c>
      <c r="N1043" t="str">
        <f>"RC220125"</f>
        <v>RC220125</v>
      </c>
      <c r="O1043" t="s">
        <v>28</v>
      </c>
      <c r="Q1043" t="s">
        <v>29</v>
      </c>
      <c r="R1043" t="s">
        <v>28</v>
      </c>
      <c r="S1043" t="s">
        <v>4800</v>
      </c>
      <c r="T1043" t="s">
        <v>4801</v>
      </c>
      <c r="W1043" t="s">
        <v>75</v>
      </c>
      <c r="X1043" t="s">
        <v>34</v>
      </c>
      <c r="Y1043" t="str">
        <f>"770773858"</f>
        <v>770773858</v>
      </c>
    </row>
    <row r="1044" spans="1:25" x14ac:dyDescent="0.25">
      <c r="A1044" t="s">
        <v>4802</v>
      </c>
      <c r="B1044" t="s">
        <v>4803</v>
      </c>
      <c r="C1044">
        <v>2020</v>
      </c>
      <c r="D1044">
        <v>8001</v>
      </c>
      <c r="E1044">
        <v>2</v>
      </c>
      <c r="F1044" t="s">
        <v>4804</v>
      </c>
      <c r="G1044">
        <v>25847079</v>
      </c>
      <c r="J1044">
        <v>51.35</v>
      </c>
      <c r="L1044">
        <v>47375289</v>
      </c>
      <c r="M1044" s="1">
        <v>44322</v>
      </c>
      <c r="N1044" t="str">
        <f>"RC210512"</f>
        <v>RC210512</v>
      </c>
      <c r="O1044" t="s">
        <v>28</v>
      </c>
      <c r="Q1044" t="s">
        <v>29</v>
      </c>
      <c r="R1044" t="s">
        <v>28</v>
      </c>
      <c r="S1044" t="s">
        <v>4805</v>
      </c>
      <c r="T1044" t="s">
        <v>1015</v>
      </c>
      <c r="W1044" t="s">
        <v>563</v>
      </c>
      <c r="X1044" t="s">
        <v>34</v>
      </c>
      <c r="Y1044" t="str">
        <f>"750630156"</f>
        <v>750630156</v>
      </c>
    </row>
    <row r="1045" spans="1:25" x14ac:dyDescent="0.25">
      <c r="A1045" t="s">
        <v>4806</v>
      </c>
      <c r="B1045" t="s">
        <v>4807</v>
      </c>
      <c r="C1045">
        <v>2019</v>
      </c>
      <c r="D1045">
        <v>8001</v>
      </c>
      <c r="E1045">
        <v>1</v>
      </c>
      <c r="F1045" t="s">
        <v>4808</v>
      </c>
      <c r="G1045">
        <v>27661131</v>
      </c>
      <c r="J1045">
        <v>19.25</v>
      </c>
      <c r="L1045">
        <v>42012017</v>
      </c>
      <c r="M1045" s="1">
        <v>43795</v>
      </c>
      <c r="N1045" t="str">
        <f>"J191126K5"</f>
        <v>J191126K5</v>
      </c>
      <c r="O1045" t="s">
        <v>28</v>
      </c>
      <c r="Q1045" t="s">
        <v>29</v>
      </c>
      <c r="R1045" t="s">
        <v>28</v>
      </c>
      <c r="S1045" t="s">
        <v>341</v>
      </c>
      <c r="T1045" t="s">
        <v>4809</v>
      </c>
      <c r="W1045" t="s">
        <v>4810</v>
      </c>
      <c r="X1045" t="s">
        <v>264</v>
      </c>
      <c r="Y1045" t="str">
        <f>"63102"</f>
        <v>63102</v>
      </c>
    </row>
    <row r="1046" spans="1:25" x14ac:dyDescent="0.25">
      <c r="A1046" t="s">
        <v>4811</v>
      </c>
      <c r="B1046" t="s">
        <v>4812</v>
      </c>
      <c r="C1046">
        <v>2019</v>
      </c>
      <c r="D1046">
        <v>8001</v>
      </c>
      <c r="E1046">
        <v>1</v>
      </c>
      <c r="F1046" t="s">
        <v>4813</v>
      </c>
      <c r="G1046">
        <v>0</v>
      </c>
      <c r="J1046">
        <v>71.11</v>
      </c>
      <c r="L1046">
        <v>43889242</v>
      </c>
      <c r="M1046" s="1">
        <v>43895</v>
      </c>
      <c r="N1046" t="str">
        <f>"O200305AB1"</f>
        <v>O200305AB1</v>
      </c>
      <c r="O1046" t="s">
        <v>28</v>
      </c>
      <c r="Q1046" t="s">
        <v>29</v>
      </c>
      <c r="R1046" t="s">
        <v>28</v>
      </c>
      <c r="S1046" t="s">
        <v>4813</v>
      </c>
      <c r="T1046" t="s">
        <v>4814</v>
      </c>
      <c r="U1046" t="s">
        <v>60</v>
      </c>
      <c r="V1046" t="s">
        <v>60</v>
      </c>
      <c r="W1046" t="s">
        <v>4815</v>
      </c>
      <c r="X1046" t="s">
        <v>34</v>
      </c>
      <c r="Y1046" t="str">
        <f>"775841899   "</f>
        <v xml:space="preserve">775841899   </v>
      </c>
    </row>
    <row r="1047" spans="1:25" x14ac:dyDescent="0.25">
      <c r="A1047" t="s">
        <v>4816</v>
      </c>
      <c r="B1047" t="s">
        <v>4817</v>
      </c>
      <c r="C1047">
        <v>2019</v>
      </c>
      <c r="D1047">
        <v>8001</v>
      </c>
      <c r="E1047">
        <v>2</v>
      </c>
      <c r="F1047" t="s">
        <v>4818</v>
      </c>
      <c r="G1047">
        <v>28310306</v>
      </c>
      <c r="J1047">
        <v>43.03</v>
      </c>
      <c r="L1047">
        <v>43887127</v>
      </c>
      <c r="M1047" s="1">
        <v>43895</v>
      </c>
      <c r="N1047" t="str">
        <f>"CC200305"</f>
        <v>CC200305</v>
      </c>
      <c r="O1047" t="s">
        <v>28</v>
      </c>
      <c r="Q1047" t="s">
        <v>29</v>
      </c>
      <c r="R1047" t="s">
        <v>28</v>
      </c>
      <c r="S1047" t="s">
        <v>4819</v>
      </c>
      <c r="T1047" t="s">
        <v>4820</v>
      </c>
      <c r="W1047" t="s">
        <v>586</v>
      </c>
      <c r="X1047" t="s">
        <v>34</v>
      </c>
      <c r="Y1047" t="str">
        <f>"77584"</f>
        <v>77584</v>
      </c>
    </row>
    <row r="1048" spans="1:25" x14ac:dyDescent="0.25">
      <c r="A1048" t="s">
        <v>4821</v>
      </c>
      <c r="B1048" t="s">
        <v>4822</v>
      </c>
      <c r="C1048">
        <v>2020</v>
      </c>
      <c r="D1048">
        <v>8001</v>
      </c>
      <c r="E1048">
        <v>1</v>
      </c>
      <c r="F1048" t="s">
        <v>4823</v>
      </c>
      <c r="G1048">
        <v>26685768</v>
      </c>
      <c r="J1048">
        <v>48.68</v>
      </c>
      <c r="L1048">
        <v>47513817</v>
      </c>
      <c r="M1048" s="1">
        <v>44356</v>
      </c>
      <c r="N1048" t="str">
        <f>"RC210616"</f>
        <v>RC210616</v>
      </c>
      <c r="O1048" t="s">
        <v>28</v>
      </c>
      <c r="Q1048" t="s">
        <v>29</v>
      </c>
      <c r="R1048" t="s">
        <v>28</v>
      </c>
      <c r="S1048" t="s">
        <v>4824</v>
      </c>
      <c r="T1048" t="s">
        <v>2550</v>
      </c>
      <c r="W1048" t="s">
        <v>2551</v>
      </c>
      <c r="X1048" t="s">
        <v>317</v>
      </c>
      <c r="Y1048" t="str">
        <f>"90620"</f>
        <v>90620</v>
      </c>
    </row>
    <row r="1049" spans="1:25" x14ac:dyDescent="0.25">
      <c r="A1049" t="s">
        <v>4825</v>
      </c>
      <c r="B1049" t="s">
        <v>4826</v>
      </c>
      <c r="C1049">
        <v>2019</v>
      </c>
      <c r="D1049">
        <v>8001</v>
      </c>
      <c r="E1049">
        <v>1</v>
      </c>
      <c r="F1049" t="s">
        <v>4827</v>
      </c>
      <c r="G1049">
        <v>0</v>
      </c>
      <c r="J1049">
        <v>31</v>
      </c>
      <c r="L1049">
        <v>43705012</v>
      </c>
      <c r="M1049" s="1">
        <v>43872</v>
      </c>
      <c r="N1049" t="str">
        <f>"J200211AW5"</f>
        <v>J200211AW5</v>
      </c>
      <c r="O1049" t="s">
        <v>28</v>
      </c>
      <c r="Q1049" t="s">
        <v>29</v>
      </c>
      <c r="R1049" t="s">
        <v>28</v>
      </c>
      <c r="S1049" t="s">
        <v>4827</v>
      </c>
      <c r="T1049" t="s">
        <v>4828</v>
      </c>
      <c r="U1049" t="s">
        <v>60</v>
      </c>
      <c r="V1049" t="s">
        <v>60</v>
      </c>
      <c r="W1049" t="s">
        <v>4815</v>
      </c>
      <c r="X1049" t="s">
        <v>34</v>
      </c>
      <c r="Y1049" t="str">
        <f>"775841582   "</f>
        <v xml:space="preserve">775841582   </v>
      </c>
    </row>
    <row r="1050" spans="1:25" x14ac:dyDescent="0.25">
      <c r="A1050" t="s">
        <v>4829</v>
      </c>
      <c r="B1050" t="s">
        <v>4830</v>
      </c>
      <c r="C1050">
        <v>2018</v>
      </c>
      <c r="D1050">
        <v>8001</v>
      </c>
      <c r="E1050">
        <v>3</v>
      </c>
      <c r="F1050" t="s">
        <v>4831</v>
      </c>
      <c r="G1050">
        <v>27546560</v>
      </c>
      <c r="J1050">
        <v>271.97000000000003</v>
      </c>
      <c r="L1050">
        <v>41546959</v>
      </c>
      <c r="M1050" s="1">
        <v>43721</v>
      </c>
      <c r="N1050" t="str">
        <f>"J190913AW3"</f>
        <v>J190913AW3</v>
      </c>
      <c r="O1050" t="s">
        <v>28</v>
      </c>
      <c r="Q1050" t="s">
        <v>29</v>
      </c>
      <c r="R1050" t="s">
        <v>28</v>
      </c>
      <c r="S1050" t="s">
        <v>4832</v>
      </c>
      <c r="T1050" t="s">
        <v>4833</v>
      </c>
      <c r="W1050" t="s">
        <v>75</v>
      </c>
      <c r="X1050" t="s">
        <v>34</v>
      </c>
      <c r="Y1050" t="str">
        <f>"77036"</f>
        <v>77036</v>
      </c>
    </row>
    <row r="1051" spans="1:25" x14ac:dyDescent="0.25">
      <c r="A1051" t="s">
        <v>4834</v>
      </c>
      <c r="B1051" t="s">
        <v>4835</v>
      </c>
      <c r="C1051">
        <v>2019</v>
      </c>
      <c r="D1051">
        <v>8001</v>
      </c>
      <c r="E1051">
        <v>1</v>
      </c>
      <c r="F1051" t="s">
        <v>4836</v>
      </c>
      <c r="G1051">
        <v>28114790</v>
      </c>
      <c r="J1051">
        <v>74.540000000000006</v>
      </c>
      <c r="L1051">
        <v>43466557</v>
      </c>
      <c r="M1051" s="1">
        <v>43861</v>
      </c>
      <c r="N1051" t="str">
        <f>"O200131BQ7"</f>
        <v>O200131BQ7</v>
      </c>
      <c r="O1051" t="s">
        <v>28</v>
      </c>
      <c r="Q1051" t="s">
        <v>29</v>
      </c>
      <c r="R1051" t="s">
        <v>28</v>
      </c>
      <c r="S1051" t="s">
        <v>3595</v>
      </c>
      <c r="T1051" t="s">
        <v>203</v>
      </c>
      <c r="U1051" t="s">
        <v>4837</v>
      </c>
      <c r="W1051" t="s">
        <v>586</v>
      </c>
      <c r="X1051" t="s">
        <v>34</v>
      </c>
      <c r="Y1051" t="str">
        <f>"775843777"</f>
        <v>775843777</v>
      </c>
    </row>
    <row r="1052" spans="1:25" x14ac:dyDescent="0.25">
      <c r="A1052" t="s">
        <v>4838</v>
      </c>
      <c r="B1052" t="s">
        <v>4839</v>
      </c>
      <c r="C1052">
        <v>2020</v>
      </c>
      <c r="D1052">
        <v>8001</v>
      </c>
      <c r="E1052">
        <v>1</v>
      </c>
      <c r="F1052" t="s">
        <v>4840</v>
      </c>
      <c r="G1052">
        <v>29135325</v>
      </c>
      <c r="J1052" s="2">
        <v>2107.3000000000002</v>
      </c>
      <c r="L1052">
        <v>45712757</v>
      </c>
      <c r="M1052" s="1">
        <v>44201</v>
      </c>
      <c r="N1052" t="str">
        <f>"RC210120"</f>
        <v>RC210120</v>
      </c>
      <c r="O1052" t="s">
        <v>28</v>
      </c>
      <c r="Q1052" t="s">
        <v>29</v>
      </c>
      <c r="R1052" t="s">
        <v>28</v>
      </c>
      <c r="S1052" t="s">
        <v>30</v>
      </c>
      <c r="T1052" t="s">
        <v>4841</v>
      </c>
      <c r="U1052" t="s">
        <v>4842</v>
      </c>
      <c r="W1052" t="s">
        <v>1371</v>
      </c>
      <c r="X1052" t="s">
        <v>34</v>
      </c>
      <c r="Y1052" t="str">
        <f>"75034"</f>
        <v>75034</v>
      </c>
    </row>
    <row r="1053" spans="1:25" x14ac:dyDescent="0.25">
      <c r="A1053" t="s">
        <v>4843</v>
      </c>
      <c r="B1053" t="s">
        <v>4844</v>
      </c>
      <c r="C1053">
        <v>2018</v>
      </c>
      <c r="D1053">
        <v>8001</v>
      </c>
      <c r="E1053">
        <v>2</v>
      </c>
      <c r="F1053" t="s">
        <v>4845</v>
      </c>
      <c r="G1053">
        <v>27474582</v>
      </c>
      <c r="J1053">
        <v>55.87</v>
      </c>
      <c r="L1053">
        <v>41389992</v>
      </c>
      <c r="M1053" s="1">
        <v>43656</v>
      </c>
      <c r="N1053" t="str">
        <f>"J190710K4"</f>
        <v>J190710K4</v>
      </c>
      <c r="O1053" t="s">
        <v>28</v>
      </c>
      <c r="Q1053" t="s">
        <v>29</v>
      </c>
      <c r="R1053" t="s">
        <v>28</v>
      </c>
      <c r="S1053" t="s">
        <v>1326</v>
      </c>
      <c r="T1053" t="s">
        <v>1685</v>
      </c>
      <c r="U1053" t="s">
        <v>1327</v>
      </c>
      <c r="W1053" t="s">
        <v>1328</v>
      </c>
      <c r="X1053" t="s">
        <v>162</v>
      </c>
      <c r="Y1053" t="str">
        <f>"08054"</f>
        <v>08054</v>
      </c>
    </row>
    <row r="1054" spans="1:25" x14ac:dyDescent="0.25">
      <c r="A1054" t="s">
        <v>4846</v>
      </c>
      <c r="B1054" t="s">
        <v>4847</v>
      </c>
      <c r="C1054">
        <v>2019</v>
      </c>
      <c r="D1054">
        <v>8001</v>
      </c>
      <c r="E1054">
        <v>2</v>
      </c>
      <c r="F1054" t="s">
        <v>4848</v>
      </c>
      <c r="G1054">
        <v>25106988</v>
      </c>
      <c r="J1054">
        <v>233.77</v>
      </c>
      <c r="L1054">
        <v>43907992</v>
      </c>
      <c r="M1054" s="1">
        <v>43899</v>
      </c>
      <c r="N1054" t="str">
        <f>"J200309AW2"</f>
        <v>J200309AW2</v>
      </c>
      <c r="O1054" t="s">
        <v>28</v>
      </c>
      <c r="Q1054" t="s">
        <v>29</v>
      </c>
      <c r="R1054" t="s">
        <v>28</v>
      </c>
      <c r="S1054" t="s">
        <v>1326</v>
      </c>
      <c r="T1054" t="s">
        <v>3805</v>
      </c>
      <c r="W1054" t="s">
        <v>1328</v>
      </c>
      <c r="X1054" t="s">
        <v>162</v>
      </c>
      <c r="Y1054" t="str">
        <f>"06054"</f>
        <v>06054</v>
      </c>
    </row>
    <row r="1055" spans="1:25" x14ac:dyDescent="0.25">
      <c r="A1055" t="s">
        <v>4849</v>
      </c>
      <c r="B1055" t="s">
        <v>4850</v>
      </c>
      <c r="C1055">
        <v>2020</v>
      </c>
      <c r="D1055">
        <v>8001</v>
      </c>
      <c r="E1055">
        <v>1</v>
      </c>
      <c r="F1055" t="s">
        <v>4851</v>
      </c>
      <c r="G1055">
        <v>29489453</v>
      </c>
      <c r="J1055">
        <v>325.37</v>
      </c>
      <c r="L1055">
        <v>46782152</v>
      </c>
      <c r="M1055" s="1">
        <v>44231</v>
      </c>
      <c r="N1055" t="str">
        <f>"CC210204"</f>
        <v>CC210204</v>
      </c>
      <c r="O1055" t="s">
        <v>28</v>
      </c>
      <c r="Q1055" t="s">
        <v>29</v>
      </c>
      <c r="R1055" t="s">
        <v>28</v>
      </c>
      <c r="S1055" t="s">
        <v>4852</v>
      </c>
      <c r="T1055" t="s">
        <v>4853</v>
      </c>
      <c r="W1055" t="s">
        <v>40</v>
      </c>
      <c r="X1055" t="s">
        <v>34</v>
      </c>
      <c r="Y1055" t="str">
        <f>"77479"</f>
        <v>77479</v>
      </c>
    </row>
    <row r="1056" spans="1:25" x14ac:dyDescent="0.25">
      <c r="A1056" t="s">
        <v>4854</v>
      </c>
      <c r="B1056" t="s">
        <v>4855</v>
      </c>
      <c r="C1056">
        <v>2021</v>
      </c>
      <c r="D1056">
        <v>8001</v>
      </c>
      <c r="E1056">
        <v>3</v>
      </c>
      <c r="F1056" t="s">
        <v>4856</v>
      </c>
      <c r="G1056">
        <v>0</v>
      </c>
      <c r="J1056">
        <v>922.79</v>
      </c>
      <c r="L1056">
        <v>48906472</v>
      </c>
      <c r="M1056" s="1">
        <v>44565</v>
      </c>
      <c r="N1056" t="str">
        <f>"J220104BW7"</f>
        <v>J220104BW7</v>
      </c>
      <c r="O1056" t="s">
        <v>28</v>
      </c>
      <c r="Q1056" t="s">
        <v>29</v>
      </c>
      <c r="R1056" t="s">
        <v>28</v>
      </c>
      <c r="S1056" t="s">
        <v>4856</v>
      </c>
      <c r="T1056" t="s">
        <v>4857</v>
      </c>
      <c r="U1056" t="s">
        <v>60</v>
      </c>
      <c r="V1056" t="s">
        <v>60</v>
      </c>
      <c r="W1056" t="s">
        <v>721</v>
      </c>
      <c r="X1056" t="s">
        <v>34</v>
      </c>
      <c r="Y1056" t="str">
        <f>"775833739   "</f>
        <v xml:space="preserve">775833739   </v>
      </c>
    </row>
    <row r="1057" spans="1:25" x14ac:dyDescent="0.25">
      <c r="A1057" t="s">
        <v>4858</v>
      </c>
      <c r="B1057" t="s">
        <v>4859</v>
      </c>
      <c r="C1057">
        <v>2020</v>
      </c>
      <c r="D1057">
        <v>8001</v>
      </c>
      <c r="E1057">
        <v>1</v>
      </c>
      <c r="F1057" t="s">
        <v>4860</v>
      </c>
      <c r="G1057">
        <v>0</v>
      </c>
      <c r="J1057">
        <v>320.17</v>
      </c>
      <c r="L1057">
        <v>46159605</v>
      </c>
      <c r="M1057" s="1">
        <v>44217</v>
      </c>
      <c r="N1057" t="str">
        <f>"J210121K5"</f>
        <v>J210121K5</v>
      </c>
      <c r="O1057" t="s">
        <v>28</v>
      </c>
      <c r="Q1057" t="s">
        <v>29</v>
      </c>
      <c r="R1057" t="s">
        <v>28</v>
      </c>
      <c r="S1057" t="s">
        <v>4860</v>
      </c>
      <c r="T1057" t="s">
        <v>4861</v>
      </c>
      <c r="U1057" t="s">
        <v>60</v>
      </c>
      <c r="V1057" t="s">
        <v>60</v>
      </c>
      <c r="W1057" t="s">
        <v>1333</v>
      </c>
      <c r="X1057" t="s">
        <v>34</v>
      </c>
      <c r="Y1057" t="str">
        <f>"774594087   "</f>
        <v xml:space="preserve">774594087   </v>
      </c>
    </row>
    <row r="1058" spans="1:25" x14ac:dyDescent="0.25">
      <c r="A1058" t="s">
        <v>4862</v>
      </c>
      <c r="B1058" t="s">
        <v>4863</v>
      </c>
      <c r="C1058">
        <v>2020</v>
      </c>
      <c r="D1058">
        <v>8001</v>
      </c>
      <c r="E1058">
        <v>2</v>
      </c>
      <c r="F1058" t="s">
        <v>4864</v>
      </c>
      <c r="G1058">
        <v>22141071</v>
      </c>
      <c r="J1058">
        <v>31.78</v>
      </c>
      <c r="L1058">
        <v>47203668</v>
      </c>
      <c r="M1058" s="1">
        <v>44285</v>
      </c>
      <c r="N1058" t="str">
        <f>"RC210414"</f>
        <v>RC210414</v>
      </c>
      <c r="O1058" t="s">
        <v>28</v>
      </c>
      <c r="Q1058" t="s">
        <v>29</v>
      </c>
      <c r="R1058" t="s">
        <v>28</v>
      </c>
      <c r="S1058" t="s">
        <v>1454</v>
      </c>
      <c r="T1058" t="s">
        <v>2653</v>
      </c>
      <c r="U1058" t="s">
        <v>1455</v>
      </c>
      <c r="W1058" t="s">
        <v>1456</v>
      </c>
      <c r="X1058" t="s">
        <v>1457</v>
      </c>
      <c r="Y1058" t="str">
        <f>"234504968"</f>
        <v>234504968</v>
      </c>
    </row>
    <row r="1059" spans="1:25" x14ac:dyDescent="0.25">
      <c r="A1059" t="s">
        <v>4865</v>
      </c>
      <c r="B1059" t="s">
        <v>4866</v>
      </c>
      <c r="C1059">
        <v>2020</v>
      </c>
      <c r="D1059">
        <v>8001</v>
      </c>
      <c r="E1059">
        <v>1</v>
      </c>
      <c r="F1059" t="s">
        <v>4867</v>
      </c>
      <c r="G1059">
        <v>24111646</v>
      </c>
      <c r="J1059" s="2">
        <v>1610.09</v>
      </c>
      <c r="L1059">
        <v>45401604</v>
      </c>
      <c r="M1059" s="1">
        <v>44187</v>
      </c>
      <c r="N1059" t="str">
        <f>"RC201231"</f>
        <v>RC201231</v>
      </c>
      <c r="O1059" t="s">
        <v>28</v>
      </c>
      <c r="Q1059" t="s">
        <v>29</v>
      </c>
      <c r="R1059" t="s">
        <v>28</v>
      </c>
      <c r="S1059" t="s">
        <v>3677</v>
      </c>
      <c r="T1059" t="s">
        <v>3625</v>
      </c>
      <c r="U1059" t="s">
        <v>4796</v>
      </c>
      <c r="W1059" t="s">
        <v>33</v>
      </c>
      <c r="X1059" t="s">
        <v>34</v>
      </c>
      <c r="Y1059" t="str">
        <f>"750758442"</f>
        <v>750758442</v>
      </c>
    </row>
    <row r="1060" spans="1:25" x14ac:dyDescent="0.25">
      <c r="A1060" t="s">
        <v>4868</v>
      </c>
      <c r="B1060" t="s">
        <v>4869</v>
      </c>
      <c r="C1060">
        <v>2020</v>
      </c>
      <c r="D1060">
        <v>8001</v>
      </c>
      <c r="E1060">
        <v>2</v>
      </c>
      <c r="F1060" t="s">
        <v>4870</v>
      </c>
      <c r="G1060">
        <v>203294</v>
      </c>
      <c r="J1060">
        <v>18.73</v>
      </c>
      <c r="L1060">
        <v>47724234</v>
      </c>
      <c r="M1060" s="1">
        <v>44439</v>
      </c>
      <c r="N1060" t="str">
        <f>"RC210915"</f>
        <v>RC210915</v>
      </c>
      <c r="O1060" t="s">
        <v>28</v>
      </c>
      <c r="Q1060" t="s">
        <v>29</v>
      </c>
      <c r="R1060" t="s">
        <v>28</v>
      </c>
      <c r="S1060" t="s">
        <v>1454</v>
      </c>
      <c r="T1060" t="s">
        <v>1455</v>
      </c>
      <c r="W1060" t="s">
        <v>1456</v>
      </c>
      <c r="X1060" t="s">
        <v>1457</v>
      </c>
      <c r="Y1060" t="str">
        <f>"234508068"</f>
        <v>234508068</v>
      </c>
    </row>
    <row r="1061" spans="1:25" x14ac:dyDescent="0.25">
      <c r="A1061" t="s">
        <v>4871</v>
      </c>
      <c r="B1061" t="s">
        <v>4872</v>
      </c>
      <c r="C1061">
        <v>2020</v>
      </c>
      <c r="D1061">
        <v>8001</v>
      </c>
      <c r="E1061">
        <v>2</v>
      </c>
      <c r="F1061" t="s">
        <v>4873</v>
      </c>
      <c r="G1061">
        <v>0</v>
      </c>
      <c r="J1061">
        <v>28.12</v>
      </c>
      <c r="L1061">
        <v>46915745</v>
      </c>
      <c r="M1061" s="1">
        <v>44239</v>
      </c>
      <c r="N1061" t="str">
        <f>"L210212"</f>
        <v>L210212</v>
      </c>
      <c r="O1061" t="s">
        <v>28</v>
      </c>
      <c r="Q1061" t="s">
        <v>29</v>
      </c>
      <c r="R1061" t="s">
        <v>28</v>
      </c>
      <c r="S1061" t="s">
        <v>4873</v>
      </c>
      <c r="T1061" t="s">
        <v>4874</v>
      </c>
      <c r="U1061" t="s">
        <v>60</v>
      </c>
      <c r="V1061" t="s">
        <v>60</v>
      </c>
      <c r="W1061" t="s">
        <v>721</v>
      </c>
      <c r="X1061" t="s">
        <v>34</v>
      </c>
      <c r="Y1061" t="str">
        <f>"77583       "</f>
        <v xml:space="preserve">77583       </v>
      </c>
    </row>
    <row r="1062" spans="1:25" x14ac:dyDescent="0.25">
      <c r="A1062" t="s">
        <v>4875</v>
      </c>
      <c r="B1062" t="s">
        <v>4876</v>
      </c>
      <c r="C1062">
        <v>2021</v>
      </c>
      <c r="D1062">
        <v>8001</v>
      </c>
      <c r="E1062">
        <v>2</v>
      </c>
      <c r="F1062" t="s">
        <v>4877</v>
      </c>
      <c r="G1062">
        <v>31128610</v>
      </c>
      <c r="J1062">
        <v>8.3000000000000007</v>
      </c>
      <c r="L1062">
        <v>50067371</v>
      </c>
      <c r="M1062" s="1">
        <v>44599</v>
      </c>
      <c r="N1062" t="str">
        <f>"RC220314"</f>
        <v>RC220314</v>
      </c>
      <c r="O1062" t="s">
        <v>28</v>
      </c>
      <c r="Q1062" t="s">
        <v>29</v>
      </c>
      <c r="R1062" t="s">
        <v>28</v>
      </c>
      <c r="S1062" t="s">
        <v>4878</v>
      </c>
      <c r="T1062" t="s">
        <v>4879</v>
      </c>
      <c r="U1062" t="s">
        <v>4880</v>
      </c>
      <c r="W1062" t="s">
        <v>371</v>
      </c>
      <c r="X1062" t="s">
        <v>34</v>
      </c>
      <c r="Y1062" t="str">
        <f>"774776924"</f>
        <v>774776924</v>
      </c>
    </row>
    <row r="1063" spans="1:25" x14ac:dyDescent="0.25">
      <c r="A1063" t="s">
        <v>4881</v>
      </c>
      <c r="B1063" t="s">
        <v>4882</v>
      </c>
      <c r="C1063">
        <v>2020</v>
      </c>
      <c r="D1063">
        <v>8001</v>
      </c>
      <c r="E1063">
        <v>1</v>
      </c>
      <c r="F1063" t="s">
        <v>4883</v>
      </c>
      <c r="G1063">
        <v>25988323</v>
      </c>
      <c r="J1063">
        <v>5.3</v>
      </c>
      <c r="L1063">
        <v>45422286</v>
      </c>
      <c r="M1063" s="1">
        <v>44187</v>
      </c>
      <c r="N1063" t="str">
        <f>"RC201231"</f>
        <v>RC201231</v>
      </c>
      <c r="O1063" t="s">
        <v>28</v>
      </c>
      <c r="Q1063" t="s">
        <v>29</v>
      </c>
      <c r="R1063" t="s">
        <v>28</v>
      </c>
      <c r="S1063" t="s">
        <v>4884</v>
      </c>
      <c r="T1063" t="s">
        <v>4885</v>
      </c>
      <c r="W1063" t="s">
        <v>107</v>
      </c>
      <c r="X1063" t="s">
        <v>34</v>
      </c>
      <c r="Y1063" t="str">
        <f>"77449"</f>
        <v>77449</v>
      </c>
    </row>
    <row r="1064" spans="1:25" x14ac:dyDescent="0.25">
      <c r="A1064" t="s">
        <v>4886</v>
      </c>
      <c r="B1064" t="s">
        <v>4887</v>
      </c>
      <c r="C1064">
        <v>2021</v>
      </c>
      <c r="D1064">
        <v>8001</v>
      </c>
      <c r="E1064">
        <v>4</v>
      </c>
      <c r="F1064" t="s">
        <v>4883</v>
      </c>
      <c r="G1064">
        <v>31106828</v>
      </c>
      <c r="J1064">
        <v>575.76</v>
      </c>
      <c r="L1064">
        <v>49967849</v>
      </c>
      <c r="M1064" s="1">
        <v>44595</v>
      </c>
      <c r="N1064" t="str">
        <f>"RC220307"</f>
        <v>RC220307</v>
      </c>
      <c r="O1064" t="s">
        <v>28</v>
      </c>
      <c r="Q1064" t="s">
        <v>29</v>
      </c>
      <c r="R1064" t="s">
        <v>28</v>
      </c>
      <c r="S1064" t="s">
        <v>4884</v>
      </c>
      <c r="T1064" t="s">
        <v>4888</v>
      </c>
      <c r="W1064" t="s">
        <v>107</v>
      </c>
      <c r="X1064" t="s">
        <v>34</v>
      </c>
      <c r="Y1064" t="str">
        <f>"774491964"</f>
        <v>774491964</v>
      </c>
    </row>
    <row r="1065" spans="1:25" x14ac:dyDescent="0.25">
      <c r="A1065" t="s">
        <v>4889</v>
      </c>
      <c r="B1065" t="s">
        <v>4890</v>
      </c>
      <c r="C1065">
        <v>2020</v>
      </c>
      <c r="D1065">
        <v>8001</v>
      </c>
      <c r="E1065">
        <v>21</v>
      </c>
      <c r="F1065" t="s">
        <v>4891</v>
      </c>
      <c r="G1065">
        <v>0</v>
      </c>
      <c r="J1065">
        <v>410.86</v>
      </c>
      <c r="L1065">
        <v>44366386</v>
      </c>
      <c r="M1065" s="1">
        <v>44147</v>
      </c>
      <c r="N1065" t="str">
        <f>"TE201112"</f>
        <v>TE201112</v>
      </c>
      <c r="O1065" t="s">
        <v>28</v>
      </c>
      <c r="Q1065" t="s">
        <v>29</v>
      </c>
      <c r="R1065" t="s">
        <v>28</v>
      </c>
      <c r="S1065" t="s">
        <v>4891</v>
      </c>
      <c r="T1065" t="s">
        <v>4892</v>
      </c>
      <c r="U1065" t="s">
        <v>60</v>
      </c>
      <c r="V1065" t="s">
        <v>60</v>
      </c>
      <c r="W1065" t="s">
        <v>649</v>
      </c>
      <c r="X1065" t="s">
        <v>34</v>
      </c>
      <c r="Y1065" t="str">
        <f>"774716669   "</f>
        <v xml:space="preserve">774716669   </v>
      </c>
    </row>
    <row r="1066" spans="1:25" x14ac:dyDescent="0.25">
      <c r="A1066" t="s">
        <v>4893</v>
      </c>
      <c r="B1066" t="s">
        <v>4894</v>
      </c>
      <c r="C1066">
        <v>2020</v>
      </c>
      <c r="D1066">
        <v>8001</v>
      </c>
      <c r="E1066">
        <v>2</v>
      </c>
      <c r="F1066" t="s">
        <v>4895</v>
      </c>
      <c r="G1066">
        <v>28997741</v>
      </c>
      <c r="J1066">
        <v>9.16</v>
      </c>
      <c r="L1066">
        <v>45577164</v>
      </c>
      <c r="M1066" s="1">
        <v>44196</v>
      </c>
      <c r="N1066" t="str">
        <f>"CC201231"</f>
        <v>CC201231</v>
      </c>
      <c r="O1066" t="s">
        <v>28</v>
      </c>
      <c r="Q1066" t="s">
        <v>29</v>
      </c>
      <c r="R1066" t="s">
        <v>28</v>
      </c>
      <c r="S1066" t="s">
        <v>4896</v>
      </c>
      <c r="T1066" t="s">
        <v>4897</v>
      </c>
      <c r="W1066" t="s">
        <v>107</v>
      </c>
      <c r="X1066" t="s">
        <v>34</v>
      </c>
      <c r="Y1066" t="str">
        <f>"77494"</f>
        <v>77494</v>
      </c>
    </row>
    <row r="1067" spans="1:25" x14ac:dyDescent="0.25">
      <c r="A1067" t="s">
        <v>4898</v>
      </c>
      <c r="B1067" t="s">
        <v>4899</v>
      </c>
      <c r="C1067">
        <v>2020</v>
      </c>
      <c r="D1067">
        <v>8001</v>
      </c>
      <c r="E1067">
        <v>3</v>
      </c>
      <c r="F1067" t="s">
        <v>4900</v>
      </c>
      <c r="G1067">
        <v>29489524</v>
      </c>
      <c r="J1067" s="2">
        <v>3014.04</v>
      </c>
      <c r="L1067">
        <v>46782223</v>
      </c>
      <c r="M1067" s="1">
        <v>44231</v>
      </c>
      <c r="N1067" t="str">
        <f>"CC210204"</f>
        <v>CC210204</v>
      </c>
      <c r="O1067" t="s">
        <v>28</v>
      </c>
      <c r="Q1067" t="s">
        <v>29</v>
      </c>
      <c r="R1067" t="s">
        <v>28</v>
      </c>
      <c r="S1067" t="s">
        <v>4901</v>
      </c>
      <c r="T1067" t="s">
        <v>4902</v>
      </c>
      <c r="W1067" t="s">
        <v>75</v>
      </c>
      <c r="X1067" t="s">
        <v>34</v>
      </c>
      <c r="Y1067" t="str">
        <f>"77036"</f>
        <v>77036</v>
      </c>
    </row>
    <row r="1068" spans="1:25" x14ac:dyDescent="0.25">
      <c r="A1068" t="s">
        <v>4903</v>
      </c>
      <c r="B1068" t="s">
        <v>4904</v>
      </c>
      <c r="C1068">
        <v>2020</v>
      </c>
      <c r="D1068">
        <v>8001</v>
      </c>
      <c r="E1068">
        <v>1</v>
      </c>
      <c r="F1068" t="s">
        <v>4905</v>
      </c>
      <c r="G1068">
        <v>29596054</v>
      </c>
      <c r="J1068">
        <v>53.96</v>
      </c>
      <c r="L1068">
        <v>47018823</v>
      </c>
      <c r="M1068" s="1">
        <v>44258</v>
      </c>
      <c r="N1068" t="str">
        <f>"EK210303"</f>
        <v>EK210303</v>
      </c>
      <c r="O1068" t="s">
        <v>28</v>
      </c>
      <c r="Q1068" t="s">
        <v>29</v>
      </c>
      <c r="R1068" t="s">
        <v>28</v>
      </c>
      <c r="S1068" t="s">
        <v>4906</v>
      </c>
      <c r="T1068" t="s">
        <v>4907</v>
      </c>
      <c r="W1068" t="s">
        <v>392</v>
      </c>
      <c r="X1068" t="s">
        <v>34</v>
      </c>
      <c r="Y1068" t="str">
        <f>"77489"</f>
        <v>77489</v>
      </c>
    </row>
    <row r="1069" spans="1:25" x14ac:dyDescent="0.25">
      <c r="A1069" t="s">
        <v>4908</v>
      </c>
      <c r="B1069" t="s">
        <v>4909</v>
      </c>
      <c r="C1069">
        <v>2020</v>
      </c>
      <c r="D1069">
        <v>8001</v>
      </c>
      <c r="E1069">
        <v>1</v>
      </c>
      <c r="F1069" t="s">
        <v>4910</v>
      </c>
      <c r="G1069">
        <v>29461847</v>
      </c>
      <c r="J1069" s="2">
        <v>1809.34</v>
      </c>
      <c r="L1069">
        <v>46728847</v>
      </c>
      <c r="M1069" s="1">
        <v>44230</v>
      </c>
      <c r="N1069" t="str">
        <f>"EK210203"</f>
        <v>EK210203</v>
      </c>
      <c r="O1069" t="s">
        <v>28</v>
      </c>
      <c r="Q1069" t="s">
        <v>29</v>
      </c>
      <c r="R1069" t="s">
        <v>28</v>
      </c>
      <c r="S1069" t="s">
        <v>4911</v>
      </c>
      <c r="T1069" t="s">
        <v>4912</v>
      </c>
      <c r="W1069" t="s">
        <v>75</v>
      </c>
      <c r="X1069" t="s">
        <v>34</v>
      </c>
      <c r="Y1069" t="str">
        <f>"77066"</f>
        <v>77066</v>
      </c>
    </row>
    <row r="1070" spans="1:25" x14ac:dyDescent="0.25">
      <c r="A1070" t="s">
        <v>4913</v>
      </c>
      <c r="B1070" t="s">
        <v>4914</v>
      </c>
      <c r="C1070">
        <v>2019</v>
      </c>
      <c r="D1070">
        <v>8001</v>
      </c>
      <c r="E1070">
        <v>1</v>
      </c>
      <c r="F1070" t="s">
        <v>4915</v>
      </c>
      <c r="G1070">
        <v>25157308</v>
      </c>
      <c r="J1070">
        <v>31.15</v>
      </c>
      <c r="L1070">
        <v>43846118</v>
      </c>
      <c r="M1070" s="1">
        <v>43892</v>
      </c>
      <c r="N1070" t="str">
        <f>"O200302BK7"</f>
        <v>O200302BK7</v>
      </c>
      <c r="O1070" t="s">
        <v>28</v>
      </c>
      <c r="Q1070" t="s">
        <v>29</v>
      </c>
      <c r="R1070" t="s">
        <v>28</v>
      </c>
      <c r="S1070" t="s">
        <v>4916</v>
      </c>
      <c r="T1070" t="s">
        <v>4917</v>
      </c>
      <c r="W1070" t="s">
        <v>371</v>
      </c>
      <c r="X1070" t="s">
        <v>34</v>
      </c>
      <c r="Y1070" t="str">
        <f>"774774815"</f>
        <v>774774815</v>
      </c>
    </row>
    <row r="1071" spans="1:25" x14ac:dyDescent="0.25">
      <c r="A1071" t="s">
        <v>4918</v>
      </c>
      <c r="B1071" t="s">
        <v>4919</v>
      </c>
      <c r="C1071">
        <v>2020</v>
      </c>
      <c r="D1071">
        <v>8001</v>
      </c>
      <c r="E1071">
        <v>1</v>
      </c>
      <c r="F1071" t="s">
        <v>4920</v>
      </c>
      <c r="G1071">
        <v>28386426</v>
      </c>
      <c r="J1071">
        <v>45.51</v>
      </c>
      <c r="L1071">
        <v>47909572</v>
      </c>
      <c r="M1071" s="1">
        <v>44498</v>
      </c>
      <c r="N1071" t="str">
        <f>"RC211105"</f>
        <v>RC211105</v>
      </c>
      <c r="O1071" t="s">
        <v>28</v>
      </c>
      <c r="Q1071" t="s">
        <v>29</v>
      </c>
      <c r="R1071" t="s">
        <v>28</v>
      </c>
      <c r="S1071" t="s">
        <v>4921</v>
      </c>
      <c r="T1071" t="s">
        <v>2666</v>
      </c>
      <c r="U1071" t="s">
        <v>4922</v>
      </c>
      <c r="W1071" t="s">
        <v>40</v>
      </c>
      <c r="X1071" t="s">
        <v>34</v>
      </c>
      <c r="Y1071" t="str">
        <f>"77478"</f>
        <v>77478</v>
      </c>
    </row>
    <row r="1072" spans="1:25" x14ac:dyDescent="0.25">
      <c r="A1072" t="s">
        <v>4923</v>
      </c>
      <c r="B1072" t="s">
        <v>4924</v>
      </c>
      <c r="C1072">
        <v>2021</v>
      </c>
      <c r="D1072">
        <v>8001</v>
      </c>
      <c r="E1072">
        <v>2</v>
      </c>
      <c r="F1072" t="s">
        <v>4925</v>
      </c>
      <c r="G1072">
        <v>31104599</v>
      </c>
      <c r="J1072">
        <v>7.84</v>
      </c>
      <c r="L1072">
        <v>49972584</v>
      </c>
      <c r="M1072" s="1">
        <v>44595</v>
      </c>
      <c r="N1072" t="str">
        <f>"RC220307"</f>
        <v>RC220307</v>
      </c>
      <c r="O1072" t="s">
        <v>28</v>
      </c>
      <c r="Q1072" t="s">
        <v>29</v>
      </c>
      <c r="R1072" t="s">
        <v>28</v>
      </c>
      <c r="S1072" t="s">
        <v>4926</v>
      </c>
      <c r="T1072" t="s">
        <v>4927</v>
      </c>
      <c r="W1072" t="s">
        <v>40</v>
      </c>
      <c r="X1072" t="s">
        <v>34</v>
      </c>
      <c r="Y1072" t="str">
        <f>"774785360"</f>
        <v>774785360</v>
      </c>
    </row>
    <row r="1073" spans="1:25" x14ac:dyDescent="0.25">
      <c r="A1073" t="s">
        <v>4928</v>
      </c>
      <c r="B1073" t="s">
        <v>4929</v>
      </c>
      <c r="C1073">
        <v>2020</v>
      </c>
      <c r="D1073">
        <v>8001</v>
      </c>
      <c r="E1073">
        <v>1</v>
      </c>
      <c r="F1073" t="s">
        <v>4930</v>
      </c>
      <c r="G1073">
        <v>29604542</v>
      </c>
      <c r="J1073">
        <v>23.4</v>
      </c>
      <c r="L1073">
        <v>47034724</v>
      </c>
      <c r="M1073" s="1">
        <v>44259</v>
      </c>
      <c r="N1073" t="str">
        <f>"CC210304"</f>
        <v>CC210304</v>
      </c>
      <c r="O1073" t="s">
        <v>28</v>
      </c>
      <c r="Q1073" t="s">
        <v>29</v>
      </c>
      <c r="R1073" t="s">
        <v>28</v>
      </c>
      <c r="S1073" t="s">
        <v>4931</v>
      </c>
      <c r="T1073" t="s">
        <v>4932</v>
      </c>
      <c r="W1073" t="s">
        <v>371</v>
      </c>
      <c r="X1073" t="s">
        <v>34</v>
      </c>
      <c r="Y1073" t="str">
        <f>"77477"</f>
        <v>77477</v>
      </c>
    </row>
    <row r="1074" spans="1:25" x14ac:dyDescent="0.25">
      <c r="A1074" t="s">
        <v>4933</v>
      </c>
      <c r="B1074" t="s">
        <v>4934</v>
      </c>
      <c r="C1074">
        <v>2019</v>
      </c>
      <c r="D1074">
        <v>8001</v>
      </c>
      <c r="E1074">
        <v>1</v>
      </c>
      <c r="F1074" t="s">
        <v>4935</v>
      </c>
      <c r="G1074">
        <v>26536359</v>
      </c>
      <c r="J1074">
        <v>50.01</v>
      </c>
      <c r="L1074">
        <v>44118361</v>
      </c>
      <c r="M1074" s="1">
        <v>43952</v>
      </c>
      <c r="N1074" t="str">
        <f>"RC200506"</f>
        <v>RC200506</v>
      </c>
      <c r="O1074" t="s">
        <v>28</v>
      </c>
      <c r="Q1074" t="s">
        <v>29</v>
      </c>
      <c r="R1074" t="s">
        <v>28</v>
      </c>
      <c r="S1074" t="s">
        <v>1033</v>
      </c>
      <c r="T1074" t="s">
        <v>1560</v>
      </c>
      <c r="W1074" t="s">
        <v>1561</v>
      </c>
      <c r="X1074" t="s">
        <v>169</v>
      </c>
      <c r="Y1074" t="str">
        <f>"801292386"</f>
        <v>801292386</v>
      </c>
    </row>
    <row r="1075" spans="1:25" x14ac:dyDescent="0.25">
      <c r="A1075" t="s">
        <v>4936</v>
      </c>
      <c r="B1075" t="s">
        <v>4937</v>
      </c>
      <c r="C1075">
        <v>2021</v>
      </c>
      <c r="D1075">
        <v>8001</v>
      </c>
      <c r="E1075">
        <v>1</v>
      </c>
      <c r="F1075" t="s">
        <v>4938</v>
      </c>
      <c r="G1075">
        <v>0</v>
      </c>
      <c r="J1075">
        <v>57.35</v>
      </c>
      <c r="L1075">
        <v>48614597</v>
      </c>
      <c r="M1075" s="1">
        <v>44552</v>
      </c>
      <c r="N1075" t="str">
        <f>"L211222"</f>
        <v>L211222</v>
      </c>
      <c r="O1075" t="s">
        <v>28</v>
      </c>
      <c r="Q1075" t="s">
        <v>29</v>
      </c>
      <c r="R1075" t="s">
        <v>28</v>
      </c>
      <c r="S1075" t="s">
        <v>4938</v>
      </c>
      <c r="T1075" t="s">
        <v>4939</v>
      </c>
      <c r="U1075" t="s">
        <v>4940</v>
      </c>
      <c r="V1075" t="s">
        <v>3564</v>
      </c>
      <c r="W1075" t="s">
        <v>135</v>
      </c>
      <c r="X1075" t="s">
        <v>34</v>
      </c>
      <c r="Y1075" t="str">
        <f>"770582611   "</f>
        <v xml:space="preserve">770582611   </v>
      </c>
    </row>
    <row r="1076" spans="1:25" x14ac:dyDescent="0.25">
      <c r="A1076" t="s">
        <v>4941</v>
      </c>
      <c r="B1076" t="s">
        <v>4942</v>
      </c>
      <c r="C1076">
        <v>2019</v>
      </c>
      <c r="D1076">
        <v>8001</v>
      </c>
      <c r="E1076">
        <v>2</v>
      </c>
      <c r="F1076" t="s">
        <v>4943</v>
      </c>
      <c r="G1076">
        <v>0</v>
      </c>
      <c r="J1076">
        <v>20</v>
      </c>
      <c r="L1076">
        <v>43267241</v>
      </c>
      <c r="M1076" s="1">
        <v>43858</v>
      </c>
      <c r="N1076" t="str">
        <f>"L200128"</f>
        <v>L200128</v>
      </c>
      <c r="O1076" t="s">
        <v>28</v>
      </c>
      <c r="Q1076" t="s">
        <v>29</v>
      </c>
      <c r="R1076" t="s">
        <v>28</v>
      </c>
      <c r="S1076" t="s">
        <v>4943</v>
      </c>
      <c r="T1076" t="s">
        <v>4944</v>
      </c>
      <c r="U1076" t="s">
        <v>60</v>
      </c>
      <c r="V1076" t="s">
        <v>60</v>
      </c>
      <c r="W1076" t="s">
        <v>4945</v>
      </c>
      <c r="X1076" t="s">
        <v>34</v>
      </c>
      <c r="Y1076" t="str">
        <f>"760925904   "</f>
        <v xml:space="preserve">760925904   </v>
      </c>
    </row>
    <row r="1077" spans="1:25" x14ac:dyDescent="0.25">
      <c r="A1077" t="s">
        <v>4946</v>
      </c>
      <c r="B1077" t="s">
        <v>4947</v>
      </c>
      <c r="C1077">
        <v>2020</v>
      </c>
      <c r="D1077">
        <v>8001</v>
      </c>
      <c r="E1077">
        <v>1</v>
      </c>
      <c r="F1077" t="s">
        <v>4948</v>
      </c>
      <c r="G1077">
        <v>23176740</v>
      </c>
      <c r="J1077">
        <v>49.12</v>
      </c>
      <c r="L1077">
        <v>46280199</v>
      </c>
      <c r="M1077" s="1">
        <v>44221</v>
      </c>
      <c r="N1077" t="str">
        <f>"RC210225"</f>
        <v>RC210225</v>
      </c>
      <c r="O1077" t="s">
        <v>28</v>
      </c>
      <c r="Q1077" t="s">
        <v>29</v>
      </c>
      <c r="R1077" t="s">
        <v>28</v>
      </c>
      <c r="S1077" t="s">
        <v>4949</v>
      </c>
      <c r="T1077" t="s">
        <v>4950</v>
      </c>
      <c r="W1077" t="s">
        <v>81</v>
      </c>
      <c r="X1077" t="s">
        <v>34</v>
      </c>
      <c r="Y1077" t="str">
        <f>"774068605"</f>
        <v>774068605</v>
      </c>
    </row>
    <row r="1078" spans="1:25" x14ac:dyDescent="0.25">
      <c r="A1078" t="s">
        <v>4951</v>
      </c>
      <c r="B1078" t="s">
        <v>4952</v>
      </c>
      <c r="C1078">
        <v>2019</v>
      </c>
      <c r="D1078">
        <v>8001</v>
      </c>
      <c r="E1078">
        <v>1</v>
      </c>
      <c r="F1078" t="s">
        <v>4953</v>
      </c>
      <c r="G1078">
        <v>28387816</v>
      </c>
      <c r="J1078">
        <v>16.079999999999998</v>
      </c>
      <c r="L1078">
        <v>44046383</v>
      </c>
      <c r="M1078" s="1">
        <v>43930</v>
      </c>
      <c r="N1078" t="str">
        <f>"O200409BT1"</f>
        <v>O200409BT1</v>
      </c>
      <c r="O1078" t="s">
        <v>28</v>
      </c>
      <c r="Q1078" t="s">
        <v>29</v>
      </c>
      <c r="R1078" t="s">
        <v>28</v>
      </c>
      <c r="S1078" t="s">
        <v>4954</v>
      </c>
      <c r="T1078" t="s">
        <v>4955</v>
      </c>
      <c r="W1078" t="s">
        <v>154</v>
      </c>
      <c r="X1078" t="s">
        <v>34</v>
      </c>
      <c r="Y1078" t="str">
        <f>"774719762"</f>
        <v>774719762</v>
      </c>
    </row>
    <row r="1079" spans="1:25" x14ac:dyDescent="0.25">
      <c r="A1079" t="s">
        <v>4956</v>
      </c>
      <c r="B1079" t="s">
        <v>4957</v>
      </c>
      <c r="C1079">
        <v>2019</v>
      </c>
      <c r="D1079">
        <v>8001</v>
      </c>
      <c r="E1079">
        <v>1</v>
      </c>
      <c r="F1079" t="s">
        <v>4958</v>
      </c>
      <c r="G1079">
        <v>0</v>
      </c>
      <c r="J1079">
        <v>12.49</v>
      </c>
      <c r="L1079">
        <v>44120843</v>
      </c>
      <c r="M1079" s="1">
        <v>43952</v>
      </c>
      <c r="N1079" t="str">
        <f>"J200501F14"</f>
        <v>J200501F14</v>
      </c>
      <c r="O1079" t="s">
        <v>28</v>
      </c>
      <c r="Q1079" t="s">
        <v>29</v>
      </c>
      <c r="R1079" t="s">
        <v>28</v>
      </c>
      <c r="S1079" t="s">
        <v>4958</v>
      </c>
      <c r="T1079" t="s">
        <v>4959</v>
      </c>
      <c r="U1079" t="s">
        <v>60</v>
      </c>
      <c r="V1079" t="s">
        <v>60</v>
      </c>
      <c r="W1079" t="s">
        <v>296</v>
      </c>
      <c r="X1079" t="s">
        <v>34</v>
      </c>
      <c r="Y1079" t="str">
        <f>"774179487   "</f>
        <v xml:space="preserve">774179487   </v>
      </c>
    </row>
    <row r="1080" spans="1:25" x14ac:dyDescent="0.25">
      <c r="A1080" t="s">
        <v>4960</v>
      </c>
      <c r="B1080" t="s">
        <v>4961</v>
      </c>
      <c r="C1080">
        <v>2021</v>
      </c>
      <c r="D1080">
        <v>8001</v>
      </c>
      <c r="E1080">
        <v>1</v>
      </c>
      <c r="F1080" t="s">
        <v>4962</v>
      </c>
      <c r="G1080">
        <v>31128781</v>
      </c>
      <c r="J1080">
        <v>558.66999999999996</v>
      </c>
      <c r="L1080">
        <v>50091800</v>
      </c>
      <c r="M1080" s="1">
        <v>44600</v>
      </c>
      <c r="N1080" t="str">
        <f>"RC220314"</f>
        <v>RC220314</v>
      </c>
      <c r="O1080" t="s">
        <v>28</v>
      </c>
      <c r="Q1080" t="s">
        <v>29</v>
      </c>
      <c r="R1080" t="s">
        <v>28</v>
      </c>
      <c r="S1080" t="s">
        <v>4963</v>
      </c>
      <c r="T1080" t="s">
        <v>4964</v>
      </c>
      <c r="U1080" t="s">
        <v>4965</v>
      </c>
      <c r="W1080" t="s">
        <v>392</v>
      </c>
      <c r="X1080" t="s">
        <v>34</v>
      </c>
      <c r="Y1080" t="str">
        <f>"774595092"</f>
        <v>774595092</v>
      </c>
    </row>
    <row r="1081" spans="1:25" x14ac:dyDescent="0.25">
      <c r="A1081" t="s">
        <v>4966</v>
      </c>
      <c r="B1081" t="s">
        <v>4967</v>
      </c>
      <c r="C1081">
        <v>2021</v>
      </c>
      <c r="D1081">
        <v>8001</v>
      </c>
      <c r="E1081">
        <v>5</v>
      </c>
      <c r="F1081" t="s">
        <v>4968</v>
      </c>
      <c r="G1081">
        <v>30094011</v>
      </c>
      <c r="J1081">
        <v>11.02</v>
      </c>
      <c r="L1081">
        <v>47972925</v>
      </c>
      <c r="M1081" s="1">
        <v>44504</v>
      </c>
      <c r="N1081" t="str">
        <f>"CC221104"</f>
        <v>CC221104</v>
      </c>
      <c r="O1081" t="s">
        <v>28</v>
      </c>
      <c r="Q1081" t="s">
        <v>29</v>
      </c>
      <c r="R1081" t="s">
        <v>28</v>
      </c>
      <c r="S1081" t="s">
        <v>4969</v>
      </c>
      <c r="T1081" t="s">
        <v>4970</v>
      </c>
      <c r="W1081" t="s">
        <v>81</v>
      </c>
      <c r="X1081" t="s">
        <v>34</v>
      </c>
      <c r="Y1081" t="str">
        <f>"77407"</f>
        <v>77407</v>
      </c>
    </row>
    <row r="1082" spans="1:25" x14ac:dyDescent="0.25">
      <c r="A1082" t="s">
        <v>4971</v>
      </c>
      <c r="B1082" t="s">
        <v>4972</v>
      </c>
      <c r="C1082">
        <v>2019</v>
      </c>
      <c r="D1082">
        <v>8001</v>
      </c>
      <c r="E1082">
        <v>2</v>
      </c>
      <c r="F1082" t="s">
        <v>4973</v>
      </c>
      <c r="G1082">
        <v>28298286</v>
      </c>
      <c r="J1082">
        <v>152.22999999999999</v>
      </c>
      <c r="L1082">
        <v>43864402</v>
      </c>
      <c r="M1082" s="1">
        <v>43893</v>
      </c>
      <c r="N1082" t="str">
        <f>"EK400303"</f>
        <v>EK400303</v>
      </c>
      <c r="O1082" t="s">
        <v>28</v>
      </c>
      <c r="Q1082" t="s">
        <v>29</v>
      </c>
      <c r="R1082" t="s">
        <v>28</v>
      </c>
      <c r="S1082" t="s">
        <v>4974</v>
      </c>
      <c r="T1082" t="s">
        <v>4975</v>
      </c>
      <c r="W1082" t="s">
        <v>40</v>
      </c>
      <c r="X1082" t="s">
        <v>34</v>
      </c>
      <c r="Y1082" t="str">
        <f>"77479"</f>
        <v>77479</v>
      </c>
    </row>
    <row r="1083" spans="1:25" x14ac:dyDescent="0.25">
      <c r="A1083" t="s">
        <v>4976</v>
      </c>
      <c r="B1083" t="s">
        <v>4977</v>
      </c>
      <c r="C1083">
        <v>2019</v>
      </c>
      <c r="D1083">
        <v>8001</v>
      </c>
      <c r="E1083">
        <v>2</v>
      </c>
      <c r="F1083" t="s">
        <v>4978</v>
      </c>
      <c r="G1083">
        <v>28310297</v>
      </c>
      <c r="J1083">
        <v>91.06</v>
      </c>
      <c r="L1083">
        <v>43887118</v>
      </c>
      <c r="M1083" s="1">
        <v>43895</v>
      </c>
      <c r="N1083" t="str">
        <f>"CC200305"</f>
        <v>CC200305</v>
      </c>
      <c r="O1083" t="s">
        <v>28</v>
      </c>
      <c r="Q1083" t="s">
        <v>29</v>
      </c>
      <c r="R1083" t="s">
        <v>28</v>
      </c>
      <c r="S1083" t="s">
        <v>4979</v>
      </c>
      <c r="T1083" t="s">
        <v>4980</v>
      </c>
      <c r="W1083" t="s">
        <v>392</v>
      </c>
      <c r="X1083" t="s">
        <v>1831</v>
      </c>
      <c r="Y1083" t="str">
        <f>"77459"</f>
        <v>77459</v>
      </c>
    </row>
    <row r="1084" spans="1:25" x14ac:dyDescent="0.25">
      <c r="A1084" t="s">
        <v>4981</v>
      </c>
      <c r="B1084" t="s">
        <v>4982</v>
      </c>
      <c r="C1084">
        <v>2019</v>
      </c>
      <c r="D1084">
        <v>8001</v>
      </c>
      <c r="E1084">
        <v>1</v>
      </c>
      <c r="F1084" t="s">
        <v>4983</v>
      </c>
      <c r="G1084">
        <v>0</v>
      </c>
      <c r="J1084" s="2">
        <v>1355.22</v>
      </c>
      <c r="L1084">
        <v>42538009</v>
      </c>
      <c r="M1084" s="1">
        <v>43830</v>
      </c>
      <c r="N1084" t="str">
        <f>"L191231"</f>
        <v>L191231</v>
      </c>
      <c r="O1084" t="s">
        <v>28</v>
      </c>
      <c r="Q1084" t="s">
        <v>29</v>
      </c>
      <c r="R1084" t="s">
        <v>28</v>
      </c>
      <c r="S1084" t="s">
        <v>4984</v>
      </c>
      <c r="T1084" t="s">
        <v>4985</v>
      </c>
      <c r="U1084" t="s">
        <v>60</v>
      </c>
      <c r="V1084" t="s">
        <v>60</v>
      </c>
      <c r="W1084" t="s">
        <v>214</v>
      </c>
      <c r="X1084" t="s">
        <v>34</v>
      </c>
      <c r="Y1084" t="str">
        <f>"774069213   "</f>
        <v xml:space="preserve">774069213   </v>
      </c>
    </row>
    <row r="1085" spans="1:25" x14ac:dyDescent="0.25">
      <c r="A1085" t="s">
        <v>4986</v>
      </c>
      <c r="B1085" t="s">
        <v>4987</v>
      </c>
      <c r="C1085">
        <v>2019</v>
      </c>
      <c r="D1085">
        <v>8001</v>
      </c>
      <c r="E1085">
        <v>1</v>
      </c>
      <c r="F1085" t="s">
        <v>4983</v>
      </c>
      <c r="G1085">
        <v>0</v>
      </c>
      <c r="J1085">
        <v>451.74</v>
      </c>
      <c r="L1085">
        <v>42538010</v>
      </c>
      <c r="M1085" s="1">
        <v>43830</v>
      </c>
      <c r="N1085" t="str">
        <f>"L191231"</f>
        <v>L191231</v>
      </c>
      <c r="O1085" t="s">
        <v>28</v>
      </c>
      <c r="Q1085" t="s">
        <v>29</v>
      </c>
      <c r="R1085" t="s">
        <v>28</v>
      </c>
      <c r="S1085" t="s">
        <v>4984</v>
      </c>
      <c r="T1085" t="s">
        <v>4985</v>
      </c>
      <c r="U1085" t="s">
        <v>60</v>
      </c>
      <c r="V1085" t="s">
        <v>60</v>
      </c>
      <c r="W1085" t="s">
        <v>214</v>
      </c>
      <c r="X1085" t="s">
        <v>34</v>
      </c>
      <c r="Y1085" t="str">
        <f>"774069213   "</f>
        <v xml:space="preserve">774069213   </v>
      </c>
    </row>
    <row r="1086" spans="1:25" x14ac:dyDescent="0.25">
      <c r="A1086" t="s">
        <v>4988</v>
      </c>
      <c r="B1086" t="s">
        <v>4989</v>
      </c>
      <c r="C1086">
        <v>2018</v>
      </c>
      <c r="D1086">
        <v>8001</v>
      </c>
      <c r="E1086">
        <v>2</v>
      </c>
      <c r="F1086" t="s">
        <v>4990</v>
      </c>
      <c r="G1086">
        <v>24513959</v>
      </c>
      <c r="J1086">
        <v>40.770000000000003</v>
      </c>
      <c r="L1086">
        <v>41526970</v>
      </c>
      <c r="M1086" s="1">
        <v>43711</v>
      </c>
      <c r="N1086" t="str">
        <f>"O190903BS1"</f>
        <v>O190903BS1</v>
      </c>
      <c r="O1086" t="s">
        <v>28</v>
      </c>
      <c r="Q1086" t="s">
        <v>29</v>
      </c>
      <c r="R1086" t="s">
        <v>28</v>
      </c>
      <c r="S1086" t="s">
        <v>4991</v>
      </c>
      <c r="T1086" t="s">
        <v>4992</v>
      </c>
      <c r="W1086" t="s">
        <v>40</v>
      </c>
      <c r="X1086" t="s">
        <v>34</v>
      </c>
      <c r="Y1086" t="str">
        <f>"774783628"</f>
        <v>774783628</v>
      </c>
    </row>
    <row r="1087" spans="1:25" x14ac:dyDescent="0.25">
      <c r="A1087" t="s">
        <v>4993</v>
      </c>
      <c r="B1087" t="s">
        <v>4994</v>
      </c>
      <c r="C1087">
        <v>2020</v>
      </c>
      <c r="D1087">
        <v>8001</v>
      </c>
      <c r="E1087">
        <v>1</v>
      </c>
      <c r="F1087" t="s">
        <v>4995</v>
      </c>
      <c r="G1087">
        <v>0</v>
      </c>
      <c r="J1087">
        <v>37.32</v>
      </c>
      <c r="L1087">
        <v>47714646</v>
      </c>
      <c r="M1087" s="1">
        <v>44433</v>
      </c>
      <c r="N1087" t="str">
        <f>"L210825"</f>
        <v>L210825</v>
      </c>
      <c r="O1087" t="s">
        <v>28</v>
      </c>
      <c r="Q1087" t="s">
        <v>29</v>
      </c>
      <c r="R1087" t="s">
        <v>28</v>
      </c>
      <c r="S1087" t="s">
        <v>4996</v>
      </c>
      <c r="T1087" t="s">
        <v>4997</v>
      </c>
      <c r="U1087" t="s">
        <v>60</v>
      </c>
      <c r="V1087" t="s">
        <v>60</v>
      </c>
      <c r="W1087" t="s">
        <v>219</v>
      </c>
      <c r="X1087" t="s">
        <v>34</v>
      </c>
      <c r="Y1087" t="str">
        <f>"774783719   "</f>
        <v xml:space="preserve">774783719   </v>
      </c>
    </row>
    <row r="1088" spans="1:25" x14ac:dyDescent="0.25">
      <c r="A1088" t="s">
        <v>4998</v>
      </c>
      <c r="B1088" t="s">
        <v>4999</v>
      </c>
      <c r="C1088">
        <v>2019</v>
      </c>
      <c r="D1088">
        <v>8001</v>
      </c>
      <c r="E1088">
        <v>1</v>
      </c>
      <c r="F1088" t="s">
        <v>5000</v>
      </c>
      <c r="G1088">
        <v>0</v>
      </c>
      <c r="J1088">
        <v>129.27000000000001</v>
      </c>
      <c r="L1088">
        <v>43915019</v>
      </c>
      <c r="M1088" s="1">
        <v>43900</v>
      </c>
      <c r="N1088" t="str">
        <f>"J200310AW2"</f>
        <v>J200310AW2</v>
      </c>
      <c r="O1088" t="s">
        <v>28</v>
      </c>
      <c r="Q1088" t="s">
        <v>29</v>
      </c>
      <c r="R1088" t="s">
        <v>28</v>
      </c>
      <c r="S1088" t="s">
        <v>5000</v>
      </c>
      <c r="T1088" t="s">
        <v>5001</v>
      </c>
      <c r="U1088" t="s">
        <v>60</v>
      </c>
      <c r="V1088" t="s">
        <v>60</v>
      </c>
      <c r="W1088" t="s">
        <v>219</v>
      </c>
      <c r="X1088" t="s">
        <v>34</v>
      </c>
      <c r="Y1088" t="str">
        <f>"774783656   "</f>
        <v xml:space="preserve">774783656   </v>
      </c>
    </row>
    <row r="1089" spans="1:25" x14ac:dyDescent="0.25">
      <c r="A1089" t="s">
        <v>5002</v>
      </c>
      <c r="B1089" t="s">
        <v>5003</v>
      </c>
      <c r="C1089">
        <v>2020</v>
      </c>
      <c r="D1089">
        <v>8001</v>
      </c>
      <c r="E1089">
        <v>1</v>
      </c>
      <c r="F1089" t="s">
        <v>5004</v>
      </c>
      <c r="G1089">
        <v>29489487</v>
      </c>
      <c r="J1089">
        <v>994.74</v>
      </c>
      <c r="L1089">
        <v>46782186</v>
      </c>
      <c r="M1089" s="1">
        <v>44231</v>
      </c>
      <c r="N1089" t="str">
        <f>"CC210204"</f>
        <v>CC210204</v>
      </c>
      <c r="O1089" t="s">
        <v>28</v>
      </c>
      <c r="Q1089" t="s">
        <v>29</v>
      </c>
      <c r="R1089" t="s">
        <v>28</v>
      </c>
      <c r="S1089" t="s">
        <v>5005</v>
      </c>
      <c r="T1089" t="s">
        <v>5006</v>
      </c>
      <c r="W1089" t="s">
        <v>40</v>
      </c>
      <c r="X1089" t="s">
        <v>34</v>
      </c>
      <c r="Y1089" t="str">
        <f>"77479"</f>
        <v>77479</v>
      </c>
    </row>
    <row r="1090" spans="1:25" x14ac:dyDescent="0.25">
      <c r="A1090" t="s">
        <v>5007</v>
      </c>
      <c r="B1090" t="s">
        <v>5008</v>
      </c>
      <c r="C1090">
        <v>2020</v>
      </c>
      <c r="D1090">
        <v>8001</v>
      </c>
      <c r="E1090">
        <v>2</v>
      </c>
      <c r="F1090" t="s">
        <v>5009</v>
      </c>
      <c r="G1090">
        <v>29952503</v>
      </c>
      <c r="J1090">
        <v>57.43</v>
      </c>
      <c r="L1090">
        <v>47673342</v>
      </c>
      <c r="M1090" s="1">
        <v>44411</v>
      </c>
      <c r="N1090" t="str">
        <f>"EK410803"</f>
        <v>EK410803</v>
      </c>
      <c r="O1090" t="s">
        <v>28</v>
      </c>
      <c r="Q1090" t="s">
        <v>29</v>
      </c>
      <c r="R1090" t="s">
        <v>28</v>
      </c>
      <c r="S1090" t="s">
        <v>5010</v>
      </c>
      <c r="T1090" t="s">
        <v>5011</v>
      </c>
      <c r="W1090" t="s">
        <v>112</v>
      </c>
      <c r="X1090" t="s">
        <v>34</v>
      </c>
      <c r="Y1090" t="str">
        <f>"77478"</f>
        <v>77478</v>
      </c>
    </row>
    <row r="1091" spans="1:25" x14ac:dyDescent="0.25">
      <c r="A1091" t="s">
        <v>5012</v>
      </c>
      <c r="B1091" t="s">
        <v>5013</v>
      </c>
      <c r="C1091">
        <v>2020</v>
      </c>
      <c r="D1091">
        <v>8001</v>
      </c>
      <c r="E1091">
        <v>2</v>
      </c>
      <c r="F1091" t="s">
        <v>5014</v>
      </c>
      <c r="G1091">
        <v>28386426</v>
      </c>
      <c r="J1091">
        <v>144.27000000000001</v>
      </c>
      <c r="L1091">
        <v>44743928</v>
      </c>
      <c r="M1091" s="1">
        <v>44138</v>
      </c>
      <c r="N1091" t="str">
        <f>"O201103AB1"</f>
        <v>O201103AB1</v>
      </c>
      <c r="O1091" t="s">
        <v>28</v>
      </c>
      <c r="Q1091" t="s">
        <v>29</v>
      </c>
      <c r="R1091" t="s">
        <v>28</v>
      </c>
      <c r="S1091" t="s">
        <v>4921</v>
      </c>
      <c r="T1091" t="s">
        <v>2666</v>
      </c>
      <c r="U1091" t="s">
        <v>4922</v>
      </c>
      <c r="W1091" t="s">
        <v>40</v>
      </c>
      <c r="X1091" t="s">
        <v>34</v>
      </c>
      <c r="Y1091" t="str">
        <f>"77478"</f>
        <v>77478</v>
      </c>
    </row>
    <row r="1092" spans="1:25" x14ac:dyDescent="0.25">
      <c r="A1092" t="s">
        <v>5015</v>
      </c>
      <c r="B1092" t="s">
        <v>5016</v>
      </c>
      <c r="C1092">
        <v>2020</v>
      </c>
      <c r="D1092">
        <v>8001</v>
      </c>
      <c r="E1092">
        <v>1</v>
      </c>
      <c r="F1092" t="s">
        <v>5017</v>
      </c>
      <c r="G1092">
        <v>28791789</v>
      </c>
      <c r="J1092">
        <v>68.73</v>
      </c>
      <c r="L1092">
        <v>45124629</v>
      </c>
      <c r="M1092" s="1">
        <v>44172</v>
      </c>
      <c r="N1092" t="str">
        <f>"RC201217"</f>
        <v>RC201217</v>
      </c>
      <c r="O1092" t="s">
        <v>28</v>
      </c>
      <c r="Q1092" t="s">
        <v>29</v>
      </c>
      <c r="R1092" t="s">
        <v>28</v>
      </c>
      <c r="S1092" t="s">
        <v>1393</v>
      </c>
      <c r="T1092" t="s">
        <v>1394</v>
      </c>
      <c r="W1092" t="s">
        <v>1075</v>
      </c>
      <c r="X1092" t="s">
        <v>34</v>
      </c>
      <c r="Y1092" t="str">
        <f>"761771529"</f>
        <v>761771529</v>
      </c>
    </row>
    <row r="1093" spans="1:25" x14ac:dyDescent="0.25">
      <c r="A1093" t="s">
        <v>5018</v>
      </c>
      <c r="B1093" t="s">
        <v>5019</v>
      </c>
      <c r="C1093">
        <v>2019</v>
      </c>
      <c r="D1093">
        <v>8001</v>
      </c>
      <c r="E1093">
        <v>1</v>
      </c>
      <c r="F1093" t="s">
        <v>5020</v>
      </c>
      <c r="G1093">
        <v>28298289</v>
      </c>
      <c r="J1093">
        <v>67.27</v>
      </c>
      <c r="L1093">
        <v>43864405</v>
      </c>
      <c r="M1093" s="1">
        <v>43893</v>
      </c>
      <c r="N1093" t="str">
        <f>"EK400303"</f>
        <v>EK400303</v>
      </c>
      <c r="O1093" t="s">
        <v>28</v>
      </c>
      <c r="Q1093" t="s">
        <v>29</v>
      </c>
      <c r="R1093" t="s">
        <v>28</v>
      </c>
      <c r="S1093" t="s">
        <v>5021</v>
      </c>
      <c r="T1093" t="s">
        <v>5022</v>
      </c>
      <c r="W1093" t="s">
        <v>40</v>
      </c>
      <c r="X1093" t="s">
        <v>34</v>
      </c>
      <c r="Y1093" t="str">
        <f>"77498"</f>
        <v>77498</v>
      </c>
    </row>
    <row r="1094" spans="1:25" x14ac:dyDescent="0.25">
      <c r="A1094" t="s">
        <v>5023</v>
      </c>
      <c r="B1094" t="s">
        <v>5024</v>
      </c>
      <c r="C1094">
        <v>2020</v>
      </c>
      <c r="D1094">
        <v>8001</v>
      </c>
      <c r="E1094">
        <v>1</v>
      </c>
      <c r="F1094" t="s">
        <v>5025</v>
      </c>
      <c r="G1094">
        <v>29461859</v>
      </c>
      <c r="J1094">
        <v>272.12</v>
      </c>
      <c r="L1094">
        <v>46728859</v>
      </c>
      <c r="M1094" s="1">
        <v>44230</v>
      </c>
      <c r="N1094" t="str">
        <f>"EK210203"</f>
        <v>EK210203</v>
      </c>
      <c r="O1094" t="s">
        <v>28</v>
      </c>
      <c r="Q1094" t="s">
        <v>29</v>
      </c>
      <c r="R1094" t="s">
        <v>28</v>
      </c>
      <c r="S1094" t="s">
        <v>5026</v>
      </c>
      <c r="T1094" t="s">
        <v>5027</v>
      </c>
      <c r="W1094" t="s">
        <v>75</v>
      </c>
      <c r="X1094" t="s">
        <v>34</v>
      </c>
      <c r="Y1094" t="str">
        <f>"77098"</f>
        <v>77098</v>
      </c>
    </row>
    <row r="1095" spans="1:25" x14ac:dyDescent="0.25">
      <c r="A1095" t="s">
        <v>5028</v>
      </c>
      <c r="B1095" t="s">
        <v>5029</v>
      </c>
      <c r="C1095">
        <v>2020</v>
      </c>
      <c r="D1095">
        <v>8001</v>
      </c>
      <c r="E1095">
        <v>1</v>
      </c>
      <c r="F1095" t="s">
        <v>5030</v>
      </c>
      <c r="G1095">
        <v>29914610</v>
      </c>
      <c r="J1095" s="2">
        <v>2132.08</v>
      </c>
      <c r="L1095">
        <v>47594767</v>
      </c>
      <c r="M1095" s="1">
        <v>44386</v>
      </c>
      <c r="N1095" t="str">
        <f>"RC210712"</f>
        <v>RC210712</v>
      </c>
      <c r="O1095" t="s">
        <v>28</v>
      </c>
      <c r="Q1095" t="s">
        <v>29</v>
      </c>
      <c r="R1095" t="s">
        <v>28</v>
      </c>
      <c r="S1095" t="s">
        <v>5031</v>
      </c>
      <c r="T1095" t="s">
        <v>5032</v>
      </c>
      <c r="U1095" t="s">
        <v>5033</v>
      </c>
      <c r="W1095" t="s">
        <v>1371</v>
      </c>
      <c r="X1095" t="s">
        <v>34</v>
      </c>
      <c r="Y1095" t="str">
        <f>"75034"</f>
        <v>75034</v>
      </c>
    </row>
    <row r="1096" spans="1:25" x14ac:dyDescent="0.25">
      <c r="A1096" t="s">
        <v>5034</v>
      </c>
      <c r="B1096" t="s">
        <v>5035</v>
      </c>
      <c r="C1096">
        <v>2020</v>
      </c>
      <c r="D1096">
        <v>8001</v>
      </c>
      <c r="E1096">
        <v>2</v>
      </c>
      <c r="F1096" t="s">
        <v>5036</v>
      </c>
      <c r="G1096">
        <v>28692840</v>
      </c>
      <c r="J1096">
        <v>48.74</v>
      </c>
      <c r="L1096">
        <v>47258299</v>
      </c>
      <c r="M1096" s="1">
        <v>44293</v>
      </c>
      <c r="N1096" t="str">
        <f>"RC210414"</f>
        <v>RC210414</v>
      </c>
      <c r="O1096" t="s">
        <v>28</v>
      </c>
      <c r="Q1096" t="s">
        <v>29</v>
      </c>
      <c r="R1096" t="s">
        <v>28</v>
      </c>
      <c r="S1096" t="s">
        <v>1019</v>
      </c>
      <c r="T1096" t="s">
        <v>562</v>
      </c>
      <c r="W1096" t="s">
        <v>563</v>
      </c>
      <c r="X1096" t="s">
        <v>34</v>
      </c>
      <c r="Y1096" t="str">
        <f>"750630156"</f>
        <v>750630156</v>
      </c>
    </row>
    <row r="1097" spans="1:25" x14ac:dyDescent="0.25">
      <c r="A1097" t="s">
        <v>5037</v>
      </c>
      <c r="B1097" t="s">
        <v>5038</v>
      </c>
      <c r="C1097">
        <v>2020</v>
      </c>
      <c r="D1097">
        <v>8001</v>
      </c>
      <c r="E1097">
        <v>1</v>
      </c>
      <c r="F1097" t="s">
        <v>5039</v>
      </c>
      <c r="G1097">
        <v>0</v>
      </c>
      <c r="J1097">
        <v>137.81</v>
      </c>
      <c r="L1097">
        <v>45731219</v>
      </c>
      <c r="M1097" s="1">
        <v>44202</v>
      </c>
      <c r="N1097" t="str">
        <f>"EL210106"</f>
        <v>EL210106</v>
      </c>
      <c r="O1097" t="s">
        <v>28</v>
      </c>
      <c r="Q1097" t="s">
        <v>29</v>
      </c>
      <c r="R1097" t="s">
        <v>28</v>
      </c>
      <c r="S1097" t="s">
        <v>5039</v>
      </c>
      <c r="T1097" t="s">
        <v>5040</v>
      </c>
      <c r="U1097" t="s">
        <v>60</v>
      </c>
      <c r="V1097" t="s">
        <v>60</v>
      </c>
      <c r="W1097" t="s">
        <v>649</v>
      </c>
      <c r="X1097" t="s">
        <v>34</v>
      </c>
      <c r="Y1097" t="str">
        <f>"774691699   "</f>
        <v xml:space="preserve">774691699   </v>
      </c>
    </row>
    <row r="1098" spans="1:25" x14ac:dyDescent="0.25">
      <c r="A1098" t="s">
        <v>5041</v>
      </c>
      <c r="B1098" t="s">
        <v>5042</v>
      </c>
      <c r="C1098">
        <v>2020</v>
      </c>
      <c r="D1098">
        <v>8001</v>
      </c>
      <c r="E1098">
        <v>1</v>
      </c>
      <c r="F1098" t="s">
        <v>5043</v>
      </c>
      <c r="G1098">
        <v>26237607</v>
      </c>
      <c r="J1098">
        <v>470.32</v>
      </c>
      <c r="L1098">
        <v>45882005</v>
      </c>
      <c r="M1098" s="1">
        <v>44207</v>
      </c>
      <c r="N1098" t="str">
        <f>"RC210128"</f>
        <v>RC210128</v>
      </c>
      <c r="O1098" t="s">
        <v>28</v>
      </c>
      <c r="Q1098" t="s">
        <v>29</v>
      </c>
      <c r="R1098" t="s">
        <v>28</v>
      </c>
      <c r="S1098" t="s">
        <v>5044</v>
      </c>
      <c r="T1098" t="s">
        <v>5045</v>
      </c>
      <c r="W1098" t="s">
        <v>154</v>
      </c>
      <c r="X1098" t="s">
        <v>34</v>
      </c>
      <c r="Y1098" t="str">
        <f>"774714665"</f>
        <v>774714665</v>
      </c>
    </row>
    <row r="1099" spans="1:25" x14ac:dyDescent="0.25">
      <c r="A1099" t="s">
        <v>5046</v>
      </c>
      <c r="B1099" t="s">
        <v>5047</v>
      </c>
      <c r="C1099">
        <v>2020</v>
      </c>
      <c r="D1099">
        <v>8001</v>
      </c>
      <c r="E1099">
        <v>23</v>
      </c>
      <c r="F1099" t="s">
        <v>5048</v>
      </c>
      <c r="G1099">
        <v>21284284</v>
      </c>
      <c r="J1099">
        <v>106.41</v>
      </c>
      <c r="L1099">
        <v>44564079</v>
      </c>
      <c r="M1099" s="1">
        <v>44147</v>
      </c>
      <c r="N1099" t="str">
        <f>"TE201112"</f>
        <v>TE201112</v>
      </c>
      <c r="O1099" t="s">
        <v>28</v>
      </c>
      <c r="Q1099" t="s">
        <v>29</v>
      </c>
      <c r="R1099" t="s">
        <v>28</v>
      </c>
      <c r="S1099" t="s">
        <v>5049</v>
      </c>
      <c r="T1099" t="s">
        <v>5050</v>
      </c>
      <c r="W1099" t="s">
        <v>40</v>
      </c>
      <c r="X1099" t="s">
        <v>34</v>
      </c>
      <c r="Y1099" t="str">
        <f>"77498"</f>
        <v>77498</v>
      </c>
    </row>
    <row r="1100" spans="1:25" x14ac:dyDescent="0.25">
      <c r="A1100" t="s">
        <v>5051</v>
      </c>
      <c r="B1100" t="s">
        <v>5052</v>
      </c>
      <c r="C1100">
        <v>2019</v>
      </c>
      <c r="D1100">
        <v>8001</v>
      </c>
      <c r="E1100">
        <v>1</v>
      </c>
      <c r="F1100" t="s">
        <v>5053</v>
      </c>
      <c r="G1100">
        <v>28445107</v>
      </c>
      <c r="J1100">
        <v>522.91999999999996</v>
      </c>
      <c r="L1100">
        <v>44292980</v>
      </c>
      <c r="M1100" s="1">
        <v>43991</v>
      </c>
      <c r="N1100" t="str">
        <f>"J200609K6"</f>
        <v>J200609K6</v>
      </c>
      <c r="O1100" t="s">
        <v>28</v>
      </c>
      <c r="Q1100" t="s">
        <v>29</v>
      </c>
      <c r="R1100" t="s">
        <v>28</v>
      </c>
      <c r="S1100" t="s">
        <v>363</v>
      </c>
      <c r="T1100" t="s">
        <v>5054</v>
      </c>
      <c r="W1100" t="s">
        <v>5055</v>
      </c>
      <c r="X1100" t="s">
        <v>34</v>
      </c>
      <c r="Y1100" t="str">
        <f>"78154"</f>
        <v>78154</v>
      </c>
    </row>
    <row r="1101" spans="1:25" x14ac:dyDescent="0.25">
      <c r="A1101" t="s">
        <v>5056</v>
      </c>
      <c r="B1101" t="s">
        <v>5057</v>
      </c>
      <c r="C1101">
        <v>2019</v>
      </c>
      <c r="D1101">
        <v>8001</v>
      </c>
      <c r="E1101">
        <v>1</v>
      </c>
      <c r="F1101" t="s">
        <v>5058</v>
      </c>
      <c r="G1101">
        <v>0</v>
      </c>
      <c r="J1101">
        <v>22.02</v>
      </c>
      <c r="L1101">
        <v>43146812</v>
      </c>
      <c r="M1101" s="1">
        <v>43854</v>
      </c>
      <c r="N1101" t="str">
        <f>"J200124K3"</f>
        <v>J200124K3</v>
      </c>
      <c r="O1101" t="s">
        <v>28</v>
      </c>
      <c r="Q1101" t="s">
        <v>29</v>
      </c>
      <c r="R1101" t="s">
        <v>28</v>
      </c>
      <c r="S1101" t="s">
        <v>5058</v>
      </c>
      <c r="T1101" t="s">
        <v>5059</v>
      </c>
      <c r="U1101" t="s">
        <v>60</v>
      </c>
      <c r="V1101" t="s">
        <v>60</v>
      </c>
      <c r="W1101" t="s">
        <v>219</v>
      </c>
      <c r="X1101" t="s">
        <v>34</v>
      </c>
      <c r="Y1101" t="str">
        <f>"774982674   "</f>
        <v xml:space="preserve">774982674   </v>
      </c>
    </row>
    <row r="1102" spans="1:25" x14ac:dyDescent="0.25">
      <c r="A1102" t="s">
        <v>5060</v>
      </c>
      <c r="B1102" t="s">
        <v>5061</v>
      </c>
      <c r="C1102">
        <v>2019</v>
      </c>
      <c r="D1102">
        <v>8001</v>
      </c>
      <c r="E1102">
        <v>1</v>
      </c>
      <c r="F1102" t="s">
        <v>5062</v>
      </c>
      <c r="G1102">
        <v>26201591</v>
      </c>
      <c r="J1102">
        <v>318</v>
      </c>
      <c r="L1102">
        <v>43597611</v>
      </c>
      <c r="M1102" s="1">
        <v>43866</v>
      </c>
      <c r="N1102" t="str">
        <f>"O200205BB6"</f>
        <v>O200205BB6</v>
      </c>
      <c r="O1102" t="s">
        <v>28</v>
      </c>
      <c r="Q1102" t="s">
        <v>29</v>
      </c>
      <c r="R1102" t="s">
        <v>28</v>
      </c>
      <c r="S1102" t="s">
        <v>5063</v>
      </c>
      <c r="T1102" t="s">
        <v>5064</v>
      </c>
      <c r="W1102" t="s">
        <v>40</v>
      </c>
      <c r="X1102" t="s">
        <v>34</v>
      </c>
      <c r="Y1102" t="str">
        <f>"77498"</f>
        <v>77498</v>
      </c>
    </row>
    <row r="1103" spans="1:25" x14ac:dyDescent="0.25">
      <c r="A1103" t="s">
        <v>5065</v>
      </c>
      <c r="B1103" t="s">
        <v>5066</v>
      </c>
      <c r="C1103">
        <v>2021</v>
      </c>
      <c r="D1103">
        <v>8001</v>
      </c>
      <c r="E1103">
        <v>1</v>
      </c>
      <c r="F1103" t="s">
        <v>5067</v>
      </c>
      <c r="G1103">
        <v>30077448</v>
      </c>
      <c r="J1103">
        <v>571.54999999999995</v>
      </c>
      <c r="L1103">
        <v>49025276</v>
      </c>
      <c r="M1103" s="1">
        <v>44568</v>
      </c>
      <c r="N1103" t="str">
        <f>"RC220209"</f>
        <v>RC220209</v>
      </c>
      <c r="O1103" t="s">
        <v>28</v>
      </c>
      <c r="Q1103" t="s">
        <v>29</v>
      </c>
      <c r="R1103" t="s">
        <v>28</v>
      </c>
      <c r="S1103" t="s">
        <v>5068</v>
      </c>
      <c r="T1103" t="s">
        <v>5069</v>
      </c>
      <c r="W1103" t="s">
        <v>5070</v>
      </c>
      <c r="X1103" t="s">
        <v>34</v>
      </c>
      <c r="Y1103" t="str">
        <f>"786204508"</f>
        <v>786204508</v>
      </c>
    </row>
    <row r="1104" spans="1:25" x14ac:dyDescent="0.25">
      <c r="A1104" t="s">
        <v>5071</v>
      </c>
      <c r="B1104" t="s">
        <v>5072</v>
      </c>
      <c r="C1104">
        <v>2019</v>
      </c>
      <c r="D1104">
        <v>8001</v>
      </c>
      <c r="E1104">
        <v>12</v>
      </c>
      <c r="F1104" t="s">
        <v>5073</v>
      </c>
      <c r="G1104">
        <v>23941971</v>
      </c>
      <c r="J1104">
        <v>9.11</v>
      </c>
      <c r="L1104">
        <v>43037650</v>
      </c>
      <c r="M1104" s="1">
        <v>43851</v>
      </c>
      <c r="N1104" t="str">
        <f>"O200121AC6"</f>
        <v>O200121AC6</v>
      </c>
      <c r="O1104" t="s">
        <v>28</v>
      </c>
      <c r="Q1104" t="s">
        <v>29</v>
      </c>
      <c r="R1104" t="s">
        <v>28</v>
      </c>
      <c r="S1104" t="s">
        <v>5074</v>
      </c>
      <c r="T1104" t="s">
        <v>5075</v>
      </c>
      <c r="W1104" t="s">
        <v>40</v>
      </c>
      <c r="X1104" t="s">
        <v>34</v>
      </c>
      <c r="Y1104" t="str">
        <f>"774985614"</f>
        <v>774985614</v>
      </c>
    </row>
    <row r="1105" spans="1:25" x14ac:dyDescent="0.25">
      <c r="A1105" t="s">
        <v>5076</v>
      </c>
      <c r="B1105" t="s">
        <v>5077</v>
      </c>
      <c r="C1105">
        <v>2021</v>
      </c>
      <c r="D1105">
        <v>8001</v>
      </c>
      <c r="E1105">
        <v>2</v>
      </c>
      <c r="F1105" t="s">
        <v>5078</v>
      </c>
      <c r="G1105">
        <v>30170275</v>
      </c>
      <c r="J1105">
        <v>16.809999999999999</v>
      </c>
      <c r="L1105">
        <v>48193252</v>
      </c>
      <c r="M1105" s="1">
        <v>44524</v>
      </c>
      <c r="N1105" t="str">
        <f>"EK211124"</f>
        <v>EK211124</v>
      </c>
      <c r="O1105" t="s">
        <v>28</v>
      </c>
      <c r="Q1105" t="s">
        <v>29</v>
      </c>
      <c r="R1105" t="s">
        <v>28</v>
      </c>
      <c r="S1105" t="s">
        <v>5079</v>
      </c>
      <c r="T1105" t="s">
        <v>5080</v>
      </c>
      <c r="W1105" t="s">
        <v>727</v>
      </c>
      <c r="X1105" t="s">
        <v>34</v>
      </c>
      <c r="Y1105" t="str">
        <f>"77583"</f>
        <v>77583</v>
      </c>
    </row>
    <row r="1106" spans="1:25" x14ac:dyDescent="0.25">
      <c r="A1106" t="s">
        <v>5081</v>
      </c>
      <c r="B1106" t="s">
        <v>5082</v>
      </c>
      <c r="C1106">
        <v>2020</v>
      </c>
      <c r="D1106">
        <v>8001</v>
      </c>
      <c r="E1106">
        <v>1</v>
      </c>
      <c r="F1106" t="s">
        <v>5083</v>
      </c>
      <c r="G1106">
        <v>0</v>
      </c>
      <c r="J1106">
        <v>20.59</v>
      </c>
      <c r="L1106">
        <v>46885366</v>
      </c>
      <c r="M1106" s="1">
        <v>44236</v>
      </c>
      <c r="N1106" t="str">
        <f>"J210209BW9"</f>
        <v>J210209BW9</v>
      </c>
      <c r="O1106" t="s">
        <v>28</v>
      </c>
      <c r="Q1106" t="s">
        <v>29</v>
      </c>
      <c r="R1106" t="s">
        <v>28</v>
      </c>
      <c r="S1106" t="s">
        <v>5083</v>
      </c>
      <c r="T1106" t="s">
        <v>5084</v>
      </c>
      <c r="U1106" t="s">
        <v>5085</v>
      </c>
      <c r="V1106" t="s">
        <v>60</v>
      </c>
      <c r="W1106" t="s">
        <v>5086</v>
      </c>
      <c r="X1106" t="s">
        <v>317</v>
      </c>
      <c r="Y1106" t="str">
        <f>"906501301   "</f>
        <v xml:space="preserve">906501301   </v>
      </c>
    </row>
    <row r="1107" spans="1:25" x14ac:dyDescent="0.25">
      <c r="A1107" t="s">
        <v>5087</v>
      </c>
      <c r="B1107" t="s">
        <v>5088</v>
      </c>
      <c r="C1107">
        <v>2020</v>
      </c>
      <c r="D1107">
        <v>8001</v>
      </c>
      <c r="E1107">
        <v>1</v>
      </c>
      <c r="F1107" t="s">
        <v>5089</v>
      </c>
      <c r="G1107">
        <v>29559999</v>
      </c>
      <c r="J1107" s="2">
        <v>1706.78</v>
      </c>
      <c r="L1107">
        <v>46396232</v>
      </c>
      <c r="M1107" s="1">
        <v>44223</v>
      </c>
      <c r="N1107" t="str">
        <f>"RC210225"</f>
        <v>RC210225</v>
      </c>
      <c r="O1107" t="s">
        <v>28</v>
      </c>
      <c r="Q1107" t="s">
        <v>29</v>
      </c>
      <c r="R1107" t="s">
        <v>28</v>
      </c>
      <c r="S1107" t="s">
        <v>5090</v>
      </c>
      <c r="T1107" t="s">
        <v>5091</v>
      </c>
      <c r="U1107" t="s">
        <v>5092</v>
      </c>
      <c r="W1107" t="s">
        <v>75</v>
      </c>
      <c r="X1107" t="s">
        <v>34</v>
      </c>
      <c r="Y1107" t="str">
        <f>"772076715"</f>
        <v>772076715</v>
      </c>
    </row>
    <row r="1108" spans="1:25" x14ac:dyDescent="0.25">
      <c r="A1108" t="s">
        <v>5093</v>
      </c>
      <c r="B1108" t="s">
        <v>5094</v>
      </c>
      <c r="C1108">
        <v>2019</v>
      </c>
      <c r="D1108">
        <v>8001</v>
      </c>
      <c r="E1108">
        <v>2</v>
      </c>
      <c r="F1108" t="s">
        <v>5095</v>
      </c>
      <c r="G1108">
        <v>203200</v>
      </c>
      <c r="J1108">
        <v>12.83</v>
      </c>
      <c r="L1108">
        <v>43907989</v>
      </c>
      <c r="M1108" s="1">
        <v>43899</v>
      </c>
      <c r="N1108" t="str">
        <f>"J200309AW2"</f>
        <v>J200309AW2</v>
      </c>
      <c r="O1108" t="s">
        <v>28</v>
      </c>
      <c r="Q1108" t="s">
        <v>29</v>
      </c>
      <c r="R1108" t="s">
        <v>28</v>
      </c>
      <c r="S1108" t="s">
        <v>1909</v>
      </c>
      <c r="T1108" t="s">
        <v>1910</v>
      </c>
      <c r="W1108" t="s">
        <v>1911</v>
      </c>
      <c r="X1108" t="s">
        <v>317</v>
      </c>
      <c r="Y1108" t="str">
        <f>"900514387"</f>
        <v>900514387</v>
      </c>
    </row>
    <row r="1109" spans="1:25" x14ac:dyDescent="0.25">
      <c r="A1109" t="s">
        <v>5096</v>
      </c>
      <c r="B1109" t="s">
        <v>5097</v>
      </c>
      <c r="C1109">
        <v>2021</v>
      </c>
      <c r="D1109">
        <v>8001</v>
      </c>
      <c r="E1109">
        <v>1</v>
      </c>
      <c r="F1109" t="s">
        <v>5098</v>
      </c>
      <c r="G1109">
        <v>28406245</v>
      </c>
      <c r="J1109">
        <v>131.66</v>
      </c>
      <c r="L1109">
        <v>49478167</v>
      </c>
      <c r="M1109" s="1">
        <v>44586</v>
      </c>
      <c r="N1109" t="str">
        <f>"RC220309"</f>
        <v>RC220309</v>
      </c>
      <c r="O1109" t="s">
        <v>28</v>
      </c>
      <c r="Q1109" t="s">
        <v>29</v>
      </c>
      <c r="R1109" t="s">
        <v>28</v>
      </c>
      <c r="S1109" t="s">
        <v>1474</v>
      </c>
      <c r="T1109" t="s">
        <v>1475</v>
      </c>
      <c r="W1109" t="s">
        <v>33</v>
      </c>
      <c r="X1109" t="s">
        <v>34</v>
      </c>
      <c r="Y1109" t="str">
        <f>"75093"</f>
        <v>75093</v>
      </c>
    </row>
    <row r="1110" spans="1:25" x14ac:dyDescent="0.25">
      <c r="A1110" t="s">
        <v>5099</v>
      </c>
      <c r="B1110" t="s">
        <v>5100</v>
      </c>
      <c r="C1110">
        <v>2020</v>
      </c>
      <c r="D1110">
        <v>8001</v>
      </c>
      <c r="E1110">
        <v>1</v>
      </c>
      <c r="F1110" t="s">
        <v>5101</v>
      </c>
      <c r="G1110">
        <v>29771819</v>
      </c>
      <c r="J1110">
        <v>353.74</v>
      </c>
      <c r="L1110">
        <v>47321103</v>
      </c>
      <c r="M1110" s="1">
        <v>44308</v>
      </c>
      <c r="N1110" t="str">
        <f>"RC210428"</f>
        <v>RC210428</v>
      </c>
      <c r="O1110" t="s">
        <v>28</v>
      </c>
      <c r="Q1110" t="s">
        <v>29</v>
      </c>
      <c r="R1110" t="s">
        <v>28</v>
      </c>
      <c r="S1110" t="s">
        <v>5102</v>
      </c>
      <c r="T1110" t="s">
        <v>5103</v>
      </c>
      <c r="W1110" t="s">
        <v>75</v>
      </c>
      <c r="X1110" t="s">
        <v>34</v>
      </c>
      <c r="Y1110" t="str">
        <f>"7700350403"</f>
        <v>7700350403</v>
      </c>
    </row>
    <row r="1111" spans="1:25" x14ac:dyDescent="0.25">
      <c r="A1111" t="s">
        <v>5104</v>
      </c>
      <c r="B1111" t="s">
        <v>5105</v>
      </c>
      <c r="C1111">
        <v>2019</v>
      </c>
      <c r="D1111">
        <v>8001</v>
      </c>
      <c r="E1111">
        <v>1</v>
      </c>
      <c r="F1111" t="s">
        <v>5106</v>
      </c>
      <c r="G1111">
        <v>28310321</v>
      </c>
      <c r="J1111">
        <v>15.31</v>
      </c>
      <c r="L1111">
        <v>43887142</v>
      </c>
      <c r="M1111" s="1">
        <v>43895</v>
      </c>
      <c r="N1111" t="str">
        <f>"CC200305"</f>
        <v>CC200305</v>
      </c>
      <c r="O1111" t="s">
        <v>28</v>
      </c>
      <c r="Q1111" t="s">
        <v>29</v>
      </c>
      <c r="R1111" t="s">
        <v>28</v>
      </c>
      <c r="S1111" t="s">
        <v>5107</v>
      </c>
      <c r="T1111" t="s">
        <v>5108</v>
      </c>
      <c r="W1111" t="s">
        <v>869</v>
      </c>
      <c r="X1111" t="s">
        <v>34</v>
      </c>
      <c r="Y1111" t="str">
        <f>"77417"</f>
        <v>77417</v>
      </c>
    </row>
    <row r="1112" spans="1:25" x14ac:dyDescent="0.25">
      <c r="A1112" t="s">
        <v>5109</v>
      </c>
      <c r="B1112" t="s">
        <v>5110</v>
      </c>
      <c r="C1112">
        <v>2020</v>
      </c>
      <c r="D1112">
        <v>8001</v>
      </c>
      <c r="E1112">
        <v>5</v>
      </c>
      <c r="F1112" t="s">
        <v>5111</v>
      </c>
      <c r="G1112">
        <v>29999612</v>
      </c>
      <c r="J1112">
        <v>29.91</v>
      </c>
      <c r="L1112">
        <v>47728760</v>
      </c>
      <c r="M1112" s="1">
        <v>44440</v>
      </c>
      <c r="N1112" t="str">
        <f>"RC210915"</f>
        <v>RC210915</v>
      </c>
      <c r="O1112" t="s">
        <v>28</v>
      </c>
      <c r="Q1112" t="s">
        <v>29</v>
      </c>
      <c r="R1112" t="s">
        <v>28</v>
      </c>
      <c r="S1112" t="s">
        <v>561</v>
      </c>
      <c r="T1112" t="s">
        <v>562</v>
      </c>
      <c r="W1112" t="s">
        <v>563</v>
      </c>
      <c r="X1112" t="s">
        <v>34</v>
      </c>
      <c r="Y1112" t="str">
        <f>"75063-0156"</f>
        <v>75063-0156</v>
      </c>
    </row>
    <row r="1113" spans="1:25" x14ac:dyDescent="0.25">
      <c r="A1113" t="s">
        <v>5112</v>
      </c>
      <c r="B1113" t="s">
        <v>5113</v>
      </c>
      <c r="C1113">
        <v>2020</v>
      </c>
      <c r="D1113">
        <v>8001</v>
      </c>
      <c r="E1113">
        <v>1</v>
      </c>
      <c r="F1113" t="s">
        <v>5114</v>
      </c>
      <c r="G1113">
        <v>29860021</v>
      </c>
      <c r="J1113">
        <v>12.21</v>
      </c>
      <c r="L1113">
        <v>47554616</v>
      </c>
      <c r="M1113" s="1">
        <v>44372</v>
      </c>
      <c r="N1113" t="str">
        <f>"O210625V1"</f>
        <v>O210625V1</v>
      </c>
      <c r="O1113" t="s">
        <v>28</v>
      </c>
      <c r="Q1113" t="s">
        <v>29</v>
      </c>
      <c r="R1113" t="s">
        <v>28</v>
      </c>
      <c r="S1113" t="s">
        <v>5115</v>
      </c>
      <c r="T1113" t="s">
        <v>5116</v>
      </c>
      <c r="W1113" t="s">
        <v>75</v>
      </c>
      <c r="X1113" t="s">
        <v>34</v>
      </c>
      <c r="Y1113" t="str">
        <f>"770032510"</f>
        <v>770032510</v>
      </c>
    </row>
    <row r="1114" spans="1:25" x14ac:dyDescent="0.25">
      <c r="A1114" t="s">
        <v>5117</v>
      </c>
      <c r="B1114" t="s">
        <v>5118</v>
      </c>
      <c r="C1114">
        <v>2020</v>
      </c>
      <c r="D1114">
        <v>8001</v>
      </c>
      <c r="E1114">
        <v>8</v>
      </c>
      <c r="F1114" t="s">
        <v>5119</v>
      </c>
      <c r="G1114">
        <v>0</v>
      </c>
      <c r="J1114">
        <v>25.6</v>
      </c>
      <c r="L1114">
        <v>45219336</v>
      </c>
      <c r="M1114" s="1">
        <v>44175</v>
      </c>
      <c r="N1114" t="str">
        <f>"L201210"</f>
        <v>L201210</v>
      </c>
      <c r="O1114" t="s">
        <v>28</v>
      </c>
      <c r="Q1114" t="s">
        <v>29</v>
      </c>
      <c r="R1114" t="s">
        <v>28</v>
      </c>
      <c r="S1114" t="s">
        <v>5119</v>
      </c>
      <c r="T1114" t="s">
        <v>5120</v>
      </c>
      <c r="U1114" t="s">
        <v>60</v>
      </c>
      <c r="V1114" t="s">
        <v>60</v>
      </c>
      <c r="W1114" t="s">
        <v>219</v>
      </c>
      <c r="X1114" t="s">
        <v>34</v>
      </c>
      <c r="Y1114" t="str">
        <f>"774784219   "</f>
        <v xml:space="preserve">774784219   </v>
      </c>
    </row>
    <row r="1115" spans="1:25" x14ac:dyDescent="0.25">
      <c r="A1115" t="s">
        <v>5121</v>
      </c>
      <c r="B1115" t="s">
        <v>5122</v>
      </c>
      <c r="C1115">
        <v>2020</v>
      </c>
      <c r="D1115">
        <v>8001</v>
      </c>
      <c r="E1115">
        <v>1</v>
      </c>
      <c r="F1115" t="s">
        <v>5123</v>
      </c>
      <c r="G1115">
        <v>21608361</v>
      </c>
      <c r="J1115">
        <v>7</v>
      </c>
      <c r="L1115">
        <v>45747665</v>
      </c>
      <c r="M1115" s="1">
        <v>44202</v>
      </c>
      <c r="N1115" t="str">
        <f>"RC210120"</f>
        <v>RC210120</v>
      </c>
      <c r="O1115" t="s">
        <v>28</v>
      </c>
      <c r="Q1115" t="s">
        <v>29</v>
      </c>
      <c r="R1115" t="s">
        <v>28</v>
      </c>
      <c r="S1115" t="s">
        <v>5124</v>
      </c>
      <c r="T1115" t="s">
        <v>5125</v>
      </c>
      <c r="W1115" t="s">
        <v>40</v>
      </c>
      <c r="X1115" t="s">
        <v>34</v>
      </c>
      <c r="Y1115" t="str">
        <f>"774784266"</f>
        <v>774784266</v>
      </c>
    </row>
    <row r="1116" spans="1:25" x14ac:dyDescent="0.25">
      <c r="A1116" t="s">
        <v>5126</v>
      </c>
      <c r="B1116" t="s">
        <v>5127</v>
      </c>
      <c r="C1116">
        <v>2019</v>
      </c>
      <c r="D1116">
        <v>8001</v>
      </c>
      <c r="E1116">
        <v>1</v>
      </c>
      <c r="F1116" t="s">
        <v>5128</v>
      </c>
      <c r="G1116">
        <v>28305499</v>
      </c>
      <c r="J1116">
        <v>304.01</v>
      </c>
      <c r="L1116">
        <v>43875251</v>
      </c>
      <c r="M1116" s="1">
        <v>43894</v>
      </c>
      <c r="N1116" t="str">
        <f>"CC400304"</f>
        <v>CC400304</v>
      </c>
      <c r="O1116" t="s">
        <v>28</v>
      </c>
      <c r="Q1116" t="s">
        <v>29</v>
      </c>
      <c r="R1116" t="s">
        <v>28</v>
      </c>
      <c r="S1116" t="s">
        <v>5129</v>
      </c>
      <c r="T1116" t="s">
        <v>5130</v>
      </c>
      <c r="W1116" t="s">
        <v>40</v>
      </c>
      <c r="X1116" t="s">
        <v>34</v>
      </c>
      <c r="Y1116" t="str">
        <f>"774792288"</f>
        <v>774792288</v>
      </c>
    </row>
    <row r="1117" spans="1:25" x14ac:dyDescent="0.25">
      <c r="A1117" t="s">
        <v>5131</v>
      </c>
      <c r="B1117" t="s">
        <v>5132</v>
      </c>
      <c r="C1117">
        <v>2020</v>
      </c>
      <c r="D1117">
        <v>8001</v>
      </c>
      <c r="E1117">
        <v>3</v>
      </c>
      <c r="F1117" t="s">
        <v>5133</v>
      </c>
      <c r="G1117">
        <v>22809016</v>
      </c>
      <c r="J1117">
        <v>625.11</v>
      </c>
      <c r="L1117">
        <v>47731317</v>
      </c>
      <c r="M1117" s="1">
        <v>44441</v>
      </c>
      <c r="N1117" t="str">
        <f>"RC210915"</f>
        <v>RC210915</v>
      </c>
      <c r="O1117" t="s">
        <v>28</v>
      </c>
      <c r="Q1117" t="s">
        <v>29</v>
      </c>
      <c r="R1117" t="s">
        <v>28</v>
      </c>
      <c r="S1117" t="s">
        <v>5134</v>
      </c>
      <c r="T1117" t="s">
        <v>5135</v>
      </c>
      <c r="W1117" t="s">
        <v>40</v>
      </c>
      <c r="X1117" t="s">
        <v>34</v>
      </c>
      <c r="Y1117" t="str">
        <f>"774791588"</f>
        <v>774791588</v>
      </c>
    </row>
    <row r="1118" spans="1:25" x14ac:dyDescent="0.25">
      <c r="A1118" t="s">
        <v>5136</v>
      </c>
      <c r="B1118" t="s">
        <v>5137</v>
      </c>
      <c r="C1118">
        <v>2018</v>
      </c>
      <c r="D1118">
        <v>8001</v>
      </c>
      <c r="E1118">
        <v>9</v>
      </c>
      <c r="F1118" t="s">
        <v>5138</v>
      </c>
      <c r="G1118">
        <v>27259102</v>
      </c>
      <c r="J1118">
        <v>18.7</v>
      </c>
      <c r="L1118">
        <v>40895434</v>
      </c>
      <c r="M1118" s="1">
        <v>43529</v>
      </c>
      <c r="N1118" t="str">
        <f>"EK390305"</f>
        <v>EK390305</v>
      </c>
      <c r="O1118" t="s">
        <v>28</v>
      </c>
      <c r="Q1118" t="s">
        <v>29</v>
      </c>
      <c r="R1118" t="s">
        <v>28</v>
      </c>
      <c r="S1118" t="s">
        <v>5139</v>
      </c>
      <c r="T1118" t="s">
        <v>5140</v>
      </c>
      <c r="W1118" t="s">
        <v>40</v>
      </c>
      <c r="X1118" t="s">
        <v>34</v>
      </c>
      <c r="Y1118" t="str">
        <f>"77479"</f>
        <v>77479</v>
      </c>
    </row>
    <row r="1119" spans="1:25" x14ac:dyDescent="0.25">
      <c r="A1119" t="s">
        <v>5141</v>
      </c>
      <c r="B1119" t="s">
        <v>5142</v>
      </c>
      <c r="C1119">
        <v>2019</v>
      </c>
      <c r="D1119">
        <v>8001</v>
      </c>
      <c r="E1119">
        <v>1</v>
      </c>
      <c r="F1119" t="s">
        <v>5143</v>
      </c>
      <c r="G1119">
        <v>22993312</v>
      </c>
      <c r="J1119">
        <v>41.93</v>
      </c>
      <c r="L1119">
        <v>44288765</v>
      </c>
      <c r="M1119" s="1">
        <v>43990</v>
      </c>
      <c r="N1119" t="str">
        <f>"J200608K5"</f>
        <v>J200608K5</v>
      </c>
      <c r="O1119" t="s">
        <v>28</v>
      </c>
      <c r="Q1119" t="s">
        <v>29</v>
      </c>
      <c r="R1119" t="s">
        <v>28</v>
      </c>
      <c r="S1119" t="s">
        <v>1794</v>
      </c>
      <c r="T1119" t="s">
        <v>1795</v>
      </c>
      <c r="W1119" t="s">
        <v>1615</v>
      </c>
      <c r="X1119" t="s">
        <v>143</v>
      </c>
      <c r="Y1119" t="str">
        <f>"191156320"</f>
        <v>191156320</v>
      </c>
    </row>
    <row r="1120" spans="1:25" x14ac:dyDescent="0.25">
      <c r="A1120" t="s">
        <v>5144</v>
      </c>
      <c r="B1120" t="s">
        <v>5145</v>
      </c>
      <c r="C1120">
        <v>2020</v>
      </c>
      <c r="D1120">
        <v>8001</v>
      </c>
      <c r="E1120">
        <v>1</v>
      </c>
      <c r="F1120" t="s">
        <v>5146</v>
      </c>
      <c r="G1120">
        <v>29461884</v>
      </c>
      <c r="J1120">
        <v>998.64</v>
      </c>
      <c r="L1120">
        <v>46728884</v>
      </c>
      <c r="M1120" s="1">
        <v>44230</v>
      </c>
      <c r="N1120" t="str">
        <f>"EK210203"</f>
        <v>EK210203</v>
      </c>
      <c r="O1120" t="s">
        <v>28</v>
      </c>
      <c r="Q1120" t="s">
        <v>29</v>
      </c>
      <c r="R1120" t="s">
        <v>28</v>
      </c>
      <c r="S1120" t="s">
        <v>5147</v>
      </c>
      <c r="T1120" t="s">
        <v>5148</v>
      </c>
      <c r="W1120" t="s">
        <v>40</v>
      </c>
      <c r="X1120" t="s">
        <v>34</v>
      </c>
      <c r="Y1120" t="str">
        <f>"77479"</f>
        <v>77479</v>
      </c>
    </row>
    <row r="1121" spans="1:25" x14ac:dyDescent="0.25">
      <c r="A1121" t="s">
        <v>5149</v>
      </c>
      <c r="B1121" t="s">
        <v>5150</v>
      </c>
      <c r="C1121">
        <v>2020</v>
      </c>
      <c r="D1121">
        <v>8001</v>
      </c>
      <c r="E1121">
        <v>1</v>
      </c>
      <c r="F1121" t="s">
        <v>5151</v>
      </c>
      <c r="G1121">
        <v>29461603</v>
      </c>
      <c r="J1121">
        <v>382.03</v>
      </c>
      <c r="L1121">
        <v>46728603</v>
      </c>
      <c r="M1121" s="1">
        <v>44230</v>
      </c>
      <c r="N1121" t="str">
        <f>"EK210203"</f>
        <v>EK210203</v>
      </c>
      <c r="O1121" t="s">
        <v>28</v>
      </c>
      <c r="Q1121" t="s">
        <v>29</v>
      </c>
      <c r="R1121" t="s">
        <v>28</v>
      </c>
      <c r="S1121" t="s">
        <v>5152</v>
      </c>
      <c r="T1121" t="s">
        <v>5153</v>
      </c>
      <c r="W1121" t="s">
        <v>40</v>
      </c>
      <c r="X1121" t="s">
        <v>34</v>
      </c>
      <c r="Y1121" t="str">
        <f>"77479"</f>
        <v>77479</v>
      </c>
    </row>
    <row r="1122" spans="1:25" x14ac:dyDescent="0.25">
      <c r="A1122" t="s">
        <v>5154</v>
      </c>
      <c r="B1122" t="s">
        <v>5155</v>
      </c>
      <c r="C1122">
        <v>2020</v>
      </c>
      <c r="D1122">
        <v>8001</v>
      </c>
      <c r="E1122">
        <v>1</v>
      </c>
      <c r="F1122" t="s">
        <v>5156</v>
      </c>
      <c r="G1122">
        <v>29596059</v>
      </c>
      <c r="J1122">
        <v>12.15</v>
      </c>
      <c r="L1122">
        <v>47018828</v>
      </c>
      <c r="M1122" s="1">
        <v>44258</v>
      </c>
      <c r="N1122" t="str">
        <f>"EK210303"</f>
        <v>EK210303</v>
      </c>
      <c r="O1122" t="s">
        <v>28</v>
      </c>
      <c r="Q1122" t="s">
        <v>29</v>
      </c>
      <c r="R1122" t="s">
        <v>28</v>
      </c>
      <c r="S1122" t="s">
        <v>5157</v>
      </c>
      <c r="T1122" t="s">
        <v>5158</v>
      </c>
      <c r="W1122" t="s">
        <v>154</v>
      </c>
      <c r="X1122" t="s">
        <v>34</v>
      </c>
      <c r="Y1122" t="str">
        <f>"77471"</f>
        <v>77471</v>
      </c>
    </row>
    <row r="1123" spans="1:25" x14ac:dyDescent="0.25">
      <c r="A1123" t="s">
        <v>5159</v>
      </c>
      <c r="B1123" t="s">
        <v>5160</v>
      </c>
      <c r="C1123">
        <v>2019</v>
      </c>
      <c r="D1123">
        <v>8001</v>
      </c>
      <c r="E1123">
        <v>1</v>
      </c>
      <c r="F1123" t="s">
        <v>5161</v>
      </c>
      <c r="G1123">
        <v>27822347</v>
      </c>
      <c r="J1123">
        <v>6.9</v>
      </c>
      <c r="L1123">
        <v>42569998</v>
      </c>
      <c r="M1123" s="1">
        <v>43832</v>
      </c>
      <c r="N1123" t="str">
        <f>"J200102AW7"</f>
        <v>J200102AW7</v>
      </c>
      <c r="O1123" t="s">
        <v>28</v>
      </c>
      <c r="Q1123" t="s">
        <v>29</v>
      </c>
      <c r="R1123" t="s">
        <v>28</v>
      </c>
      <c r="S1123" t="s">
        <v>1816</v>
      </c>
      <c r="T1123" t="s">
        <v>5162</v>
      </c>
      <c r="U1123" t="s">
        <v>5163</v>
      </c>
      <c r="W1123" t="s">
        <v>75</v>
      </c>
      <c r="X1123" t="s">
        <v>34</v>
      </c>
      <c r="Y1123" t="str">
        <f>"770274521"</f>
        <v>770274521</v>
      </c>
    </row>
    <row r="1124" spans="1:25" x14ac:dyDescent="0.25">
      <c r="A1124" t="s">
        <v>5164</v>
      </c>
      <c r="B1124" t="s">
        <v>5165</v>
      </c>
      <c r="C1124">
        <v>2020</v>
      </c>
      <c r="D1124">
        <v>8001</v>
      </c>
      <c r="E1124">
        <v>2</v>
      </c>
      <c r="F1124" t="s">
        <v>5166</v>
      </c>
      <c r="G1124">
        <v>29591322</v>
      </c>
      <c r="J1124">
        <v>110</v>
      </c>
      <c r="L1124">
        <v>47011579</v>
      </c>
      <c r="M1124" s="1">
        <v>44257</v>
      </c>
      <c r="N1124" t="str">
        <f>"EK210302"</f>
        <v>EK210302</v>
      </c>
      <c r="O1124" t="s">
        <v>28</v>
      </c>
      <c r="Q1124" t="s">
        <v>29</v>
      </c>
      <c r="R1124" t="s">
        <v>28</v>
      </c>
      <c r="S1124" t="s">
        <v>5167</v>
      </c>
      <c r="T1124" t="s">
        <v>5168</v>
      </c>
      <c r="W1124" t="s">
        <v>81</v>
      </c>
      <c r="X1124" t="s">
        <v>34</v>
      </c>
      <c r="Y1124" t="str">
        <f>"77469"</f>
        <v>77469</v>
      </c>
    </row>
    <row r="1125" spans="1:25" x14ac:dyDescent="0.25">
      <c r="A1125" t="s">
        <v>5169</v>
      </c>
      <c r="B1125" t="s">
        <v>5170</v>
      </c>
      <c r="C1125">
        <v>2021</v>
      </c>
      <c r="D1125">
        <v>8001</v>
      </c>
      <c r="E1125">
        <v>3</v>
      </c>
      <c r="F1125" t="s">
        <v>5171</v>
      </c>
      <c r="G1125">
        <v>30933535</v>
      </c>
      <c r="J1125">
        <v>70</v>
      </c>
      <c r="L1125">
        <v>49979392</v>
      </c>
      <c r="M1125" s="1">
        <v>44662</v>
      </c>
      <c r="N1125" t="str">
        <f>"T220411AJ1"</f>
        <v>T220411AJ1</v>
      </c>
      <c r="O1125" t="s">
        <v>28</v>
      </c>
      <c r="Q1125" t="s">
        <v>29</v>
      </c>
      <c r="R1125" t="s">
        <v>28</v>
      </c>
      <c r="S1125" t="s">
        <v>5172</v>
      </c>
      <c r="T1125" t="s">
        <v>5173</v>
      </c>
      <c r="W1125" t="s">
        <v>154</v>
      </c>
      <c r="X1125" t="s">
        <v>34</v>
      </c>
      <c r="Y1125" t="str">
        <f>"77471"</f>
        <v>77471</v>
      </c>
    </row>
    <row r="1126" spans="1:25" x14ac:dyDescent="0.25">
      <c r="A1126" t="s">
        <v>5174</v>
      </c>
      <c r="B1126" t="s">
        <v>5175</v>
      </c>
      <c r="C1126">
        <v>2020</v>
      </c>
      <c r="D1126">
        <v>8001</v>
      </c>
      <c r="E1126">
        <v>1</v>
      </c>
      <c r="F1126" t="s">
        <v>5176</v>
      </c>
      <c r="G1126">
        <v>26368145</v>
      </c>
      <c r="J1126">
        <v>294.43</v>
      </c>
      <c r="L1126">
        <v>45301156</v>
      </c>
      <c r="M1126" s="1">
        <v>44181</v>
      </c>
      <c r="N1126" t="str">
        <f>"RC210107"</f>
        <v>RC210107</v>
      </c>
      <c r="O1126" t="s">
        <v>28</v>
      </c>
      <c r="Q1126" t="s">
        <v>29</v>
      </c>
      <c r="R1126" t="s">
        <v>28</v>
      </c>
      <c r="S1126" t="s">
        <v>5177</v>
      </c>
      <c r="T1126" t="s">
        <v>3605</v>
      </c>
      <c r="W1126" t="s">
        <v>1075</v>
      </c>
      <c r="X1126" t="s">
        <v>34</v>
      </c>
      <c r="Y1126" t="str">
        <f>"76102"</f>
        <v>76102</v>
      </c>
    </row>
    <row r="1127" spans="1:25" x14ac:dyDescent="0.25">
      <c r="A1127" t="s">
        <v>5178</v>
      </c>
      <c r="B1127" t="s">
        <v>5179</v>
      </c>
      <c r="C1127">
        <v>2020</v>
      </c>
      <c r="D1127">
        <v>8001</v>
      </c>
      <c r="E1127">
        <v>1</v>
      </c>
      <c r="F1127" t="s">
        <v>5180</v>
      </c>
      <c r="G1127">
        <v>29952499</v>
      </c>
      <c r="J1127">
        <v>43.35</v>
      </c>
      <c r="L1127">
        <v>47673338</v>
      </c>
      <c r="M1127" s="1">
        <v>44411</v>
      </c>
      <c r="N1127" t="str">
        <f>"EK410803"</f>
        <v>EK410803</v>
      </c>
      <c r="O1127" t="s">
        <v>28</v>
      </c>
      <c r="Q1127" t="s">
        <v>29</v>
      </c>
      <c r="R1127" t="s">
        <v>28</v>
      </c>
      <c r="S1127" t="s">
        <v>5181</v>
      </c>
      <c r="T1127" t="s">
        <v>5182</v>
      </c>
      <c r="W1127" t="s">
        <v>107</v>
      </c>
      <c r="X1127" t="s">
        <v>34</v>
      </c>
      <c r="Y1127" t="str">
        <f>"77494"</f>
        <v>77494</v>
      </c>
    </row>
    <row r="1128" spans="1:25" x14ac:dyDescent="0.25">
      <c r="A1128" t="s">
        <v>5183</v>
      </c>
      <c r="B1128" t="s">
        <v>5184</v>
      </c>
      <c r="C1128">
        <v>2019</v>
      </c>
      <c r="D1128">
        <v>8001</v>
      </c>
      <c r="E1128">
        <v>1</v>
      </c>
      <c r="F1128" t="s">
        <v>5185</v>
      </c>
      <c r="G1128">
        <v>27453668</v>
      </c>
      <c r="J1128">
        <v>229.2</v>
      </c>
      <c r="L1128">
        <v>43698269</v>
      </c>
      <c r="M1128" s="1">
        <v>43871</v>
      </c>
      <c r="N1128" t="str">
        <f>"J200210AW7"</f>
        <v>J200210AW7</v>
      </c>
      <c r="O1128" t="s">
        <v>28</v>
      </c>
      <c r="Q1128" t="s">
        <v>29</v>
      </c>
      <c r="R1128" t="s">
        <v>28</v>
      </c>
      <c r="S1128" t="s">
        <v>3112</v>
      </c>
      <c r="T1128" t="s">
        <v>203</v>
      </c>
      <c r="U1128" t="s">
        <v>1475</v>
      </c>
      <c r="W1128" t="s">
        <v>33</v>
      </c>
      <c r="X1128" t="s">
        <v>34</v>
      </c>
      <c r="Y1128" t="str">
        <f>"750938768"</f>
        <v>750938768</v>
      </c>
    </row>
    <row r="1129" spans="1:25" x14ac:dyDescent="0.25">
      <c r="A1129" t="s">
        <v>5186</v>
      </c>
      <c r="B1129" t="s">
        <v>5187</v>
      </c>
      <c r="C1129">
        <v>2020</v>
      </c>
      <c r="D1129">
        <v>8001</v>
      </c>
      <c r="E1129">
        <v>2</v>
      </c>
      <c r="F1129" t="s">
        <v>5188</v>
      </c>
      <c r="G1129">
        <v>0</v>
      </c>
      <c r="J1129">
        <v>50.54</v>
      </c>
      <c r="L1129">
        <v>45096515</v>
      </c>
      <c r="M1129" s="1">
        <v>44168</v>
      </c>
      <c r="N1129" t="str">
        <f>"L201203A"</f>
        <v>L201203A</v>
      </c>
      <c r="O1129" t="s">
        <v>28</v>
      </c>
      <c r="Q1129" t="s">
        <v>29</v>
      </c>
      <c r="R1129" t="s">
        <v>28</v>
      </c>
      <c r="S1129" t="s">
        <v>5188</v>
      </c>
      <c r="T1129" t="s">
        <v>5189</v>
      </c>
      <c r="U1129" t="s">
        <v>60</v>
      </c>
      <c r="V1129" t="s">
        <v>60</v>
      </c>
      <c r="W1129" t="s">
        <v>1137</v>
      </c>
      <c r="X1129" t="s">
        <v>34</v>
      </c>
      <c r="Y1129" t="str">
        <f>"774943870   "</f>
        <v xml:space="preserve">774943870   </v>
      </c>
    </row>
    <row r="1130" spans="1:25" x14ac:dyDescent="0.25">
      <c r="A1130" t="s">
        <v>5190</v>
      </c>
      <c r="B1130" t="s">
        <v>5191</v>
      </c>
      <c r="C1130">
        <v>2020</v>
      </c>
      <c r="D1130">
        <v>8001</v>
      </c>
      <c r="E1130">
        <v>1</v>
      </c>
      <c r="F1130" t="s">
        <v>5192</v>
      </c>
      <c r="G1130">
        <v>29604584</v>
      </c>
      <c r="J1130">
        <v>12.24</v>
      </c>
      <c r="L1130">
        <v>47034766</v>
      </c>
      <c r="M1130" s="1">
        <v>44259</v>
      </c>
      <c r="N1130" t="str">
        <f>"CC210304"</f>
        <v>CC210304</v>
      </c>
      <c r="O1130" t="s">
        <v>28</v>
      </c>
      <c r="Q1130" t="s">
        <v>29</v>
      </c>
      <c r="R1130" t="s">
        <v>28</v>
      </c>
      <c r="S1130" t="s">
        <v>5193</v>
      </c>
      <c r="T1130" t="s">
        <v>5194</v>
      </c>
      <c r="W1130" t="s">
        <v>107</v>
      </c>
      <c r="X1130" t="s">
        <v>34</v>
      </c>
      <c r="Y1130" t="str">
        <f>"774946299"</f>
        <v>774946299</v>
      </c>
    </row>
    <row r="1131" spans="1:25" x14ac:dyDescent="0.25">
      <c r="A1131" t="s">
        <v>5195</v>
      </c>
      <c r="B1131" t="s">
        <v>5196</v>
      </c>
      <c r="C1131">
        <v>2021</v>
      </c>
      <c r="D1131">
        <v>8001</v>
      </c>
      <c r="E1131">
        <v>2</v>
      </c>
      <c r="F1131" t="s">
        <v>5197</v>
      </c>
      <c r="G1131">
        <v>0</v>
      </c>
      <c r="J1131">
        <v>236.01</v>
      </c>
      <c r="L1131">
        <v>48342944</v>
      </c>
      <c r="M1131" s="1">
        <v>44537</v>
      </c>
      <c r="N1131" t="str">
        <f>"O211207AO1"</f>
        <v>O211207AO1</v>
      </c>
      <c r="O1131" t="s">
        <v>28</v>
      </c>
      <c r="Q1131" t="s">
        <v>29</v>
      </c>
      <c r="R1131" t="s">
        <v>28</v>
      </c>
      <c r="S1131" t="s">
        <v>5197</v>
      </c>
      <c r="T1131" t="s">
        <v>5198</v>
      </c>
      <c r="U1131" t="s">
        <v>60</v>
      </c>
      <c r="V1131" t="s">
        <v>60</v>
      </c>
      <c r="W1131" t="s">
        <v>214</v>
      </c>
      <c r="X1131" t="s">
        <v>34</v>
      </c>
      <c r="Y1131" t="str">
        <f>"77469       "</f>
        <v xml:space="preserve">77469       </v>
      </c>
    </row>
    <row r="1132" spans="1:25" x14ac:dyDescent="0.25">
      <c r="A1132" t="s">
        <v>5199</v>
      </c>
      <c r="B1132" t="s">
        <v>5200</v>
      </c>
      <c r="C1132">
        <v>2020</v>
      </c>
      <c r="D1132">
        <v>8001</v>
      </c>
      <c r="E1132">
        <v>1</v>
      </c>
      <c r="F1132" t="s">
        <v>5201</v>
      </c>
      <c r="G1132">
        <v>26739465</v>
      </c>
      <c r="J1132">
        <v>8</v>
      </c>
      <c r="L1132">
        <v>47172494</v>
      </c>
      <c r="M1132" s="1">
        <v>44280</v>
      </c>
      <c r="N1132" t="str">
        <f>"RC210401"</f>
        <v>RC210401</v>
      </c>
      <c r="O1132" t="s">
        <v>28</v>
      </c>
      <c r="Q1132" t="s">
        <v>29</v>
      </c>
      <c r="R1132" t="s">
        <v>28</v>
      </c>
      <c r="S1132" t="s">
        <v>5202</v>
      </c>
      <c r="T1132" t="s">
        <v>5203</v>
      </c>
      <c r="W1132" t="s">
        <v>75</v>
      </c>
      <c r="X1132" t="s">
        <v>34</v>
      </c>
      <c r="Y1132" t="str">
        <f>"77221"</f>
        <v>77221</v>
      </c>
    </row>
    <row r="1133" spans="1:25" x14ac:dyDescent="0.25">
      <c r="A1133" t="s">
        <v>5204</v>
      </c>
      <c r="B1133" t="s">
        <v>5205</v>
      </c>
      <c r="C1133">
        <v>2019</v>
      </c>
      <c r="D1133">
        <v>8001</v>
      </c>
      <c r="E1133">
        <v>1</v>
      </c>
      <c r="F1133" t="s">
        <v>5206</v>
      </c>
      <c r="G1133">
        <v>25511767</v>
      </c>
      <c r="J1133">
        <v>71.5</v>
      </c>
      <c r="L1133">
        <v>43853127</v>
      </c>
      <c r="M1133" s="1">
        <v>43892</v>
      </c>
      <c r="N1133" t="str">
        <f>"O200302BK7"</f>
        <v>O200302BK7</v>
      </c>
      <c r="O1133" t="s">
        <v>28</v>
      </c>
      <c r="Q1133" t="s">
        <v>29</v>
      </c>
      <c r="R1133" t="s">
        <v>28</v>
      </c>
      <c r="S1133" t="s">
        <v>5207</v>
      </c>
      <c r="T1133" t="s">
        <v>5208</v>
      </c>
      <c r="W1133" t="s">
        <v>40</v>
      </c>
      <c r="X1133" t="s">
        <v>34</v>
      </c>
      <c r="Y1133" t="str">
        <f>"774985107"</f>
        <v>774985107</v>
      </c>
    </row>
    <row r="1134" spans="1:25" x14ac:dyDescent="0.25">
      <c r="A1134" t="s">
        <v>5209</v>
      </c>
      <c r="B1134" t="s">
        <v>5210</v>
      </c>
      <c r="C1134">
        <v>2019</v>
      </c>
      <c r="D1134">
        <v>8001</v>
      </c>
      <c r="E1134">
        <v>1</v>
      </c>
      <c r="F1134" t="s">
        <v>5211</v>
      </c>
      <c r="G1134">
        <v>24626171</v>
      </c>
      <c r="J1134">
        <v>571.30999999999995</v>
      </c>
      <c r="L1134">
        <v>43702546</v>
      </c>
      <c r="M1134" s="1">
        <v>43871</v>
      </c>
      <c r="N1134" t="str">
        <f>"O200210AX1"</f>
        <v>O200210AX1</v>
      </c>
      <c r="O1134" t="s">
        <v>28</v>
      </c>
      <c r="Q1134" t="s">
        <v>29</v>
      </c>
      <c r="R1134" t="s">
        <v>28</v>
      </c>
      <c r="S1134" t="s">
        <v>5212</v>
      </c>
      <c r="T1134" t="s">
        <v>1121</v>
      </c>
      <c r="W1134" t="s">
        <v>910</v>
      </c>
      <c r="X1134" t="s">
        <v>34</v>
      </c>
      <c r="Y1134" t="str">
        <f>"782295926"</f>
        <v>782295926</v>
      </c>
    </row>
    <row r="1135" spans="1:25" x14ac:dyDescent="0.25">
      <c r="A1135" t="s">
        <v>5213</v>
      </c>
      <c r="B1135" t="s">
        <v>5214</v>
      </c>
      <c r="C1135">
        <v>2021</v>
      </c>
      <c r="D1135">
        <v>8001</v>
      </c>
      <c r="E1135">
        <v>1</v>
      </c>
      <c r="F1135" t="s">
        <v>5215</v>
      </c>
      <c r="G1135">
        <v>31128798</v>
      </c>
      <c r="J1135">
        <v>13.63</v>
      </c>
      <c r="L1135">
        <v>50091007</v>
      </c>
      <c r="M1135" s="1">
        <v>44600</v>
      </c>
      <c r="N1135" t="str">
        <f>"RC220315"</f>
        <v>RC220315</v>
      </c>
      <c r="O1135" t="s">
        <v>28</v>
      </c>
      <c r="Q1135" t="s">
        <v>29</v>
      </c>
      <c r="R1135" t="s">
        <v>28</v>
      </c>
      <c r="S1135" t="s">
        <v>5216</v>
      </c>
      <c r="T1135" t="s">
        <v>5217</v>
      </c>
      <c r="W1135" t="s">
        <v>75</v>
      </c>
      <c r="X1135" t="s">
        <v>34</v>
      </c>
      <c r="Y1135" t="str">
        <f>"770832938"</f>
        <v>770832938</v>
      </c>
    </row>
    <row r="1136" spans="1:25" x14ac:dyDescent="0.25">
      <c r="A1136" t="s">
        <v>5218</v>
      </c>
      <c r="B1136" t="s">
        <v>5219</v>
      </c>
      <c r="C1136">
        <v>2020</v>
      </c>
      <c r="D1136">
        <v>8001</v>
      </c>
      <c r="E1136">
        <v>1</v>
      </c>
      <c r="F1136" t="s">
        <v>5220</v>
      </c>
      <c r="G1136">
        <v>29461762</v>
      </c>
      <c r="J1136">
        <v>309.07</v>
      </c>
      <c r="L1136">
        <v>46728762</v>
      </c>
      <c r="M1136" s="1">
        <v>44230</v>
      </c>
      <c r="N1136" t="str">
        <f>"EK210203"</f>
        <v>EK210203</v>
      </c>
      <c r="O1136" t="s">
        <v>28</v>
      </c>
      <c r="Q1136" t="s">
        <v>29</v>
      </c>
      <c r="R1136" t="s">
        <v>28</v>
      </c>
      <c r="S1136" t="s">
        <v>5221</v>
      </c>
      <c r="T1136" t="s">
        <v>5222</v>
      </c>
      <c r="W1136" t="s">
        <v>154</v>
      </c>
      <c r="X1136" t="s">
        <v>34</v>
      </c>
      <c r="Y1136" t="str">
        <f>"77471"</f>
        <v>77471</v>
      </c>
    </row>
    <row r="1137" spans="1:25" x14ac:dyDescent="0.25">
      <c r="A1137" t="s">
        <v>5223</v>
      </c>
      <c r="B1137" t="s">
        <v>5224</v>
      </c>
      <c r="C1137">
        <v>2020</v>
      </c>
      <c r="D1137">
        <v>8001</v>
      </c>
      <c r="E1137">
        <v>1</v>
      </c>
      <c r="F1137" t="s">
        <v>5225</v>
      </c>
      <c r="G1137">
        <v>0</v>
      </c>
      <c r="J1137">
        <v>460.16</v>
      </c>
      <c r="L1137">
        <v>46584098</v>
      </c>
      <c r="M1137" s="1">
        <v>44228</v>
      </c>
      <c r="N1137" t="str">
        <f>"O210201AR7"</f>
        <v>O210201AR7</v>
      </c>
      <c r="O1137" t="s">
        <v>28</v>
      </c>
      <c r="Q1137" t="s">
        <v>29</v>
      </c>
      <c r="R1137" t="s">
        <v>28</v>
      </c>
      <c r="S1137" t="s">
        <v>5226</v>
      </c>
      <c r="T1137" t="s">
        <v>5227</v>
      </c>
      <c r="U1137" t="s">
        <v>60</v>
      </c>
      <c r="V1137" t="s">
        <v>60</v>
      </c>
      <c r="W1137" t="s">
        <v>1333</v>
      </c>
      <c r="X1137" t="s">
        <v>34</v>
      </c>
      <c r="Y1137" t="str">
        <f>"774593063   "</f>
        <v xml:space="preserve">774593063   </v>
      </c>
    </row>
    <row r="1138" spans="1:25" x14ac:dyDescent="0.25">
      <c r="A1138" t="s">
        <v>5228</v>
      </c>
      <c r="B1138" t="s">
        <v>5229</v>
      </c>
      <c r="C1138">
        <v>2020</v>
      </c>
      <c r="D1138">
        <v>8001</v>
      </c>
      <c r="E1138">
        <v>2</v>
      </c>
      <c r="F1138" t="s">
        <v>5230</v>
      </c>
      <c r="G1138">
        <v>29794053</v>
      </c>
      <c r="J1138">
        <v>39.36</v>
      </c>
      <c r="L1138">
        <v>47351305</v>
      </c>
      <c r="M1138" s="1">
        <v>44316</v>
      </c>
      <c r="N1138" t="str">
        <f>"RC210505"</f>
        <v>RC210505</v>
      </c>
      <c r="O1138" t="s">
        <v>28</v>
      </c>
      <c r="Q1138" t="s">
        <v>29</v>
      </c>
      <c r="R1138" t="s">
        <v>28</v>
      </c>
      <c r="S1138" t="s">
        <v>1454</v>
      </c>
      <c r="T1138" t="s">
        <v>1455</v>
      </c>
      <c r="W1138" t="s">
        <v>1456</v>
      </c>
      <c r="X1138" t="s">
        <v>1457</v>
      </c>
      <c r="Y1138" t="str">
        <f>"234504968"</f>
        <v>234504968</v>
      </c>
    </row>
    <row r="1139" spans="1:25" x14ac:dyDescent="0.25">
      <c r="A1139" t="s">
        <v>5231</v>
      </c>
      <c r="B1139" t="s">
        <v>5232</v>
      </c>
      <c r="C1139">
        <v>2020</v>
      </c>
      <c r="D1139">
        <v>8001</v>
      </c>
      <c r="E1139">
        <v>1</v>
      </c>
      <c r="F1139" t="s">
        <v>5233</v>
      </c>
      <c r="G1139">
        <v>28479019</v>
      </c>
      <c r="J1139">
        <v>301.11</v>
      </c>
      <c r="L1139">
        <v>45161275</v>
      </c>
      <c r="M1139" s="1">
        <v>44173</v>
      </c>
      <c r="N1139" t="str">
        <f>"RC201217"</f>
        <v>RC201217</v>
      </c>
      <c r="O1139" t="s">
        <v>28</v>
      </c>
      <c r="Q1139" t="s">
        <v>29</v>
      </c>
      <c r="R1139" t="s">
        <v>28</v>
      </c>
      <c r="S1139" t="s">
        <v>127</v>
      </c>
      <c r="T1139" t="s">
        <v>3482</v>
      </c>
      <c r="U1139" t="s">
        <v>3483</v>
      </c>
      <c r="V1139" t="s">
        <v>3484</v>
      </c>
      <c r="W1139" t="s">
        <v>75</v>
      </c>
      <c r="X1139" t="s">
        <v>34</v>
      </c>
      <c r="Y1139" t="str">
        <f>"77042"</f>
        <v>77042</v>
      </c>
    </row>
    <row r="1140" spans="1:25" x14ac:dyDescent="0.25">
      <c r="A1140" t="s">
        <v>5234</v>
      </c>
      <c r="B1140" t="s">
        <v>5235</v>
      </c>
      <c r="C1140">
        <v>2020</v>
      </c>
      <c r="D1140">
        <v>8001</v>
      </c>
      <c r="E1140">
        <v>1</v>
      </c>
      <c r="F1140" t="s">
        <v>5236</v>
      </c>
      <c r="G1140">
        <v>29573198</v>
      </c>
      <c r="J1140">
        <v>9.33</v>
      </c>
      <c r="L1140">
        <v>47374807</v>
      </c>
      <c r="M1140" s="1">
        <v>44322</v>
      </c>
      <c r="N1140" t="str">
        <f>"RC210512"</f>
        <v>RC210512</v>
      </c>
      <c r="O1140" t="s">
        <v>28</v>
      </c>
      <c r="Q1140" t="s">
        <v>29</v>
      </c>
      <c r="R1140" t="s">
        <v>28</v>
      </c>
      <c r="S1140" t="s">
        <v>2818</v>
      </c>
      <c r="T1140" t="s">
        <v>3195</v>
      </c>
      <c r="W1140" t="s">
        <v>75</v>
      </c>
      <c r="X1140" t="s">
        <v>34</v>
      </c>
      <c r="Y1140" t="str">
        <f>"770573132"</f>
        <v>770573132</v>
      </c>
    </row>
    <row r="1141" spans="1:25" x14ac:dyDescent="0.25">
      <c r="A1141" t="s">
        <v>5237</v>
      </c>
      <c r="B1141" t="s">
        <v>5238</v>
      </c>
      <c r="C1141">
        <v>2020</v>
      </c>
      <c r="D1141">
        <v>8001</v>
      </c>
      <c r="E1141">
        <v>1</v>
      </c>
      <c r="F1141" t="s">
        <v>5239</v>
      </c>
      <c r="G1141">
        <v>28672277</v>
      </c>
      <c r="J1141">
        <v>20.51</v>
      </c>
      <c r="L1141">
        <v>45454433</v>
      </c>
      <c r="M1141" s="1">
        <v>44193</v>
      </c>
      <c r="N1141" t="str">
        <f>"RC210115"</f>
        <v>RC210115</v>
      </c>
      <c r="O1141" t="s">
        <v>28</v>
      </c>
      <c r="Q1141" t="s">
        <v>29</v>
      </c>
      <c r="R1141" t="s">
        <v>28</v>
      </c>
      <c r="S1141" t="s">
        <v>5240</v>
      </c>
      <c r="T1141" t="s">
        <v>5241</v>
      </c>
      <c r="W1141" t="s">
        <v>112</v>
      </c>
      <c r="X1141" t="s">
        <v>34</v>
      </c>
      <c r="Y1141" t="str">
        <f>"774791237"</f>
        <v>774791237</v>
      </c>
    </row>
    <row r="1142" spans="1:25" x14ac:dyDescent="0.25">
      <c r="A1142" t="s">
        <v>5242</v>
      </c>
      <c r="B1142" t="s">
        <v>5243</v>
      </c>
      <c r="C1142">
        <v>2021</v>
      </c>
      <c r="D1142">
        <v>8001</v>
      </c>
      <c r="E1142">
        <v>2</v>
      </c>
      <c r="F1142" t="s">
        <v>5244</v>
      </c>
      <c r="G1142">
        <v>28692840</v>
      </c>
      <c r="J1142" s="2">
        <v>1402.75</v>
      </c>
      <c r="L1142">
        <v>48888871</v>
      </c>
      <c r="M1142" s="1">
        <v>44565</v>
      </c>
      <c r="N1142" t="str">
        <f>"CL210001"</f>
        <v>CL210001</v>
      </c>
      <c r="O1142" t="s">
        <v>28</v>
      </c>
      <c r="Q1142" t="s">
        <v>29</v>
      </c>
      <c r="R1142" t="s">
        <v>28</v>
      </c>
      <c r="S1142" t="s">
        <v>1019</v>
      </c>
      <c r="T1142" t="s">
        <v>562</v>
      </c>
      <c r="W1142" t="s">
        <v>563</v>
      </c>
      <c r="X1142" t="s">
        <v>34</v>
      </c>
      <c r="Y1142" t="str">
        <f>"750630156"</f>
        <v>750630156</v>
      </c>
    </row>
    <row r="1143" spans="1:25" x14ac:dyDescent="0.25">
      <c r="A1143" t="s">
        <v>5245</v>
      </c>
      <c r="B1143" t="s">
        <v>5246</v>
      </c>
      <c r="C1143">
        <v>2019</v>
      </c>
      <c r="D1143">
        <v>8001</v>
      </c>
      <c r="E1143">
        <v>1</v>
      </c>
      <c r="F1143" t="s">
        <v>5247</v>
      </c>
      <c r="G1143">
        <v>28305495</v>
      </c>
      <c r="J1143">
        <v>56.38</v>
      </c>
      <c r="L1143">
        <v>43875247</v>
      </c>
      <c r="M1143" s="1">
        <v>43894</v>
      </c>
      <c r="N1143" t="str">
        <f>"CC400304"</f>
        <v>CC400304</v>
      </c>
      <c r="O1143" t="s">
        <v>28</v>
      </c>
      <c r="Q1143" t="s">
        <v>29</v>
      </c>
      <c r="R1143" t="s">
        <v>28</v>
      </c>
      <c r="S1143" t="s">
        <v>5248</v>
      </c>
      <c r="T1143" t="s">
        <v>5249</v>
      </c>
      <c r="W1143" t="s">
        <v>75</v>
      </c>
      <c r="X1143" t="s">
        <v>34</v>
      </c>
      <c r="Y1143" t="str">
        <f>"77099"</f>
        <v>77099</v>
      </c>
    </row>
    <row r="1144" spans="1:25" x14ac:dyDescent="0.25">
      <c r="A1144" t="s">
        <v>5250</v>
      </c>
      <c r="B1144" t="s">
        <v>5251</v>
      </c>
      <c r="C1144">
        <v>2018</v>
      </c>
      <c r="D1144">
        <v>8001</v>
      </c>
      <c r="E1144">
        <v>3</v>
      </c>
      <c r="F1144" t="s">
        <v>5252</v>
      </c>
      <c r="G1144">
        <v>27328714</v>
      </c>
      <c r="J1144">
        <v>18.68</v>
      </c>
      <c r="L1144">
        <v>41063755</v>
      </c>
      <c r="M1144" s="1">
        <v>43558</v>
      </c>
      <c r="N1144" t="str">
        <f>"EK190403"</f>
        <v>EK190403</v>
      </c>
      <c r="O1144" t="s">
        <v>28</v>
      </c>
      <c r="Q1144" t="s">
        <v>29</v>
      </c>
      <c r="R1144" t="s">
        <v>28</v>
      </c>
      <c r="S1144" t="s">
        <v>761</v>
      </c>
      <c r="T1144" t="s">
        <v>762</v>
      </c>
      <c r="W1144" t="s">
        <v>75</v>
      </c>
      <c r="X1144" t="s">
        <v>34</v>
      </c>
      <c r="Y1144" t="str">
        <f>"77084"</f>
        <v>77084</v>
      </c>
    </row>
    <row r="1145" spans="1:25" x14ac:dyDescent="0.25">
      <c r="A1145" t="s">
        <v>5253</v>
      </c>
      <c r="B1145" t="s">
        <v>5254</v>
      </c>
      <c r="C1145">
        <v>2021</v>
      </c>
      <c r="D1145">
        <v>8001</v>
      </c>
      <c r="E1145">
        <v>1</v>
      </c>
      <c r="F1145" t="s">
        <v>5255</v>
      </c>
      <c r="G1145">
        <v>27277529</v>
      </c>
      <c r="J1145">
        <v>835.75</v>
      </c>
      <c r="L1145">
        <v>48444792</v>
      </c>
      <c r="M1145" s="1">
        <v>44543</v>
      </c>
      <c r="N1145" t="str">
        <f>"RC220114"</f>
        <v>RC220114</v>
      </c>
      <c r="O1145" t="s">
        <v>28</v>
      </c>
      <c r="Q1145" t="s">
        <v>29</v>
      </c>
      <c r="R1145" t="s">
        <v>28</v>
      </c>
      <c r="S1145" t="s">
        <v>363</v>
      </c>
      <c r="T1145" t="s">
        <v>5256</v>
      </c>
      <c r="W1145" t="s">
        <v>75</v>
      </c>
      <c r="X1145" t="s">
        <v>34</v>
      </c>
      <c r="Y1145" t="str">
        <f>"770725255"</f>
        <v>770725255</v>
      </c>
    </row>
    <row r="1146" spans="1:25" x14ac:dyDescent="0.25">
      <c r="A1146" t="s">
        <v>5257</v>
      </c>
      <c r="B1146" t="s">
        <v>5258</v>
      </c>
      <c r="C1146">
        <v>2020</v>
      </c>
      <c r="D1146">
        <v>8001</v>
      </c>
      <c r="E1146">
        <v>3</v>
      </c>
      <c r="F1146" t="s">
        <v>5259</v>
      </c>
      <c r="G1146">
        <v>26430554</v>
      </c>
      <c r="J1146">
        <v>10.76</v>
      </c>
      <c r="L1146">
        <v>44772379</v>
      </c>
      <c r="M1146" s="1">
        <v>44140</v>
      </c>
      <c r="N1146" t="str">
        <f>"O201105AB1"</f>
        <v>O201105AB1</v>
      </c>
      <c r="O1146" t="s">
        <v>28</v>
      </c>
      <c r="Q1146" t="s">
        <v>29</v>
      </c>
      <c r="R1146" t="s">
        <v>28</v>
      </c>
      <c r="S1146" t="s">
        <v>2349</v>
      </c>
      <c r="T1146" t="s">
        <v>2350</v>
      </c>
      <c r="W1146" t="s">
        <v>2351</v>
      </c>
      <c r="X1146" t="s">
        <v>2352</v>
      </c>
      <c r="Y1146" t="str">
        <f>"841193284"</f>
        <v>841193284</v>
      </c>
    </row>
    <row r="1147" spans="1:25" x14ac:dyDescent="0.25">
      <c r="A1147" t="s">
        <v>5260</v>
      </c>
      <c r="B1147" t="s">
        <v>5261</v>
      </c>
      <c r="C1147">
        <v>2018</v>
      </c>
      <c r="D1147">
        <v>8001</v>
      </c>
      <c r="E1147">
        <v>1</v>
      </c>
      <c r="F1147" t="s">
        <v>5262</v>
      </c>
      <c r="G1147">
        <v>26230687</v>
      </c>
      <c r="J1147">
        <v>19.27</v>
      </c>
      <c r="L1147">
        <v>41511887</v>
      </c>
      <c r="M1147" s="1">
        <v>43704</v>
      </c>
      <c r="N1147" t="str">
        <f>"O190827Y1"</f>
        <v>O190827Y1</v>
      </c>
      <c r="O1147" t="s">
        <v>28</v>
      </c>
      <c r="Q1147" t="s">
        <v>29</v>
      </c>
      <c r="R1147" t="s">
        <v>28</v>
      </c>
      <c r="S1147" t="s">
        <v>5263</v>
      </c>
      <c r="T1147" t="s">
        <v>5264</v>
      </c>
      <c r="U1147" t="s">
        <v>5265</v>
      </c>
      <c r="W1147" t="s">
        <v>40</v>
      </c>
      <c r="X1147" t="s">
        <v>34</v>
      </c>
      <c r="Y1147" t="str">
        <f>"774981415"</f>
        <v>774981415</v>
      </c>
    </row>
    <row r="1148" spans="1:25" x14ac:dyDescent="0.25">
      <c r="A1148" t="s">
        <v>5266</v>
      </c>
      <c r="B1148" t="s">
        <v>5267</v>
      </c>
      <c r="C1148">
        <v>2018</v>
      </c>
      <c r="D1148">
        <v>8001</v>
      </c>
      <c r="E1148">
        <v>2</v>
      </c>
      <c r="F1148" t="s">
        <v>5268</v>
      </c>
      <c r="G1148">
        <v>27254740</v>
      </c>
      <c r="J1148">
        <v>55.98</v>
      </c>
      <c r="L1148">
        <v>40888042</v>
      </c>
      <c r="M1148" s="1">
        <v>43528</v>
      </c>
      <c r="N1148" t="str">
        <f>"CC290304"</f>
        <v>CC290304</v>
      </c>
      <c r="O1148" t="s">
        <v>28</v>
      </c>
      <c r="Q1148" t="s">
        <v>29</v>
      </c>
      <c r="R1148" t="s">
        <v>28</v>
      </c>
      <c r="S1148" t="s">
        <v>5269</v>
      </c>
      <c r="T1148" t="s">
        <v>5270</v>
      </c>
      <c r="W1148" t="s">
        <v>40</v>
      </c>
      <c r="X1148" t="s">
        <v>34</v>
      </c>
      <c r="Y1148" t="str">
        <f>"77498"</f>
        <v>77498</v>
      </c>
    </row>
    <row r="1149" spans="1:25" x14ac:dyDescent="0.25">
      <c r="A1149" t="s">
        <v>5271</v>
      </c>
      <c r="B1149" t="s">
        <v>5272</v>
      </c>
      <c r="C1149">
        <v>2020</v>
      </c>
      <c r="D1149">
        <v>8001</v>
      </c>
      <c r="E1149">
        <v>2</v>
      </c>
      <c r="F1149" t="s">
        <v>5273</v>
      </c>
      <c r="G1149">
        <v>30037669</v>
      </c>
      <c r="J1149">
        <v>512.05999999999995</v>
      </c>
      <c r="L1149">
        <v>47819581</v>
      </c>
      <c r="M1149" s="1">
        <v>44488</v>
      </c>
      <c r="N1149" t="str">
        <f>"O211019I1"</f>
        <v>O211019I1</v>
      </c>
      <c r="O1149" t="s">
        <v>28</v>
      </c>
      <c r="Q1149" t="s">
        <v>29</v>
      </c>
      <c r="R1149" t="s">
        <v>28</v>
      </c>
      <c r="S1149" t="s">
        <v>5274</v>
      </c>
      <c r="T1149" t="s">
        <v>5275</v>
      </c>
      <c r="U1149" t="s">
        <v>5276</v>
      </c>
      <c r="W1149" t="s">
        <v>40</v>
      </c>
      <c r="X1149" t="s">
        <v>34</v>
      </c>
      <c r="Y1149" t="str">
        <f>"774981461"</f>
        <v>774981461</v>
      </c>
    </row>
    <row r="1150" spans="1:25" x14ac:dyDescent="0.25">
      <c r="A1150" t="s">
        <v>5277</v>
      </c>
      <c r="B1150" t="s">
        <v>5278</v>
      </c>
      <c r="C1150">
        <v>2019</v>
      </c>
      <c r="D1150">
        <v>8001</v>
      </c>
      <c r="E1150">
        <v>2</v>
      </c>
      <c r="F1150" t="s">
        <v>5279</v>
      </c>
      <c r="G1150">
        <v>1528377</v>
      </c>
      <c r="J1150">
        <v>187.29</v>
      </c>
      <c r="L1150">
        <v>43690394</v>
      </c>
      <c r="M1150" s="1">
        <v>43871</v>
      </c>
      <c r="N1150" t="str">
        <f>"O200210AX1"</f>
        <v>O200210AX1</v>
      </c>
      <c r="O1150" t="s">
        <v>28</v>
      </c>
      <c r="Q1150" t="s">
        <v>29</v>
      </c>
      <c r="R1150" t="s">
        <v>28</v>
      </c>
      <c r="S1150" t="s">
        <v>3856</v>
      </c>
      <c r="T1150" t="s">
        <v>3857</v>
      </c>
      <c r="U1150" t="s">
        <v>3858</v>
      </c>
      <c r="W1150" t="s">
        <v>75</v>
      </c>
      <c r="X1150" t="s">
        <v>34</v>
      </c>
      <c r="Y1150" t="str">
        <f>"77231"</f>
        <v>77231</v>
      </c>
    </row>
    <row r="1151" spans="1:25" x14ac:dyDescent="0.25">
      <c r="A1151" t="s">
        <v>5280</v>
      </c>
      <c r="B1151" t="s">
        <v>5281</v>
      </c>
      <c r="C1151">
        <v>2021</v>
      </c>
      <c r="D1151">
        <v>8001</v>
      </c>
      <c r="E1151">
        <v>1</v>
      </c>
      <c r="F1151" t="s">
        <v>5282</v>
      </c>
      <c r="G1151">
        <v>30087441</v>
      </c>
      <c r="J1151">
        <v>16.27</v>
      </c>
      <c r="L1151">
        <v>47956388</v>
      </c>
      <c r="M1151" s="1">
        <v>44516</v>
      </c>
      <c r="N1151" t="str">
        <f>"TE211116"</f>
        <v>TE211116</v>
      </c>
      <c r="O1151" t="s">
        <v>28</v>
      </c>
      <c r="Q1151" t="s">
        <v>29</v>
      </c>
      <c r="R1151" t="s">
        <v>28</v>
      </c>
      <c r="S1151" t="s">
        <v>5283</v>
      </c>
      <c r="T1151" t="s">
        <v>5284</v>
      </c>
      <c r="W1151" t="s">
        <v>75</v>
      </c>
      <c r="X1151" t="s">
        <v>34</v>
      </c>
      <c r="Y1151" t="str">
        <f>"77072"</f>
        <v>77072</v>
      </c>
    </row>
    <row r="1152" spans="1:25" x14ac:dyDescent="0.25">
      <c r="A1152" t="s">
        <v>5285</v>
      </c>
      <c r="B1152" t="s">
        <v>5286</v>
      </c>
      <c r="C1152">
        <v>2020</v>
      </c>
      <c r="D1152">
        <v>8001</v>
      </c>
      <c r="E1152">
        <v>2</v>
      </c>
      <c r="F1152" t="s">
        <v>5287</v>
      </c>
      <c r="G1152">
        <v>28692840</v>
      </c>
      <c r="J1152" s="2">
        <v>1586.45</v>
      </c>
      <c r="L1152">
        <v>45485787</v>
      </c>
      <c r="M1152" s="1">
        <v>44193</v>
      </c>
      <c r="N1152" t="str">
        <f>"CL200001"</f>
        <v>CL200001</v>
      </c>
      <c r="O1152" t="s">
        <v>28</v>
      </c>
      <c r="Q1152" t="s">
        <v>29</v>
      </c>
      <c r="R1152" t="s">
        <v>28</v>
      </c>
      <c r="S1152" t="s">
        <v>1019</v>
      </c>
      <c r="T1152" t="s">
        <v>562</v>
      </c>
      <c r="W1152" t="s">
        <v>563</v>
      </c>
      <c r="X1152" t="s">
        <v>34</v>
      </c>
      <c r="Y1152" t="str">
        <f>"750630156"</f>
        <v>750630156</v>
      </c>
    </row>
    <row r="1153" spans="1:25" x14ac:dyDescent="0.25">
      <c r="A1153" t="s">
        <v>5288</v>
      </c>
      <c r="B1153" t="s">
        <v>5289</v>
      </c>
      <c r="C1153">
        <v>2019</v>
      </c>
      <c r="D1153">
        <v>8001</v>
      </c>
      <c r="E1153">
        <v>24</v>
      </c>
      <c r="F1153" t="s">
        <v>5290</v>
      </c>
      <c r="G1153">
        <v>24929497</v>
      </c>
      <c r="J1153">
        <v>9.4600000000000009</v>
      </c>
      <c r="L1153">
        <v>41563398</v>
      </c>
      <c r="M1153" s="1">
        <v>43766</v>
      </c>
      <c r="N1153" t="str">
        <f>"TE191028"</f>
        <v>TE191028</v>
      </c>
      <c r="O1153" t="s">
        <v>28</v>
      </c>
      <c r="Q1153" t="s">
        <v>29</v>
      </c>
      <c r="R1153" t="s">
        <v>28</v>
      </c>
      <c r="S1153" t="s">
        <v>5291</v>
      </c>
      <c r="T1153" t="s">
        <v>5292</v>
      </c>
      <c r="W1153" t="s">
        <v>40</v>
      </c>
      <c r="X1153" t="s">
        <v>34</v>
      </c>
      <c r="Y1153" t="str">
        <f>"774795086"</f>
        <v>774795086</v>
      </c>
    </row>
    <row r="1154" spans="1:25" x14ac:dyDescent="0.25">
      <c r="A1154" t="s">
        <v>5293</v>
      </c>
      <c r="B1154" t="s">
        <v>5294</v>
      </c>
      <c r="C1154">
        <v>2019</v>
      </c>
      <c r="D1154">
        <v>8001</v>
      </c>
      <c r="E1154">
        <v>1</v>
      </c>
      <c r="F1154" t="s">
        <v>5295</v>
      </c>
      <c r="G1154">
        <v>1444604</v>
      </c>
      <c r="J1154">
        <v>559.62</v>
      </c>
      <c r="L1154">
        <v>44538272</v>
      </c>
      <c r="M1154" s="1">
        <v>44085</v>
      </c>
      <c r="N1154" t="str">
        <f>"J200911AE1"</f>
        <v>J200911AE1</v>
      </c>
      <c r="O1154" t="s">
        <v>28</v>
      </c>
      <c r="Q1154" t="s">
        <v>29</v>
      </c>
      <c r="R1154" t="s">
        <v>28</v>
      </c>
      <c r="S1154" t="s">
        <v>1436</v>
      </c>
      <c r="T1154" t="s">
        <v>5296</v>
      </c>
      <c r="W1154" t="s">
        <v>75</v>
      </c>
      <c r="X1154" t="s">
        <v>34</v>
      </c>
      <c r="Y1154" t="str">
        <f>"77014"</f>
        <v>77014</v>
      </c>
    </row>
    <row r="1155" spans="1:25" x14ac:dyDescent="0.25">
      <c r="A1155" t="s">
        <v>5297</v>
      </c>
      <c r="B1155" t="s">
        <v>5298</v>
      </c>
      <c r="C1155">
        <v>2020</v>
      </c>
      <c r="D1155">
        <v>8001</v>
      </c>
      <c r="E1155">
        <v>1</v>
      </c>
      <c r="F1155" t="s">
        <v>5299</v>
      </c>
      <c r="G1155">
        <v>29461708</v>
      </c>
      <c r="J1155">
        <v>174.83</v>
      </c>
      <c r="L1155">
        <v>46728708</v>
      </c>
      <c r="M1155" s="1">
        <v>44230</v>
      </c>
      <c r="N1155" t="str">
        <f>"EK210203"</f>
        <v>EK210203</v>
      </c>
      <c r="O1155" t="s">
        <v>28</v>
      </c>
      <c r="Q1155" t="s">
        <v>29</v>
      </c>
      <c r="R1155" t="s">
        <v>28</v>
      </c>
      <c r="S1155" t="s">
        <v>5300</v>
      </c>
      <c r="T1155" t="s">
        <v>5301</v>
      </c>
      <c r="W1155" t="s">
        <v>75</v>
      </c>
      <c r="X1155" t="s">
        <v>34</v>
      </c>
      <c r="Y1155" t="str">
        <f>"77027"</f>
        <v>77027</v>
      </c>
    </row>
    <row r="1156" spans="1:25" x14ac:dyDescent="0.25">
      <c r="A1156" t="s">
        <v>5302</v>
      </c>
      <c r="B1156" t="s">
        <v>5303</v>
      </c>
      <c r="C1156">
        <v>2021</v>
      </c>
      <c r="D1156">
        <v>8001</v>
      </c>
      <c r="E1156">
        <v>1</v>
      </c>
      <c r="F1156" t="s">
        <v>5304</v>
      </c>
      <c r="G1156">
        <v>0</v>
      </c>
      <c r="J1156">
        <v>211.23</v>
      </c>
      <c r="L1156">
        <v>49493283</v>
      </c>
      <c r="M1156" s="1">
        <v>44586</v>
      </c>
      <c r="N1156" t="str">
        <f>"L220125"</f>
        <v>L220125</v>
      </c>
      <c r="O1156" t="s">
        <v>28</v>
      </c>
      <c r="Q1156" t="s">
        <v>29</v>
      </c>
      <c r="R1156" t="s">
        <v>28</v>
      </c>
      <c r="S1156" t="s">
        <v>5304</v>
      </c>
      <c r="T1156" t="s">
        <v>5305</v>
      </c>
      <c r="U1156" t="s">
        <v>60</v>
      </c>
      <c r="V1156" t="s">
        <v>60</v>
      </c>
      <c r="W1156" t="s">
        <v>214</v>
      </c>
      <c r="X1156" t="s">
        <v>34</v>
      </c>
      <c r="Y1156" t="str">
        <f>"774071590   "</f>
        <v xml:space="preserve">774071590   </v>
      </c>
    </row>
    <row r="1157" spans="1:25" x14ac:dyDescent="0.25">
      <c r="A1157" t="s">
        <v>5306</v>
      </c>
      <c r="B1157" t="s">
        <v>5307</v>
      </c>
      <c r="C1157">
        <v>2018</v>
      </c>
      <c r="D1157">
        <v>8001</v>
      </c>
      <c r="E1157">
        <v>3</v>
      </c>
      <c r="F1157" t="s">
        <v>5308</v>
      </c>
      <c r="G1157">
        <v>0</v>
      </c>
      <c r="J1157">
        <v>9.8699999999999992</v>
      </c>
      <c r="L1157">
        <v>41556892</v>
      </c>
      <c r="M1157" s="1">
        <v>43728</v>
      </c>
      <c r="N1157" t="str">
        <f>"J190920AW2"</f>
        <v>J190920AW2</v>
      </c>
      <c r="O1157" t="s">
        <v>28</v>
      </c>
      <c r="Q1157" t="s">
        <v>29</v>
      </c>
      <c r="R1157" t="s">
        <v>28</v>
      </c>
      <c r="S1157" t="s">
        <v>5308</v>
      </c>
      <c r="T1157" t="s">
        <v>5309</v>
      </c>
      <c r="U1157" t="s">
        <v>60</v>
      </c>
      <c r="V1157" t="s">
        <v>60</v>
      </c>
      <c r="W1157" t="s">
        <v>214</v>
      </c>
      <c r="X1157" t="s">
        <v>34</v>
      </c>
      <c r="Y1157" t="str">
        <f>"774071974   "</f>
        <v xml:space="preserve">774071974   </v>
      </c>
    </row>
    <row r="1158" spans="1:25" x14ac:dyDescent="0.25">
      <c r="A1158" t="s">
        <v>5310</v>
      </c>
      <c r="B1158" t="s">
        <v>5311</v>
      </c>
      <c r="C1158">
        <v>2020</v>
      </c>
      <c r="D1158">
        <v>8001</v>
      </c>
      <c r="E1158">
        <v>2</v>
      </c>
      <c r="F1158" t="s">
        <v>5312</v>
      </c>
      <c r="G1158">
        <v>28350642</v>
      </c>
      <c r="J1158">
        <v>35.659999999999997</v>
      </c>
      <c r="L1158">
        <v>47046489</v>
      </c>
      <c r="M1158" s="1">
        <v>44260</v>
      </c>
      <c r="N1158" t="str">
        <f>"RC210310"</f>
        <v>RC210310</v>
      </c>
      <c r="O1158" t="s">
        <v>28</v>
      </c>
      <c r="Q1158" t="s">
        <v>29</v>
      </c>
      <c r="R1158" t="s">
        <v>28</v>
      </c>
      <c r="S1158" t="s">
        <v>1699</v>
      </c>
      <c r="T1158" t="s">
        <v>1685</v>
      </c>
      <c r="U1158" t="s">
        <v>562</v>
      </c>
      <c r="W1158" t="s">
        <v>563</v>
      </c>
      <c r="X1158" t="s">
        <v>34</v>
      </c>
      <c r="Y1158" t="str">
        <f>"750630156"</f>
        <v>750630156</v>
      </c>
    </row>
    <row r="1159" spans="1:25" x14ac:dyDescent="0.25">
      <c r="A1159" t="s">
        <v>5313</v>
      </c>
      <c r="B1159" t="s">
        <v>5314</v>
      </c>
      <c r="C1159">
        <v>2021</v>
      </c>
      <c r="D1159">
        <v>8001</v>
      </c>
      <c r="E1159">
        <v>1</v>
      </c>
      <c r="F1159" t="s">
        <v>5315</v>
      </c>
      <c r="G1159">
        <v>0</v>
      </c>
      <c r="J1159">
        <v>425.67</v>
      </c>
      <c r="L1159">
        <v>49452044</v>
      </c>
      <c r="M1159" s="1">
        <v>44585</v>
      </c>
      <c r="N1159" t="str">
        <f>"J220124K5"</f>
        <v>J220124K5</v>
      </c>
      <c r="O1159" t="s">
        <v>28</v>
      </c>
      <c r="Q1159" t="s">
        <v>29</v>
      </c>
      <c r="R1159" t="s">
        <v>28</v>
      </c>
      <c r="S1159" t="s">
        <v>5315</v>
      </c>
      <c r="T1159" t="s">
        <v>5316</v>
      </c>
      <c r="U1159" t="s">
        <v>60</v>
      </c>
      <c r="V1159" t="s">
        <v>60</v>
      </c>
      <c r="W1159" t="s">
        <v>214</v>
      </c>
      <c r="X1159" t="s">
        <v>34</v>
      </c>
      <c r="Y1159" t="str">
        <f>"774072282   "</f>
        <v xml:space="preserve">774072282   </v>
      </c>
    </row>
    <row r="1160" spans="1:25" x14ac:dyDescent="0.25">
      <c r="A1160" t="s">
        <v>5317</v>
      </c>
      <c r="B1160" t="s">
        <v>5318</v>
      </c>
      <c r="C1160">
        <v>2020</v>
      </c>
      <c r="D1160">
        <v>8001</v>
      </c>
      <c r="E1160">
        <v>1</v>
      </c>
      <c r="F1160" t="s">
        <v>5319</v>
      </c>
      <c r="G1160">
        <v>28791789</v>
      </c>
      <c r="J1160">
        <v>137.6</v>
      </c>
      <c r="L1160">
        <v>44951827</v>
      </c>
      <c r="M1160" s="1">
        <v>44155</v>
      </c>
      <c r="N1160" t="str">
        <f>"O201120BS1"</f>
        <v>O201120BS1</v>
      </c>
      <c r="O1160" t="s">
        <v>28</v>
      </c>
      <c r="Q1160" t="s">
        <v>29</v>
      </c>
      <c r="R1160" t="s">
        <v>28</v>
      </c>
      <c r="S1160" t="s">
        <v>1393</v>
      </c>
      <c r="T1160" t="s">
        <v>1394</v>
      </c>
      <c r="W1160" t="s">
        <v>1075</v>
      </c>
      <c r="X1160" t="s">
        <v>34</v>
      </c>
      <c r="Y1160" t="str">
        <f>"761771529"</f>
        <v>761771529</v>
      </c>
    </row>
    <row r="1161" spans="1:25" x14ac:dyDescent="0.25">
      <c r="A1161" t="s">
        <v>5320</v>
      </c>
      <c r="B1161" t="s">
        <v>5321</v>
      </c>
      <c r="C1161">
        <v>2020</v>
      </c>
      <c r="D1161">
        <v>8001</v>
      </c>
      <c r="E1161">
        <v>1</v>
      </c>
      <c r="F1161" t="s">
        <v>5322</v>
      </c>
      <c r="G1161">
        <v>28687867</v>
      </c>
      <c r="J1161">
        <v>26.53</v>
      </c>
      <c r="L1161">
        <v>44591726</v>
      </c>
      <c r="M1161" s="1">
        <v>44147</v>
      </c>
      <c r="N1161" t="str">
        <f>"TE201112"</f>
        <v>TE201112</v>
      </c>
      <c r="O1161" t="s">
        <v>28</v>
      </c>
      <c r="Q1161" t="s">
        <v>29</v>
      </c>
      <c r="R1161" t="s">
        <v>28</v>
      </c>
      <c r="S1161" t="s">
        <v>5323</v>
      </c>
      <c r="T1161" t="s">
        <v>5324</v>
      </c>
      <c r="W1161" t="s">
        <v>1075</v>
      </c>
      <c r="X1161" t="s">
        <v>34</v>
      </c>
      <c r="Y1161" t="str">
        <f>"761315341"</f>
        <v>761315341</v>
      </c>
    </row>
    <row r="1162" spans="1:25" x14ac:dyDescent="0.25">
      <c r="A1162" t="s">
        <v>5325</v>
      </c>
      <c r="B1162" t="s">
        <v>5326</v>
      </c>
      <c r="C1162">
        <v>2019</v>
      </c>
      <c r="D1162">
        <v>8001</v>
      </c>
      <c r="E1162">
        <v>3</v>
      </c>
      <c r="F1162" t="s">
        <v>5327</v>
      </c>
      <c r="G1162">
        <v>26479108</v>
      </c>
      <c r="J1162">
        <v>967.73</v>
      </c>
      <c r="L1162">
        <v>44179716</v>
      </c>
      <c r="M1162" s="1">
        <v>43970</v>
      </c>
      <c r="N1162" t="str">
        <f>"J200519AW7"</f>
        <v>J200519AW7</v>
      </c>
      <c r="O1162" t="s">
        <v>28</v>
      </c>
      <c r="Q1162" t="s">
        <v>29</v>
      </c>
      <c r="R1162" t="s">
        <v>28</v>
      </c>
      <c r="S1162" t="s">
        <v>1033</v>
      </c>
      <c r="T1162" t="s">
        <v>1560</v>
      </c>
      <c r="W1162" t="s">
        <v>1729</v>
      </c>
      <c r="X1162" t="s">
        <v>169</v>
      </c>
      <c r="Y1162" t="str">
        <f>"80129"</f>
        <v>80129</v>
      </c>
    </row>
    <row r="1163" spans="1:25" x14ac:dyDescent="0.25">
      <c r="A1163" t="s">
        <v>5328</v>
      </c>
      <c r="B1163" t="s">
        <v>5329</v>
      </c>
      <c r="C1163">
        <v>2020</v>
      </c>
      <c r="D1163">
        <v>8001</v>
      </c>
      <c r="E1163">
        <v>1</v>
      </c>
      <c r="F1163" t="s">
        <v>5330</v>
      </c>
      <c r="G1163">
        <v>0</v>
      </c>
      <c r="J1163">
        <v>117.77</v>
      </c>
      <c r="L1163">
        <v>44987375</v>
      </c>
      <c r="M1163" s="1">
        <v>44160</v>
      </c>
      <c r="N1163" t="str">
        <f>"J201125AE1"</f>
        <v>J201125AE1</v>
      </c>
      <c r="O1163" t="s">
        <v>28</v>
      </c>
      <c r="Q1163" t="s">
        <v>29</v>
      </c>
      <c r="R1163" t="s">
        <v>28</v>
      </c>
      <c r="S1163" t="s">
        <v>5330</v>
      </c>
      <c r="T1163" t="s">
        <v>5331</v>
      </c>
      <c r="U1163" t="s">
        <v>60</v>
      </c>
      <c r="V1163" t="s">
        <v>60</v>
      </c>
      <c r="W1163" t="s">
        <v>1137</v>
      </c>
      <c r="X1163" t="s">
        <v>34</v>
      </c>
      <c r="Y1163" t="str">
        <f>"774947415   "</f>
        <v xml:space="preserve">774947415   </v>
      </c>
    </row>
    <row r="1164" spans="1:25" x14ac:dyDescent="0.25">
      <c r="A1164" t="s">
        <v>5332</v>
      </c>
      <c r="B1164" t="s">
        <v>5333</v>
      </c>
      <c r="C1164">
        <v>2020</v>
      </c>
      <c r="D1164">
        <v>8001</v>
      </c>
      <c r="E1164">
        <v>1</v>
      </c>
      <c r="F1164" t="s">
        <v>1919</v>
      </c>
      <c r="G1164">
        <v>0</v>
      </c>
      <c r="J1164">
        <v>431.76</v>
      </c>
      <c r="L1164">
        <v>46885387</v>
      </c>
      <c r="M1164" s="1">
        <v>44236</v>
      </c>
      <c r="N1164" t="str">
        <f>"J210209BW9"</f>
        <v>J210209BW9</v>
      </c>
      <c r="O1164" t="s">
        <v>28</v>
      </c>
      <c r="Q1164" t="s">
        <v>29</v>
      </c>
      <c r="R1164" t="s">
        <v>28</v>
      </c>
      <c r="S1164" t="s">
        <v>1919</v>
      </c>
      <c r="T1164" t="s">
        <v>1920</v>
      </c>
      <c r="U1164" t="s">
        <v>60</v>
      </c>
      <c r="V1164" t="s">
        <v>60</v>
      </c>
      <c r="W1164" t="s">
        <v>1137</v>
      </c>
      <c r="X1164" t="s">
        <v>34</v>
      </c>
      <c r="Y1164" t="str">
        <f>"774945298   "</f>
        <v xml:space="preserve">774945298   </v>
      </c>
    </row>
    <row r="1165" spans="1:25" x14ac:dyDescent="0.25">
      <c r="A1165" t="s">
        <v>5334</v>
      </c>
      <c r="B1165" t="s">
        <v>5335</v>
      </c>
      <c r="C1165">
        <v>2020</v>
      </c>
      <c r="D1165">
        <v>8001</v>
      </c>
      <c r="E1165">
        <v>1</v>
      </c>
      <c r="F1165" t="s">
        <v>1919</v>
      </c>
      <c r="G1165">
        <v>0</v>
      </c>
      <c r="J1165">
        <v>401.03</v>
      </c>
      <c r="L1165">
        <v>46885389</v>
      </c>
      <c r="M1165" s="1">
        <v>44236</v>
      </c>
      <c r="N1165" t="str">
        <f>"J210209BW9"</f>
        <v>J210209BW9</v>
      </c>
      <c r="O1165" t="s">
        <v>28</v>
      </c>
      <c r="Q1165" t="s">
        <v>29</v>
      </c>
      <c r="R1165" t="s">
        <v>28</v>
      </c>
      <c r="S1165" t="s">
        <v>1919</v>
      </c>
      <c r="T1165" t="s">
        <v>5336</v>
      </c>
      <c r="U1165" t="s">
        <v>60</v>
      </c>
      <c r="V1165" t="s">
        <v>60</v>
      </c>
      <c r="W1165" t="s">
        <v>1137</v>
      </c>
      <c r="X1165" t="s">
        <v>34</v>
      </c>
      <c r="Y1165" t="str">
        <f>"774941509   "</f>
        <v xml:space="preserve">774941509   </v>
      </c>
    </row>
    <row r="1166" spans="1:25" x14ac:dyDescent="0.25">
      <c r="A1166" t="s">
        <v>5337</v>
      </c>
      <c r="B1166" t="s">
        <v>5338</v>
      </c>
      <c r="C1166">
        <v>2019</v>
      </c>
      <c r="D1166">
        <v>8001</v>
      </c>
      <c r="E1166">
        <v>2</v>
      </c>
      <c r="F1166" t="s">
        <v>5339</v>
      </c>
      <c r="G1166">
        <v>27787080</v>
      </c>
      <c r="J1166">
        <v>659.92</v>
      </c>
      <c r="L1166">
        <v>42456196</v>
      </c>
      <c r="M1166" s="1">
        <v>43826</v>
      </c>
      <c r="N1166" t="str">
        <f>"J191227AW12"</f>
        <v>J191227AW12</v>
      </c>
      <c r="O1166" t="s">
        <v>28</v>
      </c>
      <c r="Q1166" t="s">
        <v>29</v>
      </c>
      <c r="R1166" t="s">
        <v>28</v>
      </c>
      <c r="S1166" t="s">
        <v>5340</v>
      </c>
      <c r="T1166" t="s">
        <v>5341</v>
      </c>
      <c r="U1166" t="s">
        <v>5342</v>
      </c>
      <c r="V1166" t="s">
        <v>5343</v>
      </c>
      <c r="W1166" t="s">
        <v>75</v>
      </c>
      <c r="X1166" t="s">
        <v>34</v>
      </c>
      <c r="Y1166" t="str">
        <f>"770628010"</f>
        <v>770628010</v>
      </c>
    </row>
    <row r="1167" spans="1:25" x14ac:dyDescent="0.25">
      <c r="A1167" t="s">
        <v>5344</v>
      </c>
      <c r="B1167" t="s">
        <v>5345</v>
      </c>
      <c r="C1167">
        <v>2019</v>
      </c>
      <c r="D1167">
        <v>8001</v>
      </c>
      <c r="E1167">
        <v>2</v>
      </c>
      <c r="F1167" t="s">
        <v>5346</v>
      </c>
      <c r="G1167">
        <v>26243303</v>
      </c>
      <c r="J1167">
        <v>62.62</v>
      </c>
      <c r="L1167">
        <v>43894795</v>
      </c>
      <c r="M1167" s="1">
        <v>43896</v>
      </c>
      <c r="N1167" t="str">
        <f>"J200306K1"</f>
        <v>J200306K1</v>
      </c>
      <c r="O1167" t="s">
        <v>28</v>
      </c>
      <c r="Q1167" t="s">
        <v>29</v>
      </c>
      <c r="R1167" t="s">
        <v>28</v>
      </c>
      <c r="S1167" t="s">
        <v>79</v>
      </c>
      <c r="T1167" t="s">
        <v>203</v>
      </c>
      <c r="U1167" t="s">
        <v>3308</v>
      </c>
      <c r="W1167" t="s">
        <v>392</v>
      </c>
      <c r="X1167" t="s">
        <v>34</v>
      </c>
      <c r="Y1167" t="str">
        <f>"77459"</f>
        <v>77459</v>
      </c>
    </row>
    <row r="1168" spans="1:25" x14ac:dyDescent="0.25">
      <c r="A1168" t="s">
        <v>5344</v>
      </c>
      <c r="B1168" t="s">
        <v>5345</v>
      </c>
      <c r="C1168">
        <v>2020</v>
      </c>
      <c r="D1168">
        <v>8001</v>
      </c>
      <c r="E1168">
        <v>3</v>
      </c>
      <c r="F1168" t="s">
        <v>5346</v>
      </c>
      <c r="G1168">
        <v>25612575</v>
      </c>
      <c r="J1168">
        <v>14.02</v>
      </c>
      <c r="L1168">
        <v>47784464</v>
      </c>
      <c r="M1168" s="1">
        <v>44476</v>
      </c>
      <c r="N1168" t="str">
        <f>"RC211018"</f>
        <v>RC211018</v>
      </c>
      <c r="O1168" t="s">
        <v>28</v>
      </c>
      <c r="Q1168" t="s">
        <v>29</v>
      </c>
      <c r="R1168" t="s">
        <v>28</v>
      </c>
      <c r="S1168" t="s">
        <v>1068</v>
      </c>
      <c r="T1168" t="s">
        <v>5347</v>
      </c>
      <c r="U1168" t="s">
        <v>1015</v>
      </c>
      <c r="W1168" t="s">
        <v>563</v>
      </c>
      <c r="X1168" t="s">
        <v>34</v>
      </c>
      <c r="Y1168" t="str">
        <f>"750630156"</f>
        <v>750630156</v>
      </c>
    </row>
    <row r="1169" spans="1:25" x14ac:dyDescent="0.25">
      <c r="A1169" t="s">
        <v>5348</v>
      </c>
      <c r="B1169" t="s">
        <v>5349</v>
      </c>
      <c r="C1169">
        <v>2021</v>
      </c>
      <c r="D1169">
        <v>8001</v>
      </c>
      <c r="E1169">
        <v>3</v>
      </c>
      <c r="F1169" t="s">
        <v>5350</v>
      </c>
      <c r="G1169">
        <v>0</v>
      </c>
      <c r="J1169">
        <v>119.77</v>
      </c>
      <c r="L1169">
        <v>47909672</v>
      </c>
      <c r="M1169" s="1">
        <v>44516</v>
      </c>
      <c r="N1169" t="str">
        <f>"TE211116"</f>
        <v>TE211116</v>
      </c>
      <c r="O1169" t="s">
        <v>28</v>
      </c>
      <c r="Q1169" t="s">
        <v>29</v>
      </c>
      <c r="R1169" t="s">
        <v>28</v>
      </c>
      <c r="S1169" t="s">
        <v>5350</v>
      </c>
      <c r="T1169" t="s">
        <v>5351</v>
      </c>
      <c r="U1169" t="s">
        <v>60</v>
      </c>
      <c r="V1169" t="s">
        <v>60</v>
      </c>
      <c r="W1169" t="s">
        <v>1333</v>
      </c>
      <c r="X1169" t="s">
        <v>34</v>
      </c>
      <c r="Y1169" t="str">
        <f>"774596212   "</f>
        <v xml:space="preserve">774596212   </v>
      </c>
    </row>
    <row r="1170" spans="1:25" x14ac:dyDescent="0.25">
      <c r="A1170" t="s">
        <v>5352</v>
      </c>
      <c r="B1170" t="s">
        <v>5353</v>
      </c>
      <c r="C1170">
        <v>2021</v>
      </c>
      <c r="D1170">
        <v>8001</v>
      </c>
      <c r="E1170">
        <v>1</v>
      </c>
      <c r="F1170" t="s">
        <v>5354</v>
      </c>
      <c r="G1170">
        <v>26677969</v>
      </c>
      <c r="J1170">
        <v>204.82</v>
      </c>
      <c r="L1170">
        <v>48209725</v>
      </c>
      <c r="M1170" s="1">
        <v>44529</v>
      </c>
      <c r="N1170" t="str">
        <f>"RC211222"</f>
        <v>RC211222</v>
      </c>
      <c r="O1170" t="s">
        <v>28</v>
      </c>
      <c r="Q1170" t="s">
        <v>29</v>
      </c>
      <c r="R1170" t="s">
        <v>28</v>
      </c>
      <c r="S1170" t="s">
        <v>3865</v>
      </c>
      <c r="T1170" t="s">
        <v>3866</v>
      </c>
      <c r="W1170" t="s">
        <v>563</v>
      </c>
      <c r="X1170" t="s">
        <v>34</v>
      </c>
      <c r="Y1170" t="str">
        <f>"75063"</f>
        <v>75063</v>
      </c>
    </row>
    <row r="1171" spans="1:25" x14ac:dyDescent="0.25">
      <c r="A1171" t="s">
        <v>5355</v>
      </c>
      <c r="B1171" t="s">
        <v>5356</v>
      </c>
      <c r="C1171">
        <v>2020</v>
      </c>
      <c r="D1171">
        <v>8001</v>
      </c>
      <c r="E1171">
        <v>3</v>
      </c>
      <c r="F1171" t="s">
        <v>5357</v>
      </c>
      <c r="G1171">
        <v>0</v>
      </c>
      <c r="J1171">
        <v>97.11</v>
      </c>
      <c r="L1171">
        <v>47557324</v>
      </c>
      <c r="M1171" s="1">
        <v>44375</v>
      </c>
      <c r="N1171" t="str">
        <f>"J210628BW1"</f>
        <v>J210628BW1</v>
      </c>
      <c r="O1171" t="s">
        <v>28</v>
      </c>
      <c r="Q1171" t="s">
        <v>29</v>
      </c>
      <c r="R1171" t="s">
        <v>28</v>
      </c>
      <c r="S1171" t="s">
        <v>5357</v>
      </c>
      <c r="T1171" t="s">
        <v>5358</v>
      </c>
      <c r="U1171" t="s">
        <v>60</v>
      </c>
      <c r="V1171" t="s">
        <v>60</v>
      </c>
      <c r="W1171" t="s">
        <v>1333</v>
      </c>
      <c r="X1171" t="s">
        <v>34</v>
      </c>
      <c r="Y1171" t="str">
        <f>"774596260   "</f>
        <v xml:space="preserve">774596260   </v>
      </c>
    </row>
    <row r="1172" spans="1:25" x14ac:dyDescent="0.25">
      <c r="A1172" t="s">
        <v>5359</v>
      </c>
      <c r="B1172" t="s">
        <v>5360</v>
      </c>
      <c r="C1172">
        <v>2019</v>
      </c>
      <c r="D1172">
        <v>8001</v>
      </c>
      <c r="E1172">
        <v>1</v>
      </c>
      <c r="F1172" t="s">
        <v>5361</v>
      </c>
      <c r="G1172">
        <v>0</v>
      </c>
      <c r="J1172">
        <v>304.5</v>
      </c>
      <c r="L1172">
        <v>42587012</v>
      </c>
      <c r="M1172" s="1">
        <v>43832</v>
      </c>
      <c r="N1172" t="str">
        <f>"J200102AW13"</f>
        <v>J200102AW13</v>
      </c>
      <c r="O1172" t="s">
        <v>28</v>
      </c>
      <c r="Q1172" t="s">
        <v>29</v>
      </c>
      <c r="R1172" t="s">
        <v>28</v>
      </c>
      <c r="S1172" t="s">
        <v>5361</v>
      </c>
      <c r="T1172" t="s">
        <v>5362</v>
      </c>
      <c r="U1172" t="s">
        <v>60</v>
      </c>
      <c r="V1172" t="s">
        <v>60</v>
      </c>
      <c r="W1172" t="s">
        <v>1333</v>
      </c>
      <c r="X1172" t="s">
        <v>34</v>
      </c>
      <c r="Y1172" t="str">
        <f>"774596912   "</f>
        <v xml:space="preserve">774596912   </v>
      </c>
    </row>
    <row r="1173" spans="1:25" x14ac:dyDescent="0.25">
      <c r="A1173" t="s">
        <v>5363</v>
      </c>
      <c r="B1173" t="s">
        <v>5364</v>
      </c>
      <c r="C1173">
        <v>2019</v>
      </c>
      <c r="D1173">
        <v>8001</v>
      </c>
      <c r="E1173">
        <v>6</v>
      </c>
      <c r="F1173" t="s">
        <v>5365</v>
      </c>
      <c r="G1173">
        <v>27437556</v>
      </c>
      <c r="J1173">
        <v>65.63</v>
      </c>
      <c r="L1173">
        <v>44094749</v>
      </c>
      <c r="M1173" s="1">
        <v>43945</v>
      </c>
      <c r="N1173" t="str">
        <f>"RC200428"</f>
        <v>RC200428</v>
      </c>
      <c r="O1173" t="s">
        <v>28</v>
      </c>
      <c r="Q1173" t="s">
        <v>29</v>
      </c>
      <c r="R1173" t="s">
        <v>28</v>
      </c>
      <c r="S1173" t="s">
        <v>3650</v>
      </c>
      <c r="T1173" t="s">
        <v>3651</v>
      </c>
      <c r="W1173" t="s">
        <v>75</v>
      </c>
      <c r="X1173" t="s">
        <v>34</v>
      </c>
      <c r="Y1173" t="str">
        <f>"770141345"</f>
        <v>770141345</v>
      </c>
    </row>
    <row r="1174" spans="1:25" x14ac:dyDescent="0.25">
      <c r="A1174" t="s">
        <v>5366</v>
      </c>
      <c r="B1174" t="s">
        <v>5367</v>
      </c>
      <c r="C1174">
        <v>2020</v>
      </c>
      <c r="D1174">
        <v>8001</v>
      </c>
      <c r="E1174">
        <v>1</v>
      </c>
      <c r="F1174" t="s">
        <v>5368</v>
      </c>
      <c r="G1174">
        <v>0</v>
      </c>
      <c r="J1174">
        <v>11.25</v>
      </c>
      <c r="L1174">
        <v>46987432</v>
      </c>
      <c r="M1174" s="1">
        <v>44253</v>
      </c>
      <c r="N1174" t="str">
        <f>"L210226"</f>
        <v>L210226</v>
      </c>
      <c r="O1174" t="s">
        <v>28</v>
      </c>
      <c r="Q1174" t="s">
        <v>29</v>
      </c>
      <c r="R1174" t="s">
        <v>28</v>
      </c>
      <c r="S1174" t="s">
        <v>5368</v>
      </c>
      <c r="T1174" t="s">
        <v>5369</v>
      </c>
      <c r="U1174" t="s">
        <v>60</v>
      </c>
      <c r="V1174" t="s">
        <v>60</v>
      </c>
      <c r="W1174" t="s">
        <v>1333</v>
      </c>
      <c r="X1174" t="s">
        <v>34</v>
      </c>
      <c r="Y1174" t="str">
        <f>"774592039   "</f>
        <v xml:space="preserve">774592039   </v>
      </c>
    </row>
    <row r="1175" spans="1:25" x14ac:dyDescent="0.25">
      <c r="A1175" t="s">
        <v>5370</v>
      </c>
      <c r="B1175" t="s">
        <v>5371</v>
      </c>
      <c r="C1175">
        <v>2019</v>
      </c>
      <c r="D1175">
        <v>8001</v>
      </c>
      <c r="E1175">
        <v>1</v>
      </c>
      <c r="F1175" t="s">
        <v>5372</v>
      </c>
      <c r="G1175">
        <v>0</v>
      </c>
      <c r="J1175">
        <v>15.09</v>
      </c>
      <c r="L1175">
        <v>44120836</v>
      </c>
      <c r="M1175" s="1">
        <v>43952</v>
      </c>
      <c r="N1175" t="str">
        <f>"J200501F14"</f>
        <v>J200501F14</v>
      </c>
      <c r="O1175" t="s">
        <v>28</v>
      </c>
      <c r="Q1175" t="s">
        <v>29</v>
      </c>
      <c r="R1175" t="s">
        <v>28</v>
      </c>
      <c r="S1175" t="s">
        <v>5372</v>
      </c>
      <c r="T1175" t="s">
        <v>5373</v>
      </c>
      <c r="U1175" t="s">
        <v>60</v>
      </c>
      <c r="V1175" t="s">
        <v>60</v>
      </c>
      <c r="W1175" t="s">
        <v>1333</v>
      </c>
      <c r="X1175" t="s">
        <v>34</v>
      </c>
      <c r="Y1175" t="str">
        <f>"774591756   "</f>
        <v xml:space="preserve">774591756   </v>
      </c>
    </row>
    <row r="1176" spans="1:25" x14ac:dyDescent="0.25">
      <c r="A1176" t="s">
        <v>5374</v>
      </c>
      <c r="B1176" t="s">
        <v>5375</v>
      </c>
      <c r="C1176">
        <v>2021</v>
      </c>
      <c r="D1176">
        <v>8001</v>
      </c>
      <c r="E1176">
        <v>1</v>
      </c>
      <c r="F1176" t="s">
        <v>5376</v>
      </c>
      <c r="G1176">
        <v>28862757</v>
      </c>
      <c r="J1176">
        <v>671.84</v>
      </c>
      <c r="L1176">
        <v>48541267</v>
      </c>
      <c r="M1176" s="1">
        <v>44547</v>
      </c>
      <c r="N1176" t="str">
        <f>"RC220114"</f>
        <v>RC220114</v>
      </c>
      <c r="O1176" t="s">
        <v>28</v>
      </c>
      <c r="Q1176" t="s">
        <v>29</v>
      </c>
      <c r="R1176" t="s">
        <v>28</v>
      </c>
      <c r="S1176" t="s">
        <v>5377</v>
      </c>
      <c r="T1176" t="s">
        <v>5378</v>
      </c>
      <c r="W1176" t="s">
        <v>5379</v>
      </c>
      <c r="X1176" t="s">
        <v>162</v>
      </c>
      <c r="Y1176" t="str">
        <f>"087537629"</f>
        <v>087537629</v>
      </c>
    </row>
    <row r="1177" spans="1:25" x14ac:dyDescent="0.25">
      <c r="A1177" t="s">
        <v>5380</v>
      </c>
      <c r="B1177" t="s">
        <v>5381</v>
      </c>
      <c r="C1177">
        <v>2019</v>
      </c>
      <c r="D1177">
        <v>8001</v>
      </c>
      <c r="E1177">
        <v>2</v>
      </c>
      <c r="F1177" t="s">
        <v>5382</v>
      </c>
      <c r="G1177">
        <v>25106988</v>
      </c>
      <c r="J1177">
        <v>33.840000000000003</v>
      </c>
      <c r="L1177">
        <v>44478898</v>
      </c>
      <c r="M1177" s="1">
        <v>44050</v>
      </c>
      <c r="N1177" t="str">
        <f>"J200807K13"</f>
        <v>J200807K13</v>
      </c>
      <c r="O1177" t="s">
        <v>28</v>
      </c>
      <c r="Q1177" t="s">
        <v>29</v>
      </c>
      <c r="R1177" t="s">
        <v>28</v>
      </c>
      <c r="S1177" t="s">
        <v>1326</v>
      </c>
      <c r="T1177" t="s">
        <v>3805</v>
      </c>
      <c r="W1177" t="s">
        <v>1328</v>
      </c>
      <c r="X1177" t="s">
        <v>162</v>
      </c>
      <c r="Y1177" t="str">
        <f>"06054"</f>
        <v>06054</v>
      </c>
    </row>
    <row r="1178" spans="1:25" x14ac:dyDescent="0.25">
      <c r="A1178" t="s">
        <v>5383</v>
      </c>
      <c r="B1178" t="s">
        <v>5384</v>
      </c>
      <c r="C1178">
        <v>2020</v>
      </c>
      <c r="D1178">
        <v>8001</v>
      </c>
      <c r="E1178">
        <v>2</v>
      </c>
      <c r="F1178" t="s">
        <v>5385</v>
      </c>
      <c r="G1178">
        <v>28692840</v>
      </c>
      <c r="J1178" s="2">
        <v>6515.17</v>
      </c>
      <c r="L1178">
        <v>45485787</v>
      </c>
      <c r="M1178" s="1">
        <v>44193</v>
      </c>
      <c r="N1178" t="str">
        <f>"CL200001"</f>
        <v>CL200001</v>
      </c>
      <c r="O1178" t="s">
        <v>28</v>
      </c>
      <c r="Q1178" t="s">
        <v>29</v>
      </c>
      <c r="R1178" t="s">
        <v>28</v>
      </c>
      <c r="S1178" t="s">
        <v>1019</v>
      </c>
      <c r="T1178" t="s">
        <v>562</v>
      </c>
      <c r="W1178" t="s">
        <v>563</v>
      </c>
      <c r="X1178" t="s">
        <v>34</v>
      </c>
      <c r="Y1178" t="str">
        <f>"750630156"</f>
        <v>750630156</v>
      </c>
    </row>
    <row r="1179" spans="1:25" x14ac:dyDescent="0.25">
      <c r="A1179" t="s">
        <v>5386</v>
      </c>
      <c r="B1179" t="s">
        <v>5387</v>
      </c>
      <c r="C1179">
        <v>2019</v>
      </c>
      <c r="D1179">
        <v>8001</v>
      </c>
      <c r="E1179">
        <v>1</v>
      </c>
      <c r="F1179" t="s">
        <v>5388</v>
      </c>
      <c r="G1179">
        <v>0</v>
      </c>
      <c r="J1179">
        <v>548.63</v>
      </c>
      <c r="L1179">
        <v>42700699</v>
      </c>
      <c r="M1179" s="1">
        <v>43837</v>
      </c>
      <c r="N1179" t="str">
        <f>"J200107AW12"</f>
        <v>J200107AW12</v>
      </c>
      <c r="O1179" t="s">
        <v>28</v>
      </c>
      <c r="Q1179" t="s">
        <v>29</v>
      </c>
      <c r="R1179" t="s">
        <v>28</v>
      </c>
      <c r="S1179" t="s">
        <v>5388</v>
      </c>
      <c r="T1179" t="s">
        <v>5389</v>
      </c>
      <c r="U1179" t="s">
        <v>60</v>
      </c>
      <c r="V1179" t="s">
        <v>60</v>
      </c>
      <c r="W1179" t="s">
        <v>1333</v>
      </c>
      <c r="X1179" t="s">
        <v>34</v>
      </c>
      <c r="Y1179" t="str">
        <f>"774596534   "</f>
        <v xml:space="preserve">774596534   </v>
      </c>
    </row>
    <row r="1180" spans="1:25" x14ac:dyDescent="0.25">
      <c r="A1180" t="s">
        <v>5390</v>
      </c>
      <c r="B1180" t="s">
        <v>5391</v>
      </c>
      <c r="C1180">
        <v>2020</v>
      </c>
      <c r="D1180">
        <v>8001</v>
      </c>
      <c r="E1180">
        <v>25</v>
      </c>
      <c r="F1180" t="s">
        <v>5392</v>
      </c>
      <c r="G1180">
        <v>29084848</v>
      </c>
      <c r="J1180">
        <v>338.9</v>
      </c>
      <c r="L1180">
        <v>47068789</v>
      </c>
      <c r="M1180" s="1">
        <v>44265</v>
      </c>
      <c r="N1180" t="str">
        <f>"E210310G1"</f>
        <v>E210310G1</v>
      </c>
      <c r="O1180" t="s">
        <v>260</v>
      </c>
      <c r="Q1180" t="s">
        <v>29</v>
      </c>
      <c r="R1180" t="s">
        <v>260</v>
      </c>
      <c r="S1180" t="s">
        <v>5393</v>
      </c>
      <c r="T1180" t="s">
        <v>5394</v>
      </c>
      <c r="U1180" t="s">
        <v>5395</v>
      </c>
      <c r="W1180" t="s">
        <v>392</v>
      </c>
      <c r="X1180" t="s">
        <v>34</v>
      </c>
      <c r="Y1180" t="str">
        <f>"774596399"</f>
        <v>774596399</v>
      </c>
    </row>
    <row r="1181" spans="1:25" x14ac:dyDescent="0.25">
      <c r="A1181" t="s">
        <v>5396</v>
      </c>
      <c r="B1181" t="s">
        <v>5397</v>
      </c>
      <c r="C1181">
        <v>2020</v>
      </c>
      <c r="D1181">
        <v>8001</v>
      </c>
      <c r="E1181">
        <v>4</v>
      </c>
      <c r="F1181" t="s">
        <v>5398</v>
      </c>
      <c r="G1181">
        <v>0</v>
      </c>
      <c r="J1181">
        <v>10.62</v>
      </c>
      <c r="L1181">
        <v>47519895</v>
      </c>
      <c r="M1181" s="1">
        <v>44357</v>
      </c>
      <c r="N1181" t="str">
        <f>"J210610BW2"</f>
        <v>J210610BW2</v>
      </c>
      <c r="O1181" t="s">
        <v>28</v>
      </c>
      <c r="Q1181" t="s">
        <v>29</v>
      </c>
      <c r="R1181" t="s">
        <v>28</v>
      </c>
      <c r="S1181" t="s">
        <v>5398</v>
      </c>
      <c r="T1181" t="s">
        <v>5399</v>
      </c>
      <c r="U1181" t="s">
        <v>60</v>
      </c>
      <c r="V1181" t="s">
        <v>60</v>
      </c>
      <c r="W1181" t="s">
        <v>1333</v>
      </c>
      <c r="X1181" t="s">
        <v>34</v>
      </c>
      <c r="Y1181" t="str">
        <f>"774596394   "</f>
        <v xml:space="preserve">774596394   </v>
      </c>
    </row>
    <row r="1182" spans="1:25" x14ac:dyDescent="0.25">
      <c r="A1182" t="s">
        <v>5400</v>
      </c>
      <c r="B1182" t="s">
        <v>5401</v>
      </c>
      <c r="C1182">
        <v>2019</v>
      </c>
      <c r="D1182">
        <v>8001</v>
      </c>
      <c r="E1182">
        <v>1</v>
      </c>
      <c r="F1182" t="s">
        <v>5402</v>
      </c>
      <c r="G1182">
        <v>0</v>
      </c>
      <c r="J1182">
        <v>10</v>
      </c>
      <c r="L1182">
        <v>42427108</v>
      </c>
      <c r="M1182" s="1">
        <v>43825</v>
      </c>
      <c r="N1182" t="str">
        <f>"J191226AW14"</f>
        <v>J191226AW14</v>
      </c>
      <c r="O1182" t="s">
        <v>28</v>
      </c>
      <c r="Q1182" t="s">
        <v>29</v>
      </c>
      <c r="R1182" t="s">
        <v>28</v>
      </c>
      <c r="S1182" t="s">
        <v>5402</v>
      </c>
      <c r="T1182" t="s">
        <v>5403</v>
      </c>
      <c r="U1182" t="s">
        <v>60</v>
      </c>
      <c r="V1182" t="s">
        <v>60</v>
      </c>
      <c r="W1182" t="s">
        <v>1333</v>
      </c>
      <c r="X1182" t="s">
        <v>34</v>
      </c>
      <c r="Y1182" t="str">
        <f>"774592625   "</f>
        <v xml:space="preserve">774592625   </v>
      </c>
    </row>
    <row r="1183" spans="1:25" x14ac:dyDescent="0.25">
      <c r="A1183" t="s">
        <v>5404</v>
      </c>
      <c r="B1183" t="s">
        <v>5405</v>
      </c>
      <c r="C1183">
        <v>2021</v>
      </c>
      <c r="D1183">
        <v>8001</v>
      </c>
      <c r="E1183">
        <v>1</v>
      </c>
      <c r="F1183" t="s">
        <v>5406</v>
      </c>
      <c r="G1183">
        <v>0</v>
      </c>
      <c r="J1183">
        <v>20</v>
      </c>
      <c r="L1183">
        <v>48464134</v>
      </c>
      <c r="M1183" s="1">
        <v>44544</v>
      </c>
      <c r="N1183" t="str">
        <f>"L211214"</f>
        <v>L211214</v>
      </c>
      <c r="O1183" t="s">
        <v>28</v>
      </c>
      <c r="Q1183" t="s">
        <v>29</v>
      </c>
      <c r="R1183" t="s">
        <v>28</v>
      </c>
      <c r="S1183" t="s">
        <v>5406</v>
      </c>
      <c r="T1183" t="s">
        <v>5407</v>
      </c>
      <c r="U1183" t="s">
        <v>60</v>
      </c>
      <c r="V1183" t="s">
        <v>60</v>
      </c>
      <c r="W1183" t="s">
        <v>1333</v>
      </c>
      <c r="X1183" t="s">
        <v>34</v>
      </c>
      <c r="Y1183" t="str">
        <f>"774592468   "</f>
        <v xml:space="preserve">774592468   </v>
      </c>
    </row>
    <row r="1184" spans="1:25" x14ac:dyDescent="0.25">
      <c r="A1184" t="s">
        <v>5408</v>
      </c>
      <c r="B1184" t="s">
        <v>5409</v>
      </c>
      <c r="C1184">
        <v>2020</v>
      </c>
      <c r="D1184">
        <v>8001</v>
      </c>
      <c r="E1184">
        <v>5</v>
      </c>
      <c r="F1184" t="s">
        <v>5410</v>
      </c>
      <c r="G1184">
        <v>26962220</v>
      </c>
      <c r="J1184" s="2">
        <v>1000.01</v>
      </c>
      <c r="L1184">
        <v>47820407</v>
      </c>
      <c r="M1184" s="1">
        <v>44488</v>
      </c>
      <c r="N1184" t="str">
        <f>"RC211105"</f>
        <v>RC211105</v>
      </c>
      <c r="O1184" t="s">
        <v>28</v>
      </c>
      <c r="Q1184" t="s">
        <v>29</v>
      </c>
      <c r="R1184" t="s">
        <v>28</v>
      </c>
      <c r="S1184" t="s">
        <v>561</v>
      </c>
      <c r="T1184" t="s">
        <v>1015</v>
      </c>
      <c r="W1184" t="s">
        <v>563</v>
      </c>
      <c r="X1184" t="s">
        <v>34</v>
      </c>
      <c r="Y1184" t="str">
        <f>"750630156"</f>
        <v>750630156</v>
      </c>
    </row>
    <row r="1185" spans="1:25" x14ac:dyDescent="0.25">
      <c r="A1185" t="s">
        <v>5411</v>
      </c>
      <c r="B1185" t="s">
        <v>5412</v>
      </c>
      <c r="C1185">
        <v>2020</v>
      </c>
      <c r="D1185">
        <v>8001</v>
      </c>
      <c r="E1185">
        <v>2</v>
      </c>
      <c r="F1185" t="s">
        <v>5413</v>
      </c>
      <c r="G1185">
        <v>29624383</v>
      </c>
      <c r="J1185">
        <v>45.74</v>
      </c>
      <c r="L1185">
        <v>47258305</v>
      </c>
      <c r="M1185" s="1">
        <v>44293</v>
      </c>
      <c r="N1185" t="str">
        <f>"RC210414"</f>
        <v>RC210414</v>
      </c>
      <c r="O1185" t="s">
        <v>28</v>
      </c>
      <c r="Q1185" t="s">
        <v>29</v>
      </c>
      <c r="R1185" t="s">
        <v>28</v>
      </c>
      <c r="S1185" t="s">
        <v>1068</v>
      </c>
      <c r="T1185" t="s">
        <v>5414</v>
      </c>
      <c r="U1185" t="s">
        <v>562</v>
      </c>
      <c r="W1185" t="s">
        <v>563</v>
      </c>
      <c r="X1185" t="s">
        <v>34</v>
      </c>
      <c r="Y1185" t="str">
        <f>"750630156"</f>
        <v>750630156</v>
      </c>
    </row>
    <row r="1186" spans="1:25" x14ac:dyDescent="0.25">
      <c r="A1186" t="s">
        <v>5415</v>
      </c>
      <c r="B1186" t="s">
        <v>5416</v>
      </c>
      <c r="C1186">
        <v>2020</v>
      </c>
      <c r="D1186">
        <v>8001</v>
      </c>
      <c r="E1186">
        <v>1</v>
      </c>
      <c r="F1186" t="s">
        <v>5417</v>
      </c>
      <c r="G1186">
        <v>0</v>
      </c>
      <c r="J1186">
        <v>82.8</v>
      </c>
      <c r="L1186">
        <v>47046536</v>
      </c>
      <c r="M1186" s="1">
        <v>44260</v>
      </c>
      <c r="N1186" t="str">
        <f>"J210305BW5"</f>
        <v>J210305BW5</v>
      </c>
      <c r="O1186" t="s">
        <v>28</v>
      </c>
      <c r="Q1186" t="s">
        <v>29</v>
      </c>
      <c r="R1186" t="s">
        <v>28</v>
      </c>
      <c r="S1186" t="s">
        <v>5418</v>
      </c>
      <c r="T1186" t="s">
        <v>5419</v>
      </c>
      <c r="U1186" t="s">
        <v>60</v>
      </c>
      <c r="V1186" t="s">
        <v>60</v>
      </c>
      <c r="W1186" t="s">
        <v>5420</v>
      </c>
      <c r="X1186" t="s">
        <v>34</v>
      </c>
      <c r="Y1186" t="str">
        <f>"774333476   "</f>
        <v xml:space="preserve">774333476   </v>
      </c>
    </row>
    <row r="1187" spans="1:25" x14ac:dyDescent="0.25">
      <c r="A1187" t="s">
        <v>5421</v>
      </c>
      <c r="B1187" t="s">
        <v>5422</v>
      </c>
      <c r="C1187">
        <v>2019</v>
      </c>
      <c r="D1187">
        <v>8001</v>
      </c>
      <c r="E1187">
        <v>3</v>
      </c>
      <c r="F1187" t="s">
        <v>5423</v>
      </c>
      <c r="G1187">
        <v>28449425</v>
      </c>
      <c r="J1187">
        <v>507.51</v>
      </c>
      <c r="L1187">
        <v>44315074</v>
      </c>
      <c r="M1187" s="1">
        <v>43999</v>
      </c>
      <c r="N1187" t="str">
        <f>"J200617AW2"</f>
        <v>J200617AW2</v>
      </c>
      <c r="O1187" t="s">
        <v>28</v>
      </c>
      <c r="Q1187" t="s">
        <v>29</v>
      </c>
      <c r="R1187" t="s">
        <v>28</v>
      </c>
      <c r="S1187" t="s">
        <v>2906</v>
      </c>
      <c r="T1187" t="s">
        <v>2907</v>
      </c>
      <c r="U1187" t="s">
        <v>2908</v>
      </c>
      <c r="V1187" t="s">
        <v>2909</v>
      </c>
      <c r="W1187" t="s">
        <v>2910</v>
      </c>
      <c r="X1187" t="s">
        <v>317</v>
      </c>
      <c r="Y1187" t="str">
        <f>"91768"</f>
        <v>91768</v>
      </c>
    </row>
    <row r="1188" spans="1:25" x14ac:dyDescent="0.25">
      <c r="A1188" t="s">
        <v>5424</v>
      </c>
      <c r="B1188" t="s">
        <v>5425</v>
      </c>
      <c r="C1188">
        <v>2020</v>
      </c>
      <c r="D1188">
        <v>8001</v>
      </c>
      <c r="E1188">
        <v>1</v>
      </c>
      <c r="F1188" t="s">
        <v>5426</v>
      </c>
      <c r="G1188">
        <v>28791789</v>
      </c>
      <c r="J1188">
        <v>876</v>
      </c>
      <c r="L1188">
        <v>44917200</v>
      </c>
      <c r="M1188" s="1">
        <v>44153</v>
      </c>
      <c r="N1188" t="str">
        <f>"O201118W1"</f>
        <v>O201118W1</v>
      </c>
      <c r="O1188" t="s">
        <v>28</v>
      </c>
      <c r="Q1188" t="s">
        <v>29</v>
      </c>
      <c r="R1188" t="s">
        <v>28</v>
      </c>
      <c r="S1188" t="s">
        <v>1393</v>
      </c>
      <c r="T1188" t="s">
        <v>1394</v>
      </c>
      <c r="W1188" t="s">
        <v>1075</v>
      </c>
      <c r="X1188" t="s">
        <v>34</v>
      </c>
      <c r="Y1188" t="str">
        <f>"761771529"</f>
        <v>761771529</v>
      </c>
    </row>
    <row r="1189" spans="1:25" x14ac:dyDescent="0.25">
      <c r="A1189" t="s">
        <v>5427</v>
      </c>
      <c r="B1189" t="s">
        <v>5428</v>
      </c>
      <c r="C1189">
        <v>2020</v>
      </c>
      <c r="D1189">
        <v>8001</v>
      </c>
      <c r="E1189">
        <v>1</v>
      </c>
      <c r="F1189" t="s">
        <v>5429</v>
      </c>
      <c r="G1189">
        <v>29461701</v>
      </c>
      <c r="J1189">
        <v>495.98</v>
      </c>
      <c r="L1189">
        <v>46728701</v>
      </c>
      <c r="M1189" s="1">
        <v>44230</v>
      </c>
      <c r="N1189" t="str">
        <f>"EK210203"</f>
        <v>EK210203</v>
      </c>
      <c r="O1189" t="s">
        <v>28</v>
      </c>
      <c r="Q1189" t="s">
        <v>29</v>
      </c>
      <c r="R1189" t="s">
        <v>28</v>
      </c>
      <c r="S1189" t="s">
        <v>5430</v>
      </c>
      <c r="T1189" t="s">
        <v>5431</v>
      </c>
      <c r="W1189" t="s">
        <v>392</v>
      </c>
      <c r="X1189" t="s">
        <v>34</v>
      </c>
      <c r="Y1189" t="str">
        <f>"77459"</f>
        <v>77459</v>
      </c>
    </row>
    <row r="1190" spans="1:25" x14ac:dyDescent="0.25">
      <c r="A1190" t="s">
        <v>5432</v>
      </c>
      <c r="B1190" t="s">
        <v>5433</v>
      </c>
      <c r="C1190">
        <v>2019</v>
      </c>
      <c r="D1190">
        <v>8001</v>
      </c>
      <c r="E1190">
        <v>1</v>
      </c>
      <c r="F1190" t="s">
        <v>5434</v>
      </c>
      <c r="G1190">
        <v>28074382</v>
      </c>
      <c r="J1190">
        <v>238.07</v>
      </c>
      <c r="L1190">
        <v>43362477</v>
      </c>
      <c r="M1190" s="1">
        <v>43860</v>
      </c>
      <c r="N1190" t="str">
        <f>"O200130F1"</f>
        <v>O200130F1</v>
      </c>
      <c r="O1190" t="s">
        <v>28</v>
      </c>
      <c r="Q1190" t="s">
        <v>29</v>
      </c>
      <c r="R1190" t="s">
        <v>28</v>
      </c>
      <c r="S1190" t="s">
        <v>5435</v>
      </c>
      <c r="T1190" t="s">
        <v>5436</v>
      </c>
      <c r="W1190" t="s">
        <v>392</v>
      </c>
      <c r="X1190" t="s">
        <v>34</v>
      </c>
      <c r="Y1190" t="str">
        <f>"774597086"</f>
        <v>774597086</v>
      </c>
    </row>
    <row r="1191" spans="1:25" x14ac:dyDescent="0.25">
      <c r="A1191" t="s">
        <v>5437</v>
      </c>
      <c r="B1191" t="s">
        <v>5438</v>
      </c>
      <c r="C1191">
        <v>2019</v>
      </c>
      <c r="D1191">
        <v>8001</v>
      </c>
      <c r="E1191">
        <v>2</v>
      </c>
      <c r="F1191" t="s">
        <v>5439</v>
      </c>
      <c r="G1191">
        <v>0</v>
      </c>
      <c r="J1191">
        <v>101.57</v>
      </c>
      <c r="L1191">
        <v>43915132</v>
      </c>
      <c r="M1191" s="1">
        <v>43900</v>
      </c>
      <c r="N1191" t="str">
        <f>"J200310AW3"</f>
        <v>J200310AW3</v>
      </c>
      <c r="O1191" t="s">
        <v>28</v>
      </c>
      <c r="Q1191" t="s">
        <v>29</v>
      </c>
      <c r="R1191" t="s">
        <v>28</v>
      </c>
      <c r="S1191" t="s">
        <v>5439</v>
      </c>
      <c r="T1191" t="s">
        <v>5440</v>
      </c>
      <c r="U1191" t="s">
        <v>60</v>
      </c>
      <c r="V1191" t="s">
        <v>60</v>
      </c>
      <c r="W1191" t="s">
        <v>1333</v>
      </c>
      <c r="X1191" t="s">
        <v>34</v>
      </c>
      <c r="Y1191" t="str">
        <f>"774593542   "</f>
        <v xml:space="preserve">774593542   </v>
      </c>
    </row>
    <row r="1192" spans="1:25" x14ac:dyDescent="0.25">
      <c r="A1192" t="s">
        <v>5441</v>
      </c>
      <c r="B1192" t="s">
        <v>5442</v>
      </c>
      <c r="C1192">
        <v>2020</v>
      </c>
      <c r="D1192">
        <v>8001</v>
      </c>
      <c r="E1192">
        <v>1</v>
      </c>
      <c r="F1192" t="s">
        <v>5443</v>
      </c>
      <c r="G1192">
        <v>26419208</v>
      </c>
      <c r="J1192">
        <v>478.46</v>
      </c>
      <c r="L1192">
        <v>46899408</v>
      </c>
      <c r="M1192" s="1">
        <v>44237</v>
      </c>
      <c r="N1192" t="str">
        <f>"RC210304"</f>
        <v>RC210304</v>
      </c>
      <c r="O1192" t="s">
        <v>28</v>
      </c>
      <c r="Q1192" t="s">
        <v>29</v>
      </c>
      <c r="R1192" t="s">
        <v>28</v>
      </c>
      <c r="S1192" t="s">
        <v>1073</v>
      </c>
      <c r="T1192" t="s">
        <v>1074</v>
      </c>
      <c r="W1192" t="s">
        <v>1075</v>
      </c>
      <c r="X1192" t="s">
        <v>34</v>
      </c>
      <c r="Y1192" t="str">
        <f>"76177"</f>
        <v>76177</v>
      </c>
    </row>
    <row r="1193" spans="1:25" x14ac:dyDescent="0.25">
      <c r="A1193" t="s">
        <v>5444</v>
      </c>
      <c r="B1193" t="s">
        <v>5445</v>
      </c>
      <c r="C1193">
        <v>2021</v>
      </c>
      <c r="D1193">
        <v>8001</v>
      </c>
      <c r="E1193">
        <v>1</v>
      </c>
      <c r="F1193" t="s">
        <v>5446</v>
      </c>
      <c r="G1193">
        <v>22971682</v>
      </c>
      <c r="J1193">
        <v>673.95</v>
      </c>
      <c r="L1193">
        <v>50092249</v>
      </c>
      <c r="M1193" s="1">
        <v>44600</v>
      </c>
      <c r="N1193" t="str">
        <f>"RC220315"</f>
        <v>RC220315</v>
      </c>
      <c r="O1193" t="s">
        <v>28</v>
      </c>
      <c r="Q1193" t="s">
        <v>29</v>
      </c>
      <c r="R1193" t="s">
        <v>28</v>
      </c>
      <c r="S1193" t="s">
        <v>549</v>
      </c>
      <c r="T1193" t="s">
        <v>550</v>
      </c>
      <c r="W1193" t="s">
        <v>392</v>
      </c>
      <c r="X1193" t="s">
        <v>34</v>
      </c>
      <c r="Y1193" t="str">
        <f>"774592990"</f>
        <v>774592990</v>
      </c>
    </row>
    <row r="1194" spans="1:25" x14ac:dyDescent="0.25">
      <c r="A1194" t="s">
        <v>5447</v>
      </c>
      <c r="B1194" t="s">
        <v>5448</v>
      </c>
      <c r="C1194">
        <v>2020</v>
      </c>
      <c r="D1194">
        <v>8001</v>
      </c>
      <c r="E1194">
        <v>2</v>
      </c>
      <c r="F1194" t="s">
        <v>5449</v>
      </c>
      <c r="G1194">
        <v>27388269</v>
      </c>
      <c r="J1194">
        <v>63.8</v>
      </c>
      <c r="L1194">
        <v>47213200</v>
      </c>
      <c r="M1194" s="1">
        <v>44286</v>
      </c>
      <c r="N1194" t="str">
        <f>"RC210414"</f>
        <v>RC210414</v>
      </c>
      <c r="O1194" t="s">
        <v>28</v>
      </c>
      <c r="Q1194" t="s">
        <v>29</v>
      </c>
      <c r="R1194" t="s">
        <v>28</v>
      </c>
      <c r="S1194" t="s">
        <v>5450</v>
      </c>
      <c r="T1194" t="s">
        <v>5451</v>
      </c>
      <c r="W1194" t="s">
        <v>2981</v>
      </c>
      <c r="X1194" t="s">
        <v>34</v>
      </c>
      <c r="Y1194" t="str">
        <f>"752346451"</f>
        <v>752346451</v>
      </c>
    </row>
    <row r="1195" spans="1:25" x14ac:dyDescent="0.25">
      <c r="A1195" t="s">
        <v>5452</v>
      </c>
      <c r="B1195" t="s">
        <v>5453</v>
      </c>
      <c r="C1195">
        <v>2020</v>
      </c>
      <c r="D1195">
        <v>8001</v>
      </c>
      <c r="E1195">
        <v>5</v>
      </c>
      <c r="F1195" t="s">
        <v>5454</v>
      </c>
      <c r="G1195">
        <v>0</v>
      </c>
      <c r="J1195">
        <v>17.559999999999999</v>
      </c>
      <c r="L1195">
        <v>47243098</v>
      </c>
      <c r="M1195" s="1">
        <v>44291</v>
      </c>
      <c r="N1195" t="str">
        <f>"EL210405A"</f>
        <v>EL210405A</v>
      </c>
      <c r="O1195" t="s">
        <v>28</v>
      </c>
      <c r="Q1195" t="s">
        <v>29</v>
      </c>
      <c r="R1195" t="s">
        <v>28</v>
      </c>
      <c r="S1195" t="s">
        <v>5454</v>
      </c>
      <c r="T1195" t="s">
        <v>5455</v>
      </c>
      <c r="U1195" t="s">
        <v>60</v>
      </c>
      <c r="V1195" t="s">
        <v>60</v>
      </c>
      <c r="W1195" t="s">
        <v>5456</v>
      </c>
      <c r="X1195" t="s">
        <v>34</v>
      </c>
      <c r="Y1195" t="str">
        <f>"77459       "</f>
        <v xml:space="preserve">77459       </v>
      </c>
    </row>
    <row r="1196" spans="1:25" x14ac:dyDescent="0.25">
      <c r="A1196" t="s">
        <v>5457</v>
      </c>
      <c r="B1196" t="s">
        <v>5458</v>
      </c>
      <c r="C1196">
        <v>2020</v>
      </c>
      <c r="D1196">
        <v>8001</v>
      </c>
      <c r="E1196">
        <v>2</v>
      </c>
      <c r="F1196" t="s">
        <v>5459</v>
      </c>
      <c r="G1196">
        <v>21532327</v>
      </c>
      <c r="J1196">
        <v>34.32</v>
      </c>
      <c r="L1196">
        <v>47046544</v>
      </c>
      <c r="M1196" s="1">
        <v>44260</v>
      </c>
      <c r="N1196" t="str">
        <f>"RC210310"</f>
        <v>RC210310</v>
      </c>
      <c r="O1196" t="s">
        <v>28</v>
      </c>
      <c r="Q1196" t="s">
        <v>29</v>
      </c>
      <c r="R1196" t="s">
        <v>28</v>
      </c>
      <c r="S1196" t="s">
        <v>904</v>
      </c>
      <c r="T1196" t="s">
        <v>243</v>
      </c>
      <c r="W1196" t="s">
        <v>244</v>
      </c>
      <c r="X1196" t="s">
        <v>245</v>
      </c>
      <c r="Y1196" t="str">
        <f>"48226"</f>
        <v>48226</v>
      </c>
    </row>
    <row r="1197" spans="1:25" x14ac:dyDescent="0.25">
      <c r="A1197" t="s">
        <v>5460</v>
      </c>
      <c r="B1197" t="s">
        <v>5461</v>
      </c>
      <c r="C1197">
        <v>2019</v>
      </c>
      <c r="D1197">
        <v>8001</v>
      </c>
      <c r="E1197">
        <v>4</v>
      </c>
      <c r="F1197" t="s">
        <v>5462</v>
      </c>
      <c r="G1197">
        <v>28511997</v>
      </c>
      <c r="J1197">
        <v>67.33</v>
      </c>
      <c r="L1197">
        <v>44277821</v>
      </c>
      <c r="M1197" s="1">
        <v>43986</v>
      </c>
      <c r="N1197" t="str">
        <f>"CC300604"</f>
        <v>CC300604</v>
      </c>
      <c r="O1197" t="s">
        <v>28</v>
      </c>
      <c r="Q1197" t="s">
        <v>29</v>
      </c>
      <c r="R1197" t="s">
        <v>28</v>
      </c>
      <c r="S1197" t="s">
        <v>5463</v>
      </c>
      <c r="T1197" t="s">
        <v>5464</v>
      </c>
      <c r="W1197" t="s">
        <v>392</v>
      </c>
      <c r="X1197" t="s">
        <v>34</v>
      </c>
      <c r="Y1197" t="str">
        <f>"77459"</f>
        <v>77459</v>
      </c>
    </row>
    <row r="1198" spans="1:25" x14ac:dyDescent="0.25">
      <c r="A1198" t="s">
        <v>5465</v>
      </c>
      <c r="B1198" t="s">
        <v>5466</v>
      </c>
      <c r="C1198">
        <v>2020</v>
      </c>
      <c r="D1198">
        <v>8001</v>
      </c>
      <c r="E1198">
        <v>1</v>
      </c>
      <c r="F1198" t="s">
        <v>5467</v>
      </c>
      <c r="G1198">
        <v>27569253</v>
      </c>
      <c r="J1198">
        <v>124.37</v>
      </c>
      <c r="L1198">
        <v>45124721</v>
      </c>
      <c r="M1198" s="1">
        <v>44172</v>
      </c>
      <c r="N1198" t="str">
        <f>"RC201217"</f>
        <v>RC201217</v>
      </c>
      <c r="O1198" t="s">
        <v>28</v>
      </c>
      <c r="Q1198" t="s">
        <v>29</v>
      </c>
      <c r="R1198" t="s">
        <v>28</v>
      </c>
      <c r="S1198" t="s">
        <v>79</v>
      </c>
      <c r="T1198" t="s">
        <v>203</v>
      </c>
      <c r="U1198" t="s">
        <v>3308</v>
      </c>
      <c r="W1198" t="s">
        <v>392</v>
      </c>
      <c r="X1198" t="s">
        <v>34</v>
      </c>
      <c r="Y1198" t="str">
        <f>"774592200"</f>
        <v>774592200</v>
      </c>
    </row>
    <row r="1199" spans="1:25" x14ac:dyDescent="0.25">
      <c r="A1199" t="s">
        <v>5468</v>
      </c>
      <c r="B1199" t="s">
        <v>5469</v>
      </c>
      <c r="C1199">
        <v>2021</v>
      </c>
      <c r="D1199">
        <v>8001</v>
      </c>
      <c r="E1199">
        <v>1</v>
      </c>
      <c r="F1199" t="s">
        <v>5470</v>
      </c>
      <c r="G1199">
        <v>21060754</v>
      </c>
      <c r="J1199">
        <v>229.3</v>
      </c>
      <c r="L1199">
        <v>48886010</v>
      </c>
      <c r="M1199" s="1">
        <v>44565</v>
      </c>
      <c r="N1199" t="str">
        <f>"RC220209"</f>
        <v>RC220209</v>
      </c>
      <c r="O1199" t="s">
        <v>28</v>
      </c>
      <c r="Q1199" t="s">
        <v>29</v>
      </c>
      <c r="R1199" t="s">
        <v>28</v>
      </c>
      <c r="S1199" t="s">
        <v>561</v>
      </c>
      <c r="T1199" t="s">
        <v>5471</v>
      </c>
      <c r="U1199" t="s">
        <v>5472</v>
      </c>
      <c r="W1199" t="s">
        <v>1075</v>
      </c>
      <c r="X1199" t="s">
        <v>34</v>
      </c>
      <c r="Y1199" t="str">
        <f>"761610232"</f>
        <v>761610232</v>
      </c>
    </row>
    <row r="1200" spans="1:25" x14ac:dyDescent="0.25">
      <c r="A1200" t="s">
        <v>5473</v>
      </c>
      <c r="B1200" t="s">
        <v>5474</v>
      </c>
      <c r="C1200">
        <v>2020</v>
      </c>
      <c r="D1200">
        <v>8001</v>
      </c>
      <c r="E1200">
        <v>3</v>
      </c>
      <c r="F1200" t="s">
        <v>5475</v>
      </c>
      <c r="G1200">
        <v>0</v>
      </c>
      <c r="J1200">
        <v>7.94</v>
      </c>
      <c r="L1200">
        <v>45334161</v>
      </c>
      <c r="M1200" s="1">
        <v>44182</v>
      </c>
      <c r="N1200" t="str">
        <f>"L201217"</f>
        <v>L201217</v>
      </c>
      <c r="O1200" t="s">
        <v>28</v>
      </c>
      <c r="Q1200" t="s">
        <v>29</v>
      </c>
      <c r="R1200" t="s">
        <v>28</v>
      </c>
      <c r="S1200" t="s">
        <v>5475</v>
      </c>
      <c r="T1200" t="s">
        <v>5476</v>
      </c>
      <c r="U1200" t="s">
        <v>5477</v>
      </c>
      <c r="V1200" t="s">
        <v>60</v>
      </c>
      <c r="W1200" t="s">
        <v>198</v>
      </c>
      <c r="X1200" t="s">
        <v>34</v>
      </c>
      <c r="Y1200" t="str">
        <f>"753702438   "</f>
        <v xml:space="preserve">753702438   </v>
      </c>
    </row>
    <row r="1201" spans="1:25" x14ac:dyDescent="0.25">
      <c r="A1201" t="s">
        <v>5478</v>
      </c>
      <c r="B1201" t="s">
        <v>5479</v>
      </c>
      <c r="C1201">
        <v>2020</v>
      </c>
      <c r="D1201">
        <v>8001</v>
      </c>
      <c r="E1201">
        <v>1</v>
      </c>
      <c r="F1201" t="s">
        <v>5480</v>
      </c>
      <c r="G1201">
        <v>29135659</v>
      </c>
      <c r="J1201">
        <v>159.09</v>
      </c>
      <c r="L1201">
        <v>45749002</v>
      </c>
      <c r="M1201" s="1">
        <v>44202</v>
      </c>
      <c r="N1201" t="str">
        <f>"RC210120"</f>
        <v>RC210120</v>
      </c>
      <c r="O1201" t="s">
        <v>28</v>
      </c>
      <c r="Q1201" t="s">
        <v>29</v>
      </c>
      <c r="R1201" t="s">
        <v>28</v>
      </c>
      <c r="S1201" t="s">
        <v>5481</v>
      </c>
      <c r="T1201" t="s">
        <v>5482</v>
      </c>
      <c r="W1201" t="s">
        <v>5483</v>
      </c>
      <c r="X1201" t="s">
        <v>443</v>
      </c>
      <c r="Y1201" t="str">
        <f>"44131"</f>
        <v>44131</v>
      </c>
    </row>
    <row r="1202" spans="1:25" x14ac:dyDescent="0.25">
      <c r="A1202" t="s">
        <v>5484</v>
      </c>
      <c r="B1202" t="s">
        <v>5485</v>
      </c>
      <c r="C1202">
        <v>2021</v>
      </c>
      <c r="D1202">
        <v>8001</v>
      </c>
      <c r="E1202">
        <v>1</v>
      </c>
      <c r="F1202" t="s">
        <v>5486</v>
      </c>
      <c r="G1202">
        <v>1357257</v>
      </c>
      <c r="J1202">
        <v>50</v>
      </c>
      <c r="L1202">
        <v>48461732</v>
      </c>
      <c r="M1202" s="1">
        <v>44544</v>
      </c>
      <c r="N1202" t="str">
        <f>"RC220114"</f>
        <v>RC220114</v>
      </c>
      <c r="O1202" t="s">
        <v>28</v>
      </c>
      <c r="Q1202" t="s">
        <v>29</v>
      </c>
      <c r="R1202" t="s">
        <v>28</v>
      </c>
      <c r="S1202" t="s">
        <v>5487</v>
      </c>
      <c r="T1202" t="s">
        <v>5488</v>
      </c>
      <c r="W1202" t="s">
        <v>154</v>
      </c>
      <c r="X1202" t="s">
        <v>34</v>
      </c>
      <c r="Y1202" t="str">
        <f>"77471"</f>
        <v>77471</v>
      </c>
    </row>
    <row r="1203" spans="1:25" x14ac:dyDescent="0.25">
      <c r="A1203" t="s">
        <v>5489</v>
      </c>
      <c r="B1203" t="s">
        <v>5490</v>
      </c>
      <c r="C1203">
        <v>2020</v>
      </c>
      <c r="D1203">
        <v>8001</v>
      </c>
      <c r="E1203">
        <v>3</v>
      </c>
      <c r="F1203" t="s">
        <v>5491</v>
      </c>
      <c r="G1203">
        <v>30087212</v>
      </c>
      <c r="J1203">
        <v>30.28</v>
      </c>
      <c r="L1203">
        <v>47955628</v>
      </c>
      <c r="M1203" s="1">
        <v>44503</v>
      </c>
      <c r="N1203" t="str">
        <f>"EK211103"</f>
        <v>EK211103</v>
      </c>
      <c r="O1203" t="s">
        <v>28</v>
      </c>
      <c r="Q1203" t="s">
        <v>29</v>
      </c>
      <c r="R1203" t="s">
        <v>28</v>
      </c>
      <c r="S1203" t="s">
        <v>5492</v>
      </c>
      <c r="T1203" t="s">
        <v>5493</v>
      </c>
      <c r="W1203" t="s">
        <v>154</v>
      </c>
      <c r="X1203" t="s">
        <v>34</v>
      </c>
      <c r="Y1203" t="str">
        <f>"77471"</f>
        <v>77471</v>
      </c>
    </row>
    <row r="1204" spans="1:25" x14ac:dyDescent="0.25">
      <c r="A1204" t="s">
        <v>5494</v>
      </c>
      <c r="B1204" t="s">
        <v>5495</v>
      </c>
      <c r="C1204">
        <v>2020</v>
      </c>
      <c r="D1204">
        <v>8001</v>
      </c>
      <c r="E1204">
        <v>1</v>
      </c>
      <c r="F1204" t="s">
        <v>5496</v>
      </c>
      <c r="G1204">
        <v>0</v>
      </c>
      <c r="J1204">
        <v>119.43</v>
      </c>
      <c r="L1204">
        <v>46672817</v>
      </c>
      <c r="M1204" s="1">
        <v>44229</v>
      </c>
      <c r="N1204" t="str">
        <f>"L210202"</f>
        <v>L210202</v>
      </c>
      <c r="O1204" t="s">
        <v>28</v>
      </c>
      <c r="Q1204" t="s">
        <v>29</v>
      </c>
      <c r="R1204" t="s">
        <v>28</v>
      </c>
      <c r="S1204" t="s">
        <v>5496</v>
      </c>
      <c r="T1204" t="s">
        <v>5497</v>
      </c>
      <c r="U1204" t="s">
        <v>60</v>
      </c>
      <c r="V1204" t="s">
        <v>60</v>
      </c>
      <c r="W1204" t="s">
        <v>649</v>
      </c>
      <c r="X1204" t="s">
        <v>34</v>
      </c>
      <c r="Y1204" t="str">
        <f>"774714248   "</f>
        <v xml:space="preserve">774714248   </v>
      </c>
    </row>
    <row r="1205" spans="1:25" x14ac:dyDescent="0.25">
      <c r="A1205" t="s">
        <v>5498</v>
      </c>
      <c r="B1205" t="s">
        <v>5499</v>
      </c>
      <c r="C1205">
        <v>2020</v>
      </c>
      <c r="D1205">
        <v>8001</v>
      </c>
      <c r="E1205">
        <v>2</v>
      </c>
      <c r="F1205" t="s">
        <v>5500</v>
      </c>
      <c r="G1205">
        <v>0</v>
      </c>
      <c r="J1205">
        <v>6.97</v>
      </c>
      <c r="L1205">
        <v>47707427</v>
      </c>
      <c r="M1205" s="1">
        <v>44427</v>
      </c>
      <c r="N1205" t="str">
        <f>"J210819BW1"</f>
        <v>J210819BW1</v>
      </c>
      <c r="O1205" t="s">
        <v>28</v>
      </c>
      <c r="Q1205" t="s">
        <v>29</v>
      </c>
      <c r="R1205" t="s">
        <v>28</v>
      </c>
      <c r="S1205" t="s">
        <v>5500</v>
      </c>
      <c r="T1205" t="s">
        <v>5501</v>
      </c>
      <c r="U1205" t="s">
        <v>60</v>
      </c>
      <c r="V1205" t="s">
        <v>60</v>
      </c>
      <c r="W1205" t="s">
        <v>214</v>
      </c>
      <c r="X1205" t="s">
        <v>34</v>
      </c>
      <c r="Y1205" t="str">
        <f>"774693369   "</f>
        <v xml:space="preserve">774693369   </v>
      </c>
    </row>
    <row r="1206" spans="1:25" x14ac:dyDescent="0.25">
      <c r="A1206" t="s">
        <v>5502</v>
      </c>
      <c r="B1206" t="s">
        <v>5503</v>
      </c>
      <c r="C1206">
        <v>2020</v>
      </c>
      <c r="D1206">
        <v>8001</v>
      </c>
      <c r="E1206">
        <v>2</v>
      </c>
      <c r="F1206" t="s">
        <v>5504</v>
      </c>
      <c r="G1206">
        <v>28692840</v>
      </c>
      <c r="J1206">
        <v>11.62</v>
      </c>
      <c r="L1206">
        <v>47267071</v>
      </c>
      <c r="M1206" s="1">
        <v>44294</v>
      </c>
      <c r="N1206" t="str">
        <f>"RC210414"</f>
        <v>RC210414</v>
      </c>
      <c r="O1206" t="s">
        <v>28</v>
      </c>
      <c r="Q1206" t="s">
        <v>29</v>
      </c>
      <c r="R1206" t="s">
        <v>28</v>
      </c>
      <c r="S1206" t="s">
        <v>1019</v>
      </c>
      <c r="T1206" t="s">
        <v>562</v>
      </c>
      <c r="W1206" t="s">
        <v>563</v>
      </c>
      <c r="X1206" t="s">
        <v>34</v>
      </c>
      <c r="Y1206" t="str">
        <f>"750630156"</f>
        <v>750630156</v>
      </c>
    </row>
    <row r="1207" spans="1:25" x14ac:dyDescent="0.25">
      <c r="A1207" t="s">
        <v>5505</v>
      </c>
      <c r="B1207" t="s">
        <v>5506</v>
      </c>
      <c r="C1207">
        <v>2019</v>
      </c>
      <c r="D1207">
        <v>8001</v>
      </c>
      <c r="E1207">
        <v>1</v>
      </c>
      <c r="F1207" t="s">
        <v>5507</v>
      </c>
      <c r="G1207">
        <v>21805565</v>
      </c>
      <c r="J1207">
        <v>46.59</v>
      </c>
      <c r="L1207">
        <v>44231767</v>
      </c>
      <c r="M1207" s="1">
        <v>43980</v>
      </c>
      <c r="N1207" t="str">
        <f>"J200529AW3"</f>
        <v>J200529AW3</v>
      </c>
      <c r="O1207" t="s">
        <v>28</v>
      </c>
      <c r="Q1207" t="s">
        <v>29</v>
      </c>
      <c r="R1207" t="s">
        <v>28</v>
      </c>
      <c r="S1207" t="s">
        <v>561</v>
      </c>
      <c r="T1207" t="s">
        <v>5471</v>
      </c>
      <c r="U1207" t="s">
        <v>562</v>
      </c>
      <c r="W1207" t="s">
        <v>563</v>
      </c>
      <c r="X1207" t="s">
        <v>34</v>
      </c>
      <c r="Y1207" t="str">
        <f>"750630156"</f>
        <v>750630156</v>
      </c>
    </row>
    <row r="1208" spans="1:25" x14ac:dyDescent="0.25">
      <c r="A1208" t="s">
        <v>5508</v>
      </c>
      <c r="B1208" t="s">
        <v>5509</v>
      </c>
      <c r="C1208">
        <v>2020</v>
      </c>
      <c r="D1208">
        <v>8001</v>
      </c>
      <c r="E1208">
        <v>1</v>
      </c>
      <c r="F1208" t="s">
        <v>5510</v>
      </c>
      <c r="G1208">
        <v>27672948</v>
      </c>
      <c r="J1208">
        <v>115.21</v>
      </c>
      <c r="L1208">
        <v>44871403</v>
      </c>
      <c r="M1208" s="1">
        <v>44148</v>
      </c>
      <c r="N1208" t="str">
        <f>"O201113R7"</f>
        <v>O201113R7</v>
      </c>
      <c r="O1208" t="s">
        <v>28</v>
      </c>
      <c r="Q1208" t="s">
        <v>29</v>
      </c>
      <c r="R1208" t="s">
        <v>28</v>
      </c>
      <c r="S1208" t="s">
        <v>5511</v>
      </c>
      <c r="T1208" t="s">
        <v>5512</v>
      </c>
      <c r="U1208" t="s">
        <v>5513</v>
      </c>
      <c r="W1208" t="s">
        <v>75</v>
      </c>
      <c r="X1208" t="s">
        <v>34</v>
      </c>
      <c r="Y1208" t="str">
        <f>"77067"</f>
        <v>77067</v>
      </c>
    </row>
    <row r="1209" spans="1:25" x14ac:dyDescent="0.25">
      <c r="A1209" t="s">
        <v>5514</v>
      </c>
      <c r="B1209" t="s">
        <v>5515</v>
      </c>
      <c r="C1209">
        <v>2020</v>
      </c>
      <c r="D1209">
        <v>8001</v>
      </c>
      <c r="E1209">
        <v>1</v>
      </c>
      <c r="F1209" t="s">
        <v>5516</v>
      </c>
      <c r="G1209">
        <v>27842564</v>
      </c>
      <c r="J1209">
        <v>837.08</v>
      </c>
      <c r="L1209">
        <v>45712810</v>
      </c>
      <c r="M1209" s="1">
        <v>44201</v>
      </c>
      <c r="N1209" t="str">
        <f>"RC210120"</f>
        <v>RC210120</v>
      </c>
      <c r="O1209" t="s">
        <v>28</v>
      </c>
      <c r="Q1209" t="s">
        <v>29</v>
      </c>
      <c r="R1209" t="s">
        <v>28</v>
      </c>
      <c r="S1209" t="s">
        <v>231</v>
      </c>
      <c r="T1209" t="s">
        <v>203</v>
      </c>
      <c r="U1209" t="s">
        <v>232</v>
      </c>
      <c r="W1209" t="s">
        <v>233</v>
      </c>
      <c r="X1209" t="s">
        <v>34</v>
      </c>
      <c r="Y1209" t="str">
        <f>"76092"</f>
        <v>76092</v>
      </c>
    </row>
    <row r="1210" spans="1:25" x14ac:dyDescent="0.25">
      <c r="A1210" t="s">
        <v>5517</v>
      </c>
      <c r="B1210" t="s">
        <v>5518</v>
      </c>
      <c r="C1210">
        <v>2019</v>
      </c>
      <c r="D1210">
        <v>8001</v>
      </c>
      <c r="E1210">
        <v>1</v>
      </c>
      <c r="F1210" t="s">
        <v>5519</v>
      </c>
      <c r="G1210">
        <v>27434323</v>
      </c>
      <c r="J1210">
        <v>53.71</v>
      </c>
      <c r="L1210">
        <v>43915437</v>
      </c>
      <c r="M1210" s="1">
        <v>43900</v>
      </c>
      <c r="N1210" t="str">
        <f>"J200310AW6"</f>
        <v>J200310AW6</v>
      </c>
      <c r="O1210" t="s">
        <v>28</v>
      </c>
      <c r="Q1210" t="s">
        <v>29</v>
      </c>
      <c r="R1210" t="s">
        <v>28</v>
      </c>
      <c r="S1210" t="s">
        <v>1326</v>
      </c>
      <c r="T1210" t="s">
        <v>1327</v>
      </c>
      <c r="W1210" t="s">
        <v>1328</v>
      </c>
      <c r="X1210" t="s">
        <v>162</v>
      </c>
      <c r="Y1210" t="str">
        <f>"080541210"</f>
        <v>080541210</v>
      </c>
    </row>
    <row r="1211" spans="1:25" x14ac:dyDescent="0.25">
      <c r="A1211" t="s">
        <v>5520</v>
      </c>
      <c r="B1211" t="s">
        <v>5521</v>
      </c>
      <c r="C1211">
        <v>2020</v>
      </c>
      <c r="D1211">
        <v>8001</v>
      </c>
      <c r="E1211">
        <v>2</v>
      </c>
      <c r="F1211" t="s">
        <v>5522</v>
      </c>
      <c r="G1211">
        <v>28692840</v>
      </c>
      <c r="J1211">
        <v>48.32</v>
      </c>
      <c r="L1211">
        <v>47203662</v>
      </c>
      <c r="M1211" s="1">
        <v>44285</v>
      </c>
      <c r="N1211" t="str">
        <f>"RC210414"</f>
        <v>RC210414</v>
      </c>
      <c r="O1211" t="s">
        <v>28</v>
      </c>
      <c r="Q1211" t="s">
        <v>29</v>
      </c>
      <c r="R1211" t="s">
        <v>28</v>
      </c>
      <c r="S1211" t="s">
        <v>1019</v>
      </c>
      <c r="T1211" t="s">
        <v>562</v>
      </c>
      <c r="W1211" t="s">
        <v>563</v>
      </c>
      <c r="X1211" t="s">
        <v>34</v>
      </c>
      <c r="Y1211" t="str">
        <f>"750630156"</f>
        <v>750630156</v>
      </c>
    </row>
    <row r="1212" spans="1:25" x14ac:dyDescent="0.25">
      <c r="A1212" t="s">
        <v>5523</v>
      </c>
      <c r="B1212" t="s">
        <v>5524</v>
      </c>
      <c r="C1212">
        <v>2020</v>
      </c>
      <c r="D1212">
        <v>8001</v>
      </c>
      <c r="E1212">
        <v>2</v>
      </c>
      <c r="F1212" t="s">
        <v>5525</v>
      </c>
      <c r="G1212">
        <v>29624226</v>
      </c>
      <c r="J1212">
        <v>15</v>
      </c>
      <c r="L1212">
        <v>47068292</v>
      </c>
      <c r="M1212" s="1">
        <v>44265</v>
      </c>
      <c r="N1212" t="str">
        <f>"O210310BE1"</f>
        <v>O210310BE1</v>
      </c>
      <c r="O1212" t="s">
        <v>28</v>
      </c>
      <c r="Q1212" t="s">
        <v>29</v>
      </c>
      <c r="R1212" t="s">
        <v>28</v>
      </c>
      <c r="S1212" t="s">
        <v>1068</v>
      </c>
      <c r="T1212" t="s">
        <v>1685</v>
      </c>
      <c r="U1212" t="s">
        <v>562</v>
      </c>
      <c r="W1212" t="s">
        <v>563</v>
      </c>
      <c r="X1212" t="s">
        <v>34</v>
      </c>
      <c r="Y1212" t="str">
        <f>"750630156"</f>
        <v>750630156</v>
      </c>
    </row>
    <row r="1213" spans="1:25" x14ac:dyDescent="0.25">
      <c r="A1213" t="s">
        <v>5526</v>
      </c>
      <c r="B1213" t="s">
        <v>5527</v>
      </c>
      <c r="C1213">
        <v>2020</v>
      </c>
      <c r="D1213">
        <v>8001</v>
      </c>
      <c r="E1213">
        <v>1</v>
      </c>
      <c r="F1213" t="s">
        <v>5528</v>
      </c>
      <c r="G1213">
        <v>29489522</v>
      </c>
      <c r="J1213">
        <v>42.19</v>
      </c>
      <c r="L1213">
        <v>46782221</v>
      </c>
      <c r="M1213" s="1">
        <v>44231</v>
      </c>
      <c r="N1213" t="str">
        <f>"CC210204"</f>
        <v>CC210204</v>
      </c>
      <c r="O1213" t="s">
        <v>28</v>
      </c>
      <c r="Q1213" t="s">
        <v>29</v>
      </c>
      <c r="R1213" t="s">
        <v>28</v>
      </c>
      <c r="S1213" t="s">
        <v>5529</v>
      </c>
      <c r="T1213" t="s">
        <v>5530</v>
      </c>
      <c r="W1213" t="s">
        <v>81</v>
      </c>
      <c r="X1213" t="s">
        <v>34</v>
      </c>
      <c r="Y1213" t="str">
        <f>"77469"</f>
        <v>77469</v>
      </c>
    </row>
    <row r="1214" spans="1:25" x14ac:dyDescent="0.25">
      <c r="A1214" t="s">
        <v>5531</v>
      </c>
      <c r="B1214" t="s">
        <v>5532</v>
      </c>
      <c r="C1214">
        <v>2021</v>
      </c>
      <c r="D1214">
        <v>8001</v>
      </c>
      <c r="E1214">
        <v>1</v>
      </c>
      <c r="F1214" t="s">
        <v>5533</v>
      </c>
      <c r="G1214">
        <v>28872854</v>
      </c>
      <c r="J1214">
        <v>467.78</v>
      </c>
      <c r="L1214">
        <v>49165181</v>
      </c>
      <c r="M1214" s="1">
        <v>44574</v>
      </c>
      <c r="N1214" t="str">
        <f>"RC220221"</f>
        <v>RC220221</v>
      </c>
      <c r="O1214" t="s">
        <v>28</v>
      </c>
      <c r="Q1214" t="s">
        <v>29</v>
      </c>
      <c r="R1214" t="s">
        <v>28</v>
      </c>
      <c r="S1214" t="s">
        <v>5534</v>
      </c>
      <c r="T1214" t="s">
        <v>3145</v>
      </c>
      <c r="U1214" t="s">
        <v>3146</v>
      </c>
      <c r="W1214" t="s">
        <v>75</v>
      </c>
      <c r="X1214" t="s">
        <v>34</v>
      </c>
      <c r="Y1214" t="str">
        <f>"770643588"</f>
        <v>770643588</v>
      </c>
    </row>
    <row r="1215" spans="1:25" x14ac:dyDescent="0.25">
      <c r="A1215" t="s">
        <v>5535</v>
      </c>
      <c r="B1215" t="s">
        <v>5536</v>
      </c>
      <c r="C1215">
        <v>2019</v>
      </c>
      <c r="D1215">
        <v>8001</v>
      </c>
      <c r="E1215">
        <v>2</v>
      </c>
      <c r="F1215" t="s">
        <v>5537</v>
      </c>
      <c r="G1215">
        <v>0</v>
      </c>
      <c r="J1215">
        <v>156.03</v>
      </c>
      <c r="L1215">
        <v>43915148</v>
      </c>
      <c r="M1215" s="1">
        <v>43900</v>
      </c>
      <c r="N1215" t="str">
        <f>"J200310AW3"</f>
        <v>J200310AW3</v>
      </c>
      <c r="O1215" t="s">
        <v>28</v>
      </c>
      <c r="Q1215" t="s">
        <v>29</v>
      </c>
      <c r="R1215" t="s">
        <v>28</v>
      </c>
      <c r="S1215" t="s">
        <v>5537</v>
      </c>
      <c r="T1215" t="s">
        <v>5538</v>
      </c>
      <c r="U1215" t="s">
        <v>60</v>
      </c>
      <c r="V1215" t="s">
        <v>60</v>
      </c>
      <c r="W1215" t="s">
        <v>219</v>
      </c>
      <c r="X1215" t="s">
        <v>34</v>
      </c>
      <c r="Y1215" t="str">
        <f>"774987125   "</f>
        <v xml:space="preserve">774987125   </v>
      </c>
    </row>
    <row r="1216" spans="1:25" x14ac:dyDescent="0.25">
      <c r="A1216" t="s">
        <v>5539</v>
      </c>
      <c r="B1216" t="s">
        <v>5540</v>
      </c>
      <c r="C1216">
        <v>2021</v>
      </c>
      <c r="D1216">
        <v>8001</v>
      </c>
      <c r="E1216">
        <v>1</v>
      </c>
      <c r="F1216" t="s">
        <v>5541</v>
      </c>
      <c r="G1216">
        <v>30037419</v>
      </c>
      <c r="J1216">
        <v>49.3</v>
      </c>
      <c r="L1216">
        <v>48959702</v>
      </c>
      <c r="M1216" s="1">
        <v>44567</v>
      </c>
      <c r="N1216" t="str">
        <f>"RC220209"</f>
        <v>RC220209</v>
      </c>
      <c r="O1216" t="s">
        <v>28</v>
      </c>
      <c r="Q1216" t="s">
        <v>29</v>
      </c>
      <c r="R1216" t="s">
        <v>28</v>
      </c>
      <c r="S1216" t="s">
        <v>5542</v>
      </c>
      <c r="T1216" t="s">
        <v>5543</v>
      </c>
      <c r="U1216" t="s">
        <v>5544</v>
      </c>
      <c r="W1216" t="s">
        <v>586</v>
      </c>
      <c r="X1216" t="s">
        <v>34</v>
      </c>
      <c r="Y1216" t="str">
        <f>"770891138"</f>
        <v>770891138</v>
      </c>
    </row>
    <row r="1217" spans="1:25" x14ac:dyDescent="0.25">
      <c r="A1217" t="s">
        <v>5545</v>
      </c>
      <c r="B1217" t="s">
        <v>5546</v>
      </c>
      <c r="C1217">
        <v>2020</v>
      </c>
      <c r="D1217">
        <v>8001</v>
      </c>
      <c r="E1217">
        <v>3</v>
      </c>
      <c r="F1217" t="s">
        <v>5547</v>
      </c>
      <c r="G1217">
        <v>0</v>
      </c>
      <c r="J1217">
        <v>315</v>
      </c>
      <c r="L1217">
        <v>47779161</v>
      </c>
      <c r="M1217" s="1">
        <v>44474</v>
      </c>
      <c r="N1217" t="str">
        <f>"J211005K3"</f>
        <v>J211005K3</v>
      </c>
      <c r="O1217" t="s">
        <v>28</v>
      </c>
      <c r="Q1217" t="s">
        <v>29</v>
      </c>
      <c r="R1217" t="s">
        <v>28</v>
      </c>
      <c r="S1217" t="s">
        <v>5547</v>
      </c>
      <c r="T1217" t="s">
        <v>5548</v>
      </c>
      <c r="U1217" t="s">
        <v>60</v>
      </c>
      <c r="V1217" t="s">
        <v>60</v>
      </c>
      <c r="W1217" t="s">
        <v>219</v>
      </c>
      <c r="X1217" t="s">
        <v>34</v>
      </c>
      <c r="Y1217" t="str">
        <f>"774987171   "</f>
        <v xml:space="preserve">774987171   </v>
      </c>
    </row>
    <row r="1218" spans="1:25" x14ac:dyDescent="0.25">
      <c r="A1218" t="s">
        <v>5549</v>
      </c>
      <c r="B1218" t="s">
        <v>5550</v>
      </c>
      <c r="C1218">
        <v>2020</v>
      </c>
      <c r="D1218">
        <v>8001</v>
      </c>
      <c r="E1218">
        <v>3</v>
      </c>
      <c r="F1218" t="s">
        <v>5551</v>
      </c>
      <c r="G1218">
        <v>28858633</v>
      </c>
      <c r="J1218">
        <v>258.37</v>
      </c>
      <c r="L1218">
        <v>47530558</v>
      </c>
      <c r="M1218" s="1">
        <v>44362</v>
      </c>
      <c r="N1218" t="str">
        <f>"RC210622"</f>
        <v>RC210622</v>
      </c>
      <c r="O1218" t="s">
        <v>28</v>
      </c>
      <c r="Q1218" t="s">
        <v>29</v>
      </c>
      <c r="R1218" t="s">
        <v>28</v>
      </c>
      <c r="S1218" t="s">
        <v>1941</v>
      </c>
      <c r="T1218" t="s">
        <v>1942</v>
      </c>
      <c r="U1218" t="s">
        <v>4742</v>
      </c>
      <c r="W1218" t="s">
        <v>4743</v>
      </c>
      <c r="X1218" t="s">
        <v>34</v>
      </c>
      <c r="Y1218" t="str">
        <f>"750194786"</f>
        <v>750194786</v>
      </c>
    </row>
    <row r="1219" spans="1:25" x14ac:dyDescent="0.25">
      <c r="A1219" t="s">
        <v>5552</v>
      </c>
      <c r="B1219" t="s">
        <v>5553</v>
      </c>
      <c r="C1219">
        <v>2020</v>
      </c>
      <c r="D1219">
        <v>8001</v>
      </c>
      <c r="E1219">
        <v>1</v>
      </c>
      <c r="F1219" t="s">
        <v>5554</v>
      </c>
      <c r="G1219">
        <v>28479019</v>
      </c>
      <c r="J1219">
        <v>139.32</v>
      </c>
      <c r="L1219">
        <v>47213293</v>
      </c>
      <c r="M1219" s="1">
        <v>44286</v>
      </c>
      <c r="N1219" t="str">
        <f>"RC210414"</f>
        <v>RC210414</v>
      </c>
      <c r="O1219" t="s">
        <v>28</v>
      </c>
      <c r="Q1219" t="s">
        <v>29</v>
      </c>
      <c r="R1219" t="s">
        <v>28</v>
      </c>
      <c r="S1219" t="s">
        <v>127</v>
      </c>
      <c r="T1219" t="s">
        <v>3482</v>
      </c>
      <c r="U1219" t="s">
        <v>3483</v>
      </c>
      <c r="V1219" t="s">
        <v>3484</v>
      </c>
      <c r="W1219" t="s">
        <v>75</v>
      </c>
      <c r="X1219" t="s">
        <v>34</v>
      </c>
      <c r="Y1219" t="str">
        <f>"77042"</f>
        <v>77042</v>
      </c>
    </row>
    <row r="1220" spans="1:25" x14ac:dyDescent="0.25">
      <c r="A1220" t="s">
        <v>5555</v>
      </c>
      <c r="B1220" t="s">
        <v>5556</v>
      </c>
      <c r="C1220">
        <v>2019</v>
      </c>
      <c r="D1220">
        <v>8001</v>
      </c>
      <c r="E1220">
        <v>12</v>
      </c>
      <c r="F1220" t="s">
        <v>5557</v>
      </c>
      <c r="G1220">
        <v>25965021</v>
      </c>
      <c r="J1220">
        <v>26.5</v>
      </c>
      <c r="L1220">
        <v>41574430</v>
      </c>
      <c r="M1220" s="1">
        <v>43766</v>
      </c>
      <c r="N1220" t="str">
        <f>"TE191028"</f>
        <v>TE191028</v>
      </c>
      <c r="O1220" t="s">
        <v>28</v>
      </c>
      <c r="Q1220" t="s">
        <v>29</v>
      </c>
      <c r="R1220" t="s">
        <v>28</v>
      </c>
      <c r="S1220" t="s">
        <v>5558</v>
      </c>
      <c r="T1220" t="s">
        <v>5559</v>
      </c>
      <c r="W1220" t="s">
        <v>40</v>
      </c>
      <c r="X1220" t="s">
        <v>34</v>
      </c>
      <c r="Y1220" t="str">
        <f>"77498"</f>
        <v>77498</v>
      </c>
    </row>
    <row r="1221" spans="1:25" x14ac:dyDescent="0.25">
      <c r="A1221" t="s">
        <v>5560</v>
      </c>
      <c r="B1221" t="s">
        <v>5561</v>
      </c>
      <c r="C1221">
        <v>2020</v>
      </c>
      <c r="D1221">
        <v>8001</v>
      </c>
      <c r="E1221">
        <v>2</v>
      </c>
      <c r="F1221" t="s">
        <v>5562</v>
      </c>
      <c r="G1221">
        <v>26210979</v>
      </c>
      <c r="J1221">
        <v>35.89</v>
      </c>
      <c r="L1221">
        <v>43785408</v>
      </c>
      <c r="M1221" s="1">
        <v>44147</v>
      </c>
      <c r="N1221" t="str">
        <f>"TE201112"</f>
        <v>TE201112</v>
      </c>
      <c r="O1221" t="s">
        <v>28</v>
      </c>
      <c r="Q1221" t="s">
        <v>29</v>
      </c>
      <c r="R1221" t="s">
        <v>28</v>
      </c>
      <c r="S1221" t="s">
        <v>5563</v>
      </c>
      <c r="T1221" t="s">
        <v>5564</v>
      </c>
      <c r="W1221" t="s">
        <v>154</v>
      </c>
      <c r="X1221" t="s">
        <v>34</v>
      </c>
      <c r="Y1221" t="str">
        <f>"77471"</f>
        <v>77471</v>
      </c>
    </row>
    <row r="1222" spans="1:25" x14ac:dyDescent="0.25">
      <c r="A1222" t="s">
        <v>5565</v>
      </c>
      <c r="B1222" t="s">
        <v>5566</v>
      </c>
      <c r="C1222">
        <v>2019</v>
      </c>
      <c r="D1222">
        <v>8001</v>
      </c>
      <c r="E1222">
        <v>4</v>
      </c>
      <c r="F1222" t="s">
        <v>5567</v>
      </c>
      <c r="G1222">
        <v>28512010</v>
      </c>
      <c r="J1222">
        <v>5.0599999999999996</v>
      </c>
      <c r="L1222">
        <v>44277834</v>
      </c>
      <c r="M1222" s="1">
        <v>43986</v>
      </c>
      <c r="N1222" t="str">
        <f>"CC300604"</f>
        <v>CC300604</v>
      </c>
      <c r="O1222" t="s">
        <v>28</v>
      </c>
      <c r="Q1222" t="s">
        <v>29</v>
      </c>
      <c r="R1222" t="s">
        <v>28</v>
      </c>
      <c r="S1222" t="s">
        <v>5568</v>
      </c>
      <c r="T1222" t="s">
        <v>5569</v>
      </c>
      <c r="W1222" t="s">
        <v>154</v>
      </c>
      <c r="X1222" t="s">
        <v>34</v>
      </c>
      <c r="Y1222" t="str">
        <f>"77471"</f>
        <v>77471</v>
      </c>
    </row>
    <row r="1223" spans="1:25" x14ac:dyDescent="0.25">
      <c r="A1223" t="s">
        <v>5570</v>
      </c>
      <c r="B1223" t="s">
        <v>5571</v>
      </c>
      <c r="C1223">
        <v>2021</v>
      </c>
      <c r="D1223">
        <v>8001</v>
      </c>
      <c r="E1223">
        <v>2</v>
      </c>
      <c r="F1223" t="s">
        <v>5572</v>
      </c>
      <c r="G1223">
        <v>31140764</v>
      </c>
      <c r="J1223">
        <v>200</v>
      </c>
      <c r="L1223">
        <v>50173131</v>
      </c>
      <c r="M1223" s="1">
        <v>44607</v>
      </c>
      <c r="N1223" t="str">
        <f>"RC220317"</f>
        <v>RC220317</v>
      </c>
      <c r="O1223" t="s">
        <v>28</v>
      </c>
      <c r="Q1223" t="s">
        <v>29</v>
      </c>
      <c r="R1223" t="s">
        <v>28</v>
      </c>
      <c r="S1223" t="s">
        <v>5573</v>
      </c>
      <c r="T1223" t="s">
        <v>5574</v>
      </c>
      <c r="W1223" t="s">
        <v>5575</v>
      </c>
      <c r="X1223" t="s">
        <v>5576</v>
      </c>
      <c r="Y1223" t="str">
        <f>"372012256"</f>
        <v>372012256</v>
      </c>
    </row>
    <row r="1224" spans="1:25" x14ac:dyDescent="0.25">
      <c r="A1224" t="s">
        <v>5577</v>
      </c>
      <c r="B1224" t="s">
        <v>5578</v>
      </c>
      <c r="C1224">
        <v>2019</v>
      </c>
      <c r="D1224">
        <v>8001</v>
      </c>
      <c r="E1224">
        <v>2</v>
      </c>
      <c r="F1224" t="s">
        <v>5579</v>
      </c>
      <c r="G1224">
        <v>0</v>
      </c>
      <c r="J1224">
        <v>9.85</v>
      </c>
      <c r="L1224">
        <v>44094769</v>
      </c>
      <c r="M1224" s="1">
        <v>43945</v>
      </c>
      <c r="N1224" t="str">
        <f>"J200424AW1"</f>
        <v>J200424AW1</v>
      </c>
      <c r="O1224" t="s">
        <v>28</v>
      </c>
      <c r="Q1224" t="s">
        <v>29</v>
      </c>
      <c r="R1224" t="s">
        <v>28</v>
      </c>
      <c r="S1224" t="s">
        <v>5579</v>
      </c>
      <c r="T1224" t="s">
        <v>5580</v>
      </c>
      <c r="U1224" t="s">
        <v>60</v>
      </c>
      <c r="V1224" t="s">
        <v>60</v>
      </c>
      <c r="W1224" t="s">
        <v>214</v>
      </c>
      <c r="X1224" t="s">
        <v>34</v>
      </c>
      <c r="Y1224" t="str">
        <f>"774062565   "</f>
        <v xml:space="preserve">774062565   </v>
      </c>
    </row>
    <row r="1225" spans="1:25" x14ac:dyDescent="0.25">
      <c r="A1225" t="s">
        <v>5581</v>
      </c>
      <c r="B1225" t="s">
        <v>5582</v>
      </c>
      <c r="C1225">
        <v>2019</v>
      </c>
      <c r="D1225">
        <v>8001</v>
      </c>
      <c r="E1225">
        <v>3</v>
      </c>
      <c r="F1225" t="s">
        <v>5583</v>
      </c>
      <c r="G1225">
        <v>28525506</v>
      </c>
      <c r="J1225">
        <v>9.7899999999999991</v>
      </c>
      <c r="L1225">
        <v>44305326</v>
      </c>
      <c r="M1225" s="1">
        <v>43997</v>
      </c>
      <c r="N1225" t="str">
        <f>"O200615U1"</f>
        <v>O200615U1</v>
      </c>
      <c r="O1225" t="s">
        <v>28</v>
      </c>
      <c r="Q1225" t="s">
        <v>29</v>
      </c>
      <c r="R1225" t="s">
        <v>28</v>
      </c>
      <c r="S1225" t="s">
        <v>5584</v>
      </c>
      <c r="T1225" t="s">
        <v>5585</v>
      </c>
      <c r="W1225" t="s">
        <v>618</v>
      </c>
      <c r="X1225" t="s">
        <v>34</v>
      </c>
      <c r="Y1225" t="str">
        <f>"774611221"</f>
        <v>774611221</v>
      </c>
    </row>
    <row r="1226" spans="1:25" x14ac:dyDescent="0.25">
      <c r="A1226" t="s">
        <v>5586</v>
      </c>
      <c r="B1226" t="s">
        <v>5587</v>
      </c>
      <c r="C1226">
        <v>2020</v>
      </c>
      <c r="D1226">
        <v>8001</v>
      </c>
      <c r="E1226">
        <v>2</v>
      </c>
      <c r="F1226" t="s">
        <v>5588</v>
      </c>
      <c r="G1226">
        <v>29859267</v>
      </c>
      <c r="J1226">
        <v>55.95</v>
      </c>
      <c r="L1226">
        <v>47500766</v>
      </c>
      <c r="M1226" s="1">
        <v>44351</v>
      </c>
      <c r="N1226" t="str">
        <f>"CC210604"</f>
        <v>CC210604</v>
      </c>
      <c r="O1226" t="s">
        <v>28</v>
      </c>
      <c r="Q1226" t="s">
        <v>29</v>
      </c>
      <c r="R1226" t="s">
        <v>28</v>
      </c>
      <c r="S1226" t="s">
        <v>5589</v>
      </c>
      <c r="T1226" t="s">
        <v>5590</v>
      </c>
      <c r="W1226" t="s">
        <v>81</v>
      </c>
      <c r="X1226" t="s">
        <v>34</v>
      </c>
      <c r="Y1226" t="str">
        <f>"77469"</f>
        <v>77469</v>
      </c>
    </row>
    <row r="1227" spans="1:25" x14ac:dyDescent="0.25">
      <c r="A1227" t="s">
        <v>5591</v>
      </c>
      <c r="B1227" t="s">
        <v>5592</v>
      </c>
      <c r="C1227">
        <v>2019</v>
      </c>
      <c r="D1227">
        <v>8001</v>
      </c>
      <c r="E1227">
        <v>3</v>
      </c>
      <c r="F1227" t="s">
        <v>5593</v>
      </c>
      <c r="G1227">
        <v>27687617</v>
      </c>
      <c r="J1227">
        <v>15.51</v>
      </c>
      <c r="L1227">
        <v>44293014</v>
      </c>
      <c r="M1227" s="1">
        <v>43991</v>
      </c>
      <c r="N1227" t="str">
        <f>"J200609AW2"</f>
        <v>J200609AW2</v>
      </c>
      <c r="O1227" t="s">
        <v>28</v>
      </c>
      <c r="Q1227" t="s">
        <v>29</v>
      </c>
      <c r="R1227" t="s">
        <v>28</v>
      </c>
      <c r="S1227" t="s">
        <v>561</v>
      </c>
      <c r="T1227" t="s">
        <v>562</v>
      </c>
      <c r="W1227" t="s">
        <v>563</v>
      </c>
      <c r="X1227" t="s">
        <v>34</v>
      </c>
      <c r="Y1227" t="str">
        <f>"750630156"</f>
        <v>750630156</v>
      </c>
    </row>
    <row r="1228" spans="1:25" x14ac:dyDescent="0.25">
      <c r="A1228" t="s">
        <v>5594</v>
      </c>
      <c r="B1228" t="s">
        <v>5595</v>
      </c>
      <c r="C1228">
        <v>2020</v>
      </c>
      <c r="D1228">
        <v>8001</v>
      </c>
      <c r="E1228">
        <v>1</v>
      </c>
      <c r="F1228" t="s">
        <v>5596</v>
      </c>
      <c r="G1228">
        <v>0</v>
      </c>
      <c r="J1228">
        <v>201.73</v>
      </c>
      <c r="L1228">
        <v>46673519</v>
      </c>
      <c r="M1228" s="1">
        <v>44229</v>
      </c>
      <c r="N1228" t="str">
        <f>"L210202"</f>
        <v>L210202</v>
      </c>
      <c r="O1228" t="s">
        <v>28</v>
      </c>
      <c r="Q1228" t="s">
        <v>29</v>
      </c>
      <c r="R1228" t="s">
        <v>28</v>
      </c>
      <c r="S1228" t="s">
        <v>5596</v>
      </c>
      <c r="T1228" t="s">
        <v>5597</v>
      </c>
      <c r="U1228" t="s">
        <v>60</v>
      </c>
      <c r="V1228" t="s">
        <v>60</v>
      </c>
      <c r="W1228" t="s">
        <v>214</v>
      </c>
      <c r="X1228" t="s">
        <v>34</v>
      </c>
      <c r="Y1228" t="str">
        <f>"774696026   "</f>
        <v xml:space="preserve">774696026   </v>
      </c>
    </row>
    <row r="1229" spans="1:25" x14ac:dyDescent="0.25">
      <c r="A1229" t="s">
        <v>5598</v>
      </c>
      <c r="B1229" t="s">
        <v>5599</v>
      </c>
      <c r="C1229">
        <v>2020</v>
      </c>
      <c r="D1229">
        <v>8001</v>
      </c>
      <c r="E1229">
        <v>2</v>
      </c>
      <c r="F1229" t="s">
        <v>5600</v>
      </c>
      <c r="G1229">
        <v>26962220</v>
      </c>
      <c r="J1229">
        <v>20.34</v>
      </c>
      <c r="L1229">
        <v>45757094</v>
      </c>
      <c r="M1229" s="1">
        <v>44202</v>
      </c>
      <c r="N1229" t="str">
        <f>"RC210120"</f>
        <v>RC210120</v>
      </c>
      <c r="O1229" t="s">
        <v>28</v>
      </c>
      <c r="Q1229" t="s">
        <v>29</v>
      </c>
      <c r="R1229" t="s">
        <v>28</v>
      </c>
      <c r="S1229" t="s">
        <v>561</v>
      </c>
      <c r="T1229" t="s">
        <v>1015</v>
      </c>
      <c r="W1229" t="s">
        <v>563</v>
      </c>
      <c r="X1229" t="s">
        <v>34</v>
      </c>
      <c r="Y1229" t="str">
        <f>"750630156"</f>
        <v>750630156</v>
      </c>
    </row>
    <row r="1230" spans="1:25" x14ac:dyDescent="0.25">
      <c r="A1230" t="s">
        <v>5601</v>
      </c>
      <c r="B1230" t="s">
        <v>5602</v>
      </c>
      <c r="C1230">
        <v>2018</v>
      </c>
      <c r="D1230">
        <v>8001</v>
      </c>
      <c r="E1230">
        <v>5</v>
      </c>
      <c r="F1230" t="s">
        <v>5603</v>
      </c>
      <c r="G1230">
        <v>27545216</v>
      </c>
      <c r="J1230">
        <v>65.849999999999994</v>
      </c>
      <c r="L1230">
        <v>41542785</v>
      </c>
      <c r="M1230" s="1">
        <v>43719</v>
      </c>
      <c r="N1230" t="str">
        <f>"J190911AW1"</f>
        <v>J190911AW1</v>
      </c>
      <c r="O1230" t="s">
        <v>28</v>
      </c>
      <c r="Q1230" t="s">
        <v>29</v>
      </c>
      <c r="R1230" t="s">
        <v>28</v>
      </c>
      <c r="S1230" t="s">
        <v>363</v>
      </c>
      <c r="T1230" t="s">
        <v>5604</v>
      </c>
      <c r="W1230" t="s">
        <v>563</v>
      </c>
      <c r="X1230" t="s">
        <v>34</v>
      </c>
      <c r="Y1230" t="str">
        <f>"750632466"</f>
        <v>750632466</v>
      </c>
    </row>
    <row r="1231" spans="1:25" x14ac:dyDescent="0.25">
      <c r="A1231" t="s">
        <v>5605</v>
      </c>
      <c r="B1231" t="s">
        <v>5606</v>
      </c>
      <c r="C1231">
        <v>2021</v>
      </c>
      <c r="D1231">
        <v>8001</v>
      </c>
      <c r="E1231">
        <v>1</v>
      </c>
      <c r="F1231" t="s">
        <v>5607</v>
      </c>
      <c r="G1231">
        <v>0</v>
      </c>
      <c r="J1231" s="2">
        <v>1067</v>
      </c>
      <c r="L1231">
        <v>50103143</v>
      </c>
      <c r="M1231" s="1">
        <v>44600</v>
      </c>
      <c r="N1231" t="str">
        <f>"J220208BW10"</f>
        <v>J220208BW10</v>
      </c>
      <c r="O1231" t="s">
        <v>28</v>
      </c>
      <c r="Q1231" t="s">
        <v>29</v>
      </c>
      <c r="R1231" t="s">
        <v>28</v>
      </c>
      <c r="S1231" t="s">
        <v>5607</v>
      </c>
      <c r="T1231" t="s">
        <v>5608</v>
      </c>
      <c r="U1231" t="s">
        <v>60</v>
      </c>
      <c r="V1231" t="s">
        <v>60</v>
      </c>
      <c r="W1231" t="s">
        <v>214</v>
      </c>
      <c r="X1231" t="s">
        <v>34</v>
      </c>
      <c r="Y1231" t="str">
        <f>"774696076   "</f>
        <v xml:space="preserve">774696076   </v>
      </c>
    </row>
    <row r="1232" spans="1:25" x14ac:dyDescent="0.25">
      <c r="A1232" t="s">
        <v>5609</v>
      </c>
      <c r="B1232" t="s">
        <v>5610</v>
      </c>
      <c r="C1232">
        <v>2019</v>
      </c>
      <c r="D1232">
        <v>8001</v>
      </c>
      <c r="E1232">
        <v>2</v>
      </c>
      <c r="F1232" t="s">
        <v>5611</v>
      </c>
      <c r="G1232">
        <v>0</v>
      </c>
      <c r="J1232">
        <v>47.77</v>
      </c>
      <c r="L1232">
        <v>44329947</v>
      </c>
      <c r="M1232" s="1">
        <v>44006</v>
      </c>
      <c r="N1232" t="str">
        <f>"J200624K1"</f>
        <v>J200624K1</v>
      </c>
      <c r="O1232" t="s">
        <v>28</v>
      </c>
      <c r="Q1232" t="s">
        <v>29</v>
      </c>
      <c r="R1232" t="s">
        <v>28</v>
      </c>
      <c r="S1232" t="s">
        <v>5611</v>
      </c>
      <c r="T1232" t="s">
        <v>5612</v>
      </c>
      <c r="U1232" t="s">
        <v>60</v>
      </c>
      <c r="V1232" t="s">
        <v>60</v>
      </c>
      <c r="W1232" t="s">
        <v>214</v>
      </c>
      <c r="X1232" t="s">
        <v>34</v>
      </c>
      <c r="Y1232" t="str">
        <f>"774696077   "</f>
        <v xml:space="preserve">774696077   </v>
      </c>
    </row>
    <row r="1233" spans="1:25" x14ac:dyDescent="0.25">
      <c r="A1233" t="s">
        <v>5613</v>
      </c>
      <c r="B1233" t="s">
        <v>5614</v>
      </c>
      <c r="C1233">
        <v>2019</v>
      </c>
      <c r="D1233">
        <v>8001</v>
      </c>
      <c r="E1233">
        <v>10</v>
      </c>
      <c r="F1233" t="s">
        <v>5615</v>
      </c>
      <c r="G1233">
        <v>0</v>
      </c>
      <c r="J1233">
        <v>37.07</v>
      </c>
      <c r="L1233">
        <v>41569564</v>
      </c>
      <c r="M1233" s="1">
        <v>43766</v>
      </c>
      <c r="N1233" t="str">
        <f>"TE191028"</f>
        <v>TE191028</v>
      </c>
      <c r="O1233" t="s">
        <v>28</v>
      </c>
      <c r="Q1233" t="s">
        <v>29</v>
      </c>
      <c r="R1233" t="s">
        <v>28</v>
      </c>
      <c r="S1233" t="s">
        <v>5615</v>
      </c>
      <c r="T1233" t="s">
        <v>5616</v>
      </c>
      <c r="U1233" t="s">
        <v>60</v>
      </c>
      <c r="V1233" t="s">
        <v>60</v>
      </c>
      <c r="W1233" t="s">
        <v>214</v>
      </c>
      <c r="X1233" t="s">
        <v>34</v>
      </c>
      <c r="Y1233" t="str">
        <f>"774696077   "</f>
        <v xml:space="preserve">774696077   </v>
      </c>
    </row>
    <row r="1234" spans="1:25" x14ac:dyDescent="0.25">
      <c r="A1234" t="s">
        <v>5617</v>
      </c>
      <c r="B1234" t="s">
        <v>5618</v>
      </c>
      <c r="C1234">
        <v>2020</v>
      </c>
      <c r="D1234">
        <v>8001</v>
      </c>
      <c r="E1234">
        <v>1</v>
      </c>
      <c r="F1234" t="s">
        <v>5619</v>
      </c>
      <c r="G1234">
        <v>29644519</v>
      </c>
      <c r="J1234">
        <v>141.59</v>
      </c>
      <c r="L1234">
        <v>47049889</v>
      </c>
      <c r="M1234" s="1">
        <v>44263</v>
      </c>
      <c r="N1234" t="str">
        <f>"RC210317"</f>
        <v>RC210317</v>
      </c>
      <c r="O1234" t="s">
        <v>28</v>
      </c>
      <c r="Q1234" t="s">
        <v>29</v>
      </c>
      <c r="R1234" t="s">
        <v>28</v>
      </c>
      <c r="S1234" t="s">
        <v>4921</v>
      </c>
      <c r="T1234" t="s">
        <v>5620</v>
      </c>
      <c r="W1234" t="s">
        <v>112</v>
      </c>
      <c r="X1234" t="s">
        <v>34</v>
      </c>
      <c r="Y1234" t="str">
        <f>"77478"</f>
        <v>77478</v>
      </c>
    </row>
    <row r="1235" spans="1:25" x14ac:dyDescent="0.25">
      <c r="A1235" t="s">
        <v>5621</v>
      </c>
      <c r="B1235" t="s">
        <v>5622</v>
      </c>
      <c r="C1235">
        <v>2021</v>
      </c>
      <c r="D1235">
        <v>8001</v>
      </c>
      <c r="E1235">
        <v>1</v>
      </c>
      <c r="F1235" t="s">
        <v>5623</v>
      </c>
      <c r="G1235">
        <v>30405475</v>
      </c>
      <c r="J1235">
        <v>56.41</v>
      </c>
      <c r="L1235">
        <v>48826647</v>
      </c>
      <c r="M1235" s="1">
        <v>44564</v>
      </c>
      <c r="N1235" t="str">
        <f>"O220103F1"</f>
        <v>O220103F1</v>
      </c>
      <c r="O1235" t="s">
        <v>28</v>
      </c>
      <c r="Q1235" t="s">
        <v>29</v>
      </c>
      <c r="R1235" t="s">
        <v>28</v>
      </c>
      <c r="S1235" t="s">
        <v>5624</v>
      </c>
      <c r="T1235" t="s">
        <v>5625</v>
      </c>
      <c r="W1235" t="s">
        <v>75</v>
      </c>
      <c r="X1235" t="s">
        <v>34</v>
      </c>
      <c r="Y1235" t="str">
        <f>"770834322"</f>
        <v>770834322</v>
      </c>
    </row>
    <row r="1236" spans="1:25" x14ac:dyDescent="0.25">
      <c r="A1236" t="s">
        <v>5626</v>
      </c>
      <c r="B1236" t="s">
        <v>5627</v>
      </c>
      <c r="C1236">
        <v>2020</v>
      </c>
      <c r="D1236">
        <v>8001</v>
      </c>
      <c r="E1236">
        <v>1</v>
      </c>
      <c r="F1236" t="s">
        <v>5628</v>
      </c>
      <c r="G1236">
        <v>23632701</v>
      </c>
      <c r="J1236">
        <v>51.32</v>
      </c>
      <c r="L1236">
        <v>46885384</v>
      </c>
      <c r="M1236" s="1">
        <v>44236</v>
      </c>
      <c r="N1236" t="str">
        <f>"RC210304"</f>
        <v>RC210304</v>
      </c>
      <c r="O1236" t="s">
        <v>28</v>
      </c>
      <c r="Q1236" t="s">
        <v>29</v>
      </c>
      <c r="R1236" t="s">
        <v>28</v>
      </c>
      <c r="S1236" t="s">
        <v>5629</v>
      </c>
      <c r="T1236" t="s">
        <v>5630</v>
      </c>
      <c r="W1236" t="s">
        <v>1160</v>
      </c>
      <c r="X1236" t="s">
        <v>34</v>
      </c>
      <c r="Y1236" t="str">
        <f>"77545"</f>
        <v>77545</v>
      </c>
    </row>
    <row r="1237" spans="1:25" x14ac:dyDescent="0.25">
      <c r="A1237" t="s">
        <v>5631</v>
      </c>
      <c r="B1237" t="s">
        <v>5632</v>
      </c>
      <c r="C1237">
        <v>2020</v>
      </c>
      <c r="D1237">
        <v>8001</v>
      </c>
      <c r="E1237">
        <v>3</v>
      </c>
      <c r="F1237" t="s">
        <v>5633</v>
      </c>
      <c r="G1237">
        <v>0</v>
      </c>
      <c r="J1237">
        <v>104.24</v>
      </c>
      <c r="L1237">
        <v>46829413</v>
      </c>
      <c r="M1237" s="1">
        <v>44235</v>
      </c>
      <c r="N1237" t="str">
        <f>"QP210208"</f>
        <v>QP210208</v>
      </c>
      <c r="O1237" t="s">
        <v>28</v>
      </c>
      <c r="Q1237" t="s">
        <v>29</v>
      </c>
      <c r="R1237" t="s">
        <v>28</v>
      </c>
      <c r="S1237" t="s">
        <v>5633</v>
      </c>
      <c r="T1237" t="s">
        <v>5634</v>
      </c>
      <c r="U1237" t="s">
        <v>60</v>
      </c>
      <c r="V1237" t="s">
        <v>60</v>
      </c>
      <c r="W1237" t="s">
        <v>2502</v>
      </c>
      <c r="X1237" t="s">
        <v>34</v>
      </c>
      <c r="Y1237" t="str">
        <f>"775457041   "</f>
        <v xml:space="preserve">775457041   </v>
      </c>
    </row>
    <row r="1238" spans="1:25" x14ac:dyDescent="0.25">
      <c r="A1238" t="s">
        <v>5635</v>
      </c>
      <c r="B1238" t="s">
        <v>5636</v>
      </c>
      <c r="C1238">
        <v>2020</v>
      </c>
      <c r="D1238">
        <v>8001</v>
      </c>
      <c r="E1238">
        <v>1</v>
      </c>
      <c r="F1238" t="s">
        <v>5637</v>
      </c>
      <c r="G1238">
        <v>29461640</v>
      </c>
      <c r="J1238">
        <v>175.19</v>
      </c>
      <c r="L1238">
        <v>46728640</v>
      </c>
      <c r="M1238" s="1">
        <v>44230</v>
      </c>
      <c r="N1238" t="str">
        <f>"EK210203"</f>
        <v>EK210203</v>
      </c>
      <c r="O1238" t="s">
        <v>28</v>
      </c>
      <c r="Q1238" t="s">
        <v>29</v>
      </c>
      <c r="R1238" t="s">
        <v>28</v>
      </c>
      <c r="S1238" t="s">
        <v>2527</v>
      </c>
      <c r="T1238" t="s">
        <v>2528</v>
      </c>
      <c r="W1238" t="s">
        <v>1160</v>
      </c>
      <c r="X1238" t="s">
        <v>34</v>
      </c>
      <c r="Y1238" t="str">
        <f>"77545"</f>
        <v>77545</v>
      </c>
    </row>
    <row r="1239" spans="1:25" x14ac:dyDescent="0.25">
      <c r="A1239" t="s">
        <v>5638</v>
      </c>
      <c r="B1239" t="s">
        <v>5639</v>
      </c>
      <c r="C1239">
        <v>2018</v>
      </c>
      <c r="D1239">
        <v>8001</v>
      </c>
      <c r="E1239">
        <v>8</v>
      </c>
      <c r="F1239" t="s">
        <v>5640</v>
      </c>
      <c r="G1239">
        <v>25501681</v>
      </c>
      <c r="J1239">
        <v>20.77</v>
      </c>
      <c r="L1239">
        <v>41480049</v>
      </c>
      <c r="M1239" s="1">
        <v>43684</v>
      </c>
      <c r="N1239" t="str">
        <f>"J190807K1"</f>
        <v>J190807K1</v>
      </c>
      <c r="O1239" t="s">
        <v>28</v>
      </c>
      <c r="Q1239" t="s">
        <v>29</v>
      </c>
      <c r="R1239" t="s">
        <v>28</v>
      </c>
      <c r="S1239" t="s">
        <v>5031</v>
      </c>
      <c r="T1239" t="s">
        <v>5032</v>
      </c>
      <c r="U1239" t="s">
        <v>5033</v>
      </c>
      <c r="W1239" t="s">
        <v>1371</v>
      </c>
      <c r="X1239" t="s">
        <v>34</v>
      </c>
      <c r="Y1239" t="str">
        <f>"75034"</f>
        <v>75034</v>
      </c>
    </row>
    <row r="1240" spans="1:25" x14ac:dyDescent="0.25">
      <c r="A1240" t="s">
        <v>5641</v>
      </c>
      <c r="B1240" t="s">
        <v>5642</v>
      </c>
      <c r="C1240">
        <v>2018</v>
      </c>
      <c r="D1240">
        <v>8001</v>
      </c>
      <c r="E1240">
        <v>2</v>
      </c>
      <c r="F1240" t="s">
        <v>5643</v>
      </c>
      <c r="G1240">
        <v>25048477</v>
      </c>
      <c r="J1240">
        <v>37.68</v>
      </c>
      <c r="L1240">
        <v>41480051</v>
      </c>
      <c r="M1240" s="1">
        <v>43684</v>
      </c>
      <c r="N1240" t="str">
        <f>"J190807K1"</f>
        <v>J190807K1</v>
      </c>
      <c r="O1240" t="s">
        <v>28</v>
      </c>
      <c r="Q1240" t="s">
        <v>29</v>
      </c>
      <c r="R1240" t="s">
        <v>28</v>
      </c>
      <c r="S1240" t="s">
        <v>2579</v>
      </c>
      <c r="T1240" t="s">
        <v>2052</v>
      </c>
      <c r="W1240" t="s">
        <v>1328</v>
      </c>
      <c r="X1240" t="s">
        <v>162</v>
      </c>
      <c r="Y1240" t="str">
        <f>"080545452"</f>
        <v>080545452</v>
      </c>
    </row>
    <row r="1241" spans="1:25" x14ac:dyDescent="0.25">
      <c r="A1241" t="s">
        <v>5644</v>
      </c>
      <c r="B1241" t="s">
        <v>5645</v>
      </c>
      <c r="C1241">
        <v>2020</v>
      </c>
      <c r="D1241">
        <v>8001</v>
      </c>
      <c r="E1241">
        <v>2</v>
      </c>
      <c r="F1241" t="s">
        <v>5646</v>
      </c>
      <c r="G1241">
        <v>28954015</v>
      </c>
      <c r="J1241">
        <v>7.92</v>
      </c>
      <c r="L1241">
        <v>45443043</v>
      </c>
      <c r="M1241" s="1">
        <v>44188</v>
      </c>
      <c r="N1241" t="str">
        <f>"O201223AV6"</f>
        <v>O201223AV6</v>
      </c>
      <c r="O1241" t="s">
        <v>28</v>
      </c>
      <c r="Q1241" t="s">
        <v>29</v>
      </c>
      <c r="R1241" t="s">
        <v>28</v>
      </c>
      <c r="S1241" t="s">
        <v>5647</v>
      </c>
      <c r="T1241" t="s">
        <v>5648</v>
      </c>
      <c r="W1241" t="s">
        <v>40</v>
      </c>
      <c r="X1241" t="s">
        <v>34</v>
      </c>
      <c r="Y1241" t="str">
        <f>"774795789"</f>
        <v>774795789</v>
      </c>
    </row>
    <row r="1242" spans="1:25" x14ac:dyDescent="0.25">
      <c r="A1242" t="s">
        <v>5649</v>
      </c>
      <c r="B1242" t="s">
        <v>5650</v>
      </c>
      <c r="C1242">
        <v>2020</v>
      </c>
      <c r="D1242">
        <v>8001</v>
      </c>
      <c r="E1242">
        <v>1</v>
      </c>
      <c r="F1242" t="s">
        <v>5651</v>
      </c>
      <c r="G1242">
        <v>29448469</v>
      </c>
      <c r="J1242">
        <v>155.22999999999999</v>
      </c>
      <c r="L1242">
        <v>47519636</v>
      </c>
      <c r="M1242" s="1">
        <v>44357</v>
      </c>
      <c r="N1242" t="str">
        <f>"RC210616"</f>
        <v>RC210616</v>
      </c>
      <c r="O1242" t="s">
        <v>28</v>
      </c>
      <c r="Q1242" t="s">
        <v>29</v>
      </c>
      <c r="R1242" t="s">
        <v>28</v>
      </c>
      <c r="S1242" t="s">
        <v>1033</v>
      </c>
      <c r="T1242" t="s">
        <v>1034</v>
      </c>
      <c r="W1242" t="s">
        <v>168</v>
      </c>
      <c r="X1242" t="s">
        <v>169</v>
      </c>
      <c r="Y1242" t="str">
        <f>"801114720"</f>
        <v>801114720</v>
      </c>
    </row>
    <row r="1243" spans="1:25" x14ac:dyDescent="0.25">
      <c r="A1243" t="s">
        <v>5652</v>
      </c>
      <c r="B1243" t="s">
        <v>5653</v>
      </c>
      <c r="C1243">
        <v>2020</v>
      </c>
      <c r="D1243">
        <v>8001</v>
      </c>
      <c r="E1243">
        <v>1</v>
      </c>
      <c r="F1243" t="s">
        <v>5654</v>
      </c>
      <c r="G1243">
        <v>29489451</v>
      </c>
      <c r="J1243">
        <v>532.57000000000005</v>
      </c>
      <c r="L1243">
        <v>46782150</v>
      </c>
      <c r="M1243" s="1">
        <v>44231</v>
      </c>
      <c r="N1243" t="str">
        <f>"CC210204"</f>
        <v>CC210204</v>
      </c>
      <c r="O1243" t="s">
        <v>28</v>
      </c>
      <c r="Q1243" t="s">
        <v>29</v>
      </c>
      <c r="R1243" t="s">
        <v>28</v>
      </c>
      <c r="S1243" t="s">
        <v>5655</v>
      </c>
      <c r="T1243" t="s">
        <v>5656</v>
      </c>
      <c r="W1243" t="s">
        <v>40</v>
      </c>
      <c r="X1243" t="s">
        <v>34</v>
      </c>
      <c r="Y1243" t="str">
        <f>"77479"</f>
        <v>77479</v>
      </c>
    </row>
    <row r="1244" spans="1:25" x14ac:dyDescent="0.25">
      <c r="A1244" t="s">
        <v>5657</v>
      </c>
      <c r="B1244" t="s">
        <v>5658</v>
      </c>
      <c r="C1244">
        <v>2020</v>
      </c>
      <c r="D1244">
        <v>8001</v>
      </c>
      <c r="E1244">
        <v>1</v>
      </c>
      <c r="F1244" t="s">
        <v>5659</v>
      </c>
      <c r="G1244">
        <v>29591411</v>
      </c>
      <c r="J1244">
        <v>886.37</v>
      </c>
      <c r="L1244">
        <v>46874931</v>
      </c>
      <c r="M1244" s="1">
        <v>44236</v>
      </c>
      <c r="N1244" t="str">
        <f>"RC210304"</f>
        <v>RC210304</v>
      </c>
      <c r="O1244" t="s">
        <v>28</v>
      </c>
      <c r="Q1244" t="s">
        <v>29</v>
      </c>
      <c r="R1244" t="s">
        <v>28</v>
      </c>
      <c r="S1244" t="s">
        <v>5660</v>
      </c>
      <c r="T1244" t="s">
        <v>5661</v>
      </c>
      <c r="W1244" t="s">
        <v>112</v>
      </c>
      <c r="X1244" t="s">
        <v>34</v>
      </c>
      <c r="Y1244" t="str">
        <f>"774982414"</f>
        <v>774982414</v>
      </c>
    </row>
    <row r="1245" spans="1:25" x14ac:dyDescent="0.25">
      <c r="A1245" t="s">
        <v>5662</v>
      </c>
      <c r="B1245" t="s">
        <v>5663</v>
      </c>
      <c r="C1245">
        <v>2020</v>
      </c>
      <c r="D1245">
        <v>8001</v>
      </c>
      <c r="E1245">
        <v>1</v>
      </c>
      <c r="F1245" t="s">
        <v>5664</v>
      </c>
      <c r="G1245">
        <v>29135722</v>
      </c>
      <c r="J1245">
        <v>13.39</v>
      </c>
      <c r="L1245">
        <v>45670536</v>
      </c>
      <c r="M1245" s="1">
        <v>44201</v>
      </c>
      <c r="N1245" t="str">
        <f>"RC210120"</f>
        <v>RC210120</v>
      </c>
      <c r="O1245" t="s">
        <v>28</v>
      </c>
      <c r="Q1245" t="s">
        <v>29</v>
      </c>
      <c r="R1245" t="s">
        <v>28</v>
      </c>
      <c r="S1245" t="s">
        <v>30</v>
      </c>
      <c r="T1245" t="s">
        <v>5665</v>
      </c>
      <c r="U1245" t="s">
        <v>5666</v>
      </c>
      <c r="W1245" t="s">
        <v>107</v>
      </c>
      <c r="X1245" t="s">
        <v>34</v>
      </c>
      <c r="Y1245" t="str">
        <f>"77494"</f>
        <v>77494</v>
      </c>
    </row>
    <row r="1246" spans="1:25" x14ac:dyDescent="0.25">
      <c r="A1246" t="s">
        <v>5667</v>
      </c>
      <c r="B1246" t="s">
        <v>5668</v>
      </c>
      <c r="C1246">
        <v>2020</v>
      </c>
      <c r="D1246">
        <v>8001</v>
      </c>
      <c r="E1246">
        <v>1</v>
      </c>
      <c r="F1246" t="s">
        <v>5669</v>
      </c>
      <c r="G1246">
        <v>29576656</v>
      </c>
      <c r="J1246">
        <v>13.86</v>
      </c>
      <c r="L1246">
        <v>46672753</v>
      </c>
      <c r="M1246" s="1">
        <v>44229</v>
      </c>
      <c r="N1246" t="str">
        <f>"RC210301"</f>
        <v>RC210301</v>
      </c>
      <c r="O1246" t="s">
        <v>28</v>
      </c>
      <c r="Q1246" t="s">
        <v>29</v>
      </c>
      <c r="R1246" t="s">
        <v>28</v>
      </c>
      <c r="S1246" t="s">
        <v>5670</v>
      </c>
      <c r="T1246" t="s">
        <v>5671</v>
      </c>
      <c r="W1246" t="s">
        <v>75</v>
      </c>
      <c r="X1246" t="s">
        <v>34</v>
      </c>
      <c r="Y1246" t="str">
        <f>"77074"</f>
        <v>77074</v>
      </c>
    </row>
    <row r="1247" spans="1:25" x14ac:dyDescent="0.25">
      <c r="A1247" t="s">
        <v>5672</v>
      </c>
      <c r="B1247" t="s">
        <v>5673</v>
      </c>
      <c r="C1247">
        <v>2020</v>
      </c>
      <c r="D1247">
        <v>8001</v>
      </c>
      <c r="E1247">
        <v>1</v>
      </c>
      <c r="F1247" t="s">
        <v>5674</v>
      </c>
      <c r="G1247">
        <v>0</v>
      </c>
      <c r="J1247">
        <v>537.41999999999996</v>
      </c>
      <c r="L1247">
        <v>44967474</v>
      </c>
      <c r="M1247" s="1">
        <v>44158</v>
      </c>
      <c r="N1247" t="str">
        <f>"J201123U1"</f>
        <v>J201123U1</v>
      </c>
      <c r="O1247" t="s">
        <v>28</v>
      </c>
      <c r="Q1247" t="s">
        <v>29</v>
      </c>
      <c r="R1247" t="s">
        <v>28</v>
      </c>
      <c r="S1247" t="s">
        <v>5674</v>
      </c>
      <c r="T1247" t="s">
        <v>5675</v>
      </c>
      <c r="U1247" t="s">
        <v>60</v>
      </c>
      <c r="V1247" t="s">
        <v>60</v>
      </c>
      <c r="W1247" t="s">
        <v>219</v>
      </c>
      <c r="X1247" t="s">
        <v>34</v>
      </c>
      <c r="Y1247" t="str">
        <f>"774792889   "</f>
        <v xml:space="preserve">774792889   </v>
      </c>
    </row>
    <row r="1248" spans="1:25" x14ac:dyDescent="0.25">
      <c r="A1248" t="s">
        <v>5676</v>
      </c>
      <c r="B1248" t="s">
        <v>5677</v>
      </c>
      <c r="C1248">
        <v>2020</v>
      </c>
      <c r="D1248">
        <v>8001</v>
      </c>
      <c r="E1248">
        <v>3</v>
      </c>
      <c r="F1248" t="s">
        <v>5678</v>
      </c>
      <c r="G1248">
        <v>29564104</v>
      </c>
      <c r="J1248">
        <v>739.45</v>
      </c>
      <c r="L1248">
        <v>47011956</v>
      </c>
      <c r="M1248" s="1">
        <v>44257</v>
      </c>
      <c r="N1248" t="str">
        <f>"R210302AJ2"</f>
        <v>R210302AJ2</v>
      </c>
      <c r="O1248" t="s">
        <v>28</v>
      </c>
      <c r="Q1248" t="s">
        <v>29</v>
      </c>
      <c r="R1248" t="s">
        <v>28</v>
      </c>
      <c r="S1248" t="s">
        <v>5679</v>
      </c>
      <c r="T1248" t="s">
        <v>5680</v>
      </c>
      <c r="W1248" t="s">
        <v>40</v>
      </c>
      <c r="X1248" t="s">
        <v>34</v>
      </c>
      <c r="Y1248" t="str">
        <f>"77479"</f>
        <v>77479</v>
      </c>
    </row>
    <row r="1249" spans="1:25" x14ac:dyDescent="0.25">
      <c r="A1249" t="s">
        <v>5681</v>
      </c>
      <c r="B1249" t="s">
        <v>5682</v>
      </c>
      <c r="C1249">
        <v>2020</v>
      </c>
      <c r="D1249">
        <v>8001</v>
      </c>
      <c r="E1249">
        <v>1</v>
      </c>
      <c r="F1249" t="s">
        <v>5683</v>
      </c>
      <c r="G1249">
        <v>29596098</v>
      </c>
      <c r="J1249">
        <v>217.72</v>
      </c>
      <c r="L1249">
        <v>47018867</v>
      </c>
      <c r="M1249" s="1">
        <v>44258</v>
      </c>
      <c r="N1249" t="str">
        <f>"EK210303"</f>
        <v>EK210303</v>
      </c>
      <c r="O1249" t="s">
        <v>28</v>
      </c>
      <c r="Q1249" t="s">
        <v>29</v>
      </c>
      <c r="R1249" t="s">
        <v>28</v>
      </c>
      <c r="S1249" t="s">
        <v>5684</v>
      </c>
      <c r="T1249" t="s">
        <v>2691</v>
      </c>
      <c r="W1249" t="s">
        <v>40</v>
      </c>
      <c r="X1249" t="s">
        <v>34</v>
      </c>
      <c r="Y1249" t="str">
        <f>"77479"</f>
        <v>77479</v>
      </c>
    </row>
    <row r="1250" spans="1:25" x14ac:dyDescent="0.25">
      <c r="A1250" t="s">
        <v>5685</v>
      </c>
      <c r="B1250" t="s">
        <v>5686</v>
      </c>
      <c r="C1250">
        <v>2020</v>
      </c>
      <c r="D1250">
        <v>8001</v>
      </c>
      <c r="E1250">
        <v>1</v>
      </c>
      <c r="F1250" t="s">
        <v>5687</v>
      </c>
      <c r="G1250">
        <v>22693600</v>
      </c>
      <c r="J1250">
        <v>363.07</v>
      </c>
      <c r="L1250">
        <v>44841460</v>
      </c>
      <c r="M1250" s="1">
        <v>44147</v>
      </c>
      <c r="N1250" t="str">
        <f>"O201112BC7"</f>
        <v>O201112BC7</v>
      </c>
      <c r="O1250" t="s">
        <v>28</v>
      </c>
      <c r="Q1250" t="s">
        <v>29</v>
      </c>
      <c r="R1250" t="s">
        <v>28</v>
      </c>
      <c r="S1250" t="s">
        <v>5688</v>
      </c>
      <c r="T1250" t="s">
        <v>5689</v>
      </c>
      <c r="W1250" t="s">
        <v>40</v>
      </c>
      <c r="X1250" t="s">
        <v>34</v>
      </c>
      <c r="Y1250" t="str">
        <f>"774792677"</f>
        <v>774792677</v>
      </c>
    </row>
    <row r="1251" spans="1:25" x14ac:dyDescent="0.25">
      <c r="A1251" t="s">
        <v>5690</v>
      </c>
      <c r="B1251" t="s">
        <v>5691</v>
      </c>
      <c r="C1251">
        <v>2020</v>
      </c>
      <c r="D1251">
        <v>8001</v>
      </c>
      <c r="E1251">
        <v>1</v>
      </c>
      <c r="F1251" t="s">
        <v>5692</v>
      </c>
      <c r="G1251">
        <v>0</v>
      </c>
      <c r="J1251">
        <v>660.25</v>
      </c>
      <c r="L1251">
        <v>45236791</v>
      </c>
      <c r="M1251" s="1">
        <v>44176</v>
      </c>
      <c r="N1251" t="str">
        <f>"L201211"</f>
        <v>L201211</v>
      </c>
      <c r="O1251" t="s">
        <v>28</v>
      </c>
      <c r="Q1251" t="s">
        <v>29</v>
      </c>
      <c r="R1251" t="s">
        <v>28</v>
      </c>
      <c r="S1251" t="s">
        <v>5692</v>
      </c>
      <c r="T1251" t="s">
        <v>5693</v>
      </c>
      <c r="U1251" t="s">
        <v>60</v>
      </c>
      <c r="V1251" t="s">
        <v>60</v>
      </c>
      <c r="W1251" t="s">
        <v>219</v>
      </c>
      <c r="X1251" t="s">
        <v>34</v>
      </c>
      <c r="Y1251" t="str">
        <f>"774794329   "</f>
        <v xml:space="preserve">774794329   </v>
      </c>
    </row>
    <row r="1252" spans="1:25" x14ac:dyDescent="0.25">
      <c r="A1252" t="s">
        <v>5694</v>
      </c>
      <c r="B1252" t="s">
        <v>5695</v>
      </c>
      <c r="C1252">
        <v>2020</v>
      </c>
      <c r="D1252">
        <v>8001</v>
      </c>
      <c r="E1252">
        <v>1</v>
      </c>
      <c r="F1252" t="s">
        <v>5696</v>
      </c>
      <c r="G1252">
        <v>26770692</v>
      </c>
      <c r="J1252">
        <v>30</v>
      </c>
      <c r="L1252">
        <v>45573188</v>
      </c>
      <c r="M1252" s="1">
        <v>44195</v>
      </c>
      <c r="N1252" t="str">
        <f>"RC210115"</f>
        <v>RC210115</v>
      </c>
      <c r="O1252" t="s">
        <v>28</v>
      </c>
      <c r="Q1252" t="s">
        <v>29</v>
      </c>
      <c r="R1252" t="s">
        <v>28</v>
      </c>
      <c r="S1252" t="s">
        <v>5697</v>
      </c>
      <c r="T1252" t="s">
        <v>5698</v>
      </c>
      <c r="W1252" t="s">
        <v>5699</v>
      </c>
      <c r="X1252" t="s">
        <v>34</v>
      </c>
      <c r="Y1252" t="str">
        <f>"77479"</f>
        <v>77479</v>
      </c>
    </row>
    <row r="1253" spans="1:25" x14ac:dyDescent="0.25">
      <c r="A1253" t="s">
        <v>5700</v>
      </c>
      <c r="B1253" t="s">
        <v>5701</v>
      </c>
      <c r="C1253">
        <v>2021</v>
      </c>
      <c r="D1253">
        <v>8001</v>
      </c>
      <c r="E1253">
        <v>3</v>
      </c>
      <c r="F1253" t="s">
        <v>5702</v>
      </c>
      <c r="G1253">
        <v>29584128</v>
      </c>
      <c r="J1253">
        <v>61.19</v>
      </c>
      <c r="L1253">
        <v>50089301</v>
      </c>
      <c r="M1253" s="1">
        <v>44600</v>
      </c>
      <c r="N1253" t="str">
        <f>"RC220315"</f>
        <v>RC220315</v>
      </c>
      <c r="O1253" t="s">
        <v>28</v>
      </c>
      <c r="Q1253" t="s">
        <v>29</v>
      </c>
      <c r="R1253" t="s">
        <v>28</v>
      </c>
      <c r="S1253" t="s">
        <v>5703</v>
      </c>
      <c r="T1253" t="s">
        <v>5704</v>
      </c>
      <c r="U1253" t="s">
        <v>5705</v>
      </c>
      <c r="W1253" t="s">
        <v>112</v>
      </c>
      <c r="X1253" t="s">
        <v>34</v>
      </c>
      <c r="Y1253" t="str">
        <f>"774793341"</f>
        <v>774793341</v>
      </c>
    </row>
    <row r="1254" spans="1:25" x14ac:dyDescent="0.25">
      <c r="A1254" t="s">
        <v>5706</v>
      </c>
      <c r="B1254" t="s">
        <v>5707</v>
      </c>
      <c r="C1254">
        <v>2020</v>
      </c>
      <c r="D1254">
        <v>8001</v>
      </c>
      <c r="E1254">
        <v>1</v>
      </c>
      <c r="F1254" t="s">
        <v>5708</v>
      </c>
      <c r="G1254">
        <v>28787858</v>
      </c>
      <c r="J1254">
        <v>28</v>
      </c>
      <c r="L1254">
        <v>45223530</v>
      </c>
      <c r="M1254" s="1">
        <v>44176</v>
      </c>
      <c r="N1254" t="str">
        <f>"RC201217"</f>
        <v>RC201217</v>
      </c>
      <c r="O1254" t="s">
        <v>28</v>
      </c>
      <c r="Q1254" t="s">
        <v>29</v>
      </c>
      <c r="R1254" t="s">
        <v>28</v>
      </c>
      <c r="S1254" t="s">
        <v>1772</v>
      </c>
      <c r="T1254" t="s">
        <v>4396</v>
      </c>
      <c r="U1254" t="s">
        <v>5709</v>
      </c>
      <c r="V1254" t="s">
        <v>5710</v>
      </c>
      <c r="W1254" t="s">
        <v>40</v>
      </c>
      <c r="X1254" t="s">
        <v>34</v>
      </c>
      <c r="Y1254" t="str">
        <f>"77479"</f>
        <v>77479</v>
      </c>
    </row>
    <row r="1255" spans="1:25" x14ac:dyDescent="0.25">
      <c r="A1255" t="s">
        <v>5711</v>
      </c>
      <c r="B1255" t="s">
        <v>5712</v>
      </c>
      <c r="C1255">
        <v>2020</v>
      </c>
      <c r="D1255">
        <v>8001</v>
      </c>
      <c r="E1255">
        <v>1</v>
      </c>
      <c r="F1255" t="s">
        <v>5713</v>
      </c>
      <c r="G1255">
        <v>0</v>
      </c>
      <c r="J1255">
        <v>117.14</v>
      </c>
      <c r="L1255">
        <v>45591060</v>
      </c>
      <c r="M1255" s="1">
        <v>44196</v>
      </c>
      <c r="N1255" t="str">
        <f>"EL201231"</f>
        <v>EL201231</v>
      </c>
      <c r="O1255" t="s">
        <v>28</v>
      </c>
      <c r="Q1255" t="s">
        <v>29</v>
      </c>
      <c r="R1255" t="s">
        <v>28</v>
      </c>
      <c r="S1255" t="s">
        <v>5713</v>
      </c>
      <c r="T1255" t="s">
        <v>5714</v>
      </c>
      <c r="U1255" t="s">
        <v>60</v>
      </c>
      <c r="V1255" t="s">
        <v>60</v>
      </c>
      <c r="W1255" t="s">
        <v>219</v>
      </c>
      <c r="X1255" t="s">
        <v>34</v>
      </c>
      <c r="Y1255" t="str">
        <f>"774794411   "</f>
        <v xml:space="preserve">774794411   </v>
      </c>
    </row>
    <row r="1256" spans="1:25" x14ac:dyDescent="0.25">
      <c r="A1256" t="s">
        <v>5715</v>
      </c>
      <c r="B1256" t="s">
        <v>5716</v>
      </c>
      <c r="C1256">
        <v>2020</v>
      </c>
      <c r="D1256">
        <v>8001</v>
      </c>
      <c r="E1256">
        <v>1</v>
      </c>
      <c r="F1256" t="s">
        <v>5717</v>
      </c>
      <c r="G1256">
        <v>29837176</v>
      </c>
      <c r="J1256">
        <v>29.08</v>
      </c>
      <c r="L1256">
        <v>47456623</v>
      </c>
      <c r="M1256" s="1">
        <v>44344</v>
      </c>
      <c r="N1256" t="str">
        <f>"O210528V1"</f>
        <v>O210528V1</v>
      </c>
      <c r="O1256" t="s">
        <v>28</v>
      </c>
      <c r="Q1256" t="s">
        <v>29</v>
      </c>
      <c r="R1256" t="s">
        <v>28</v>
      </c>
      <c r="S1256" t="s">
        <v>5718</v>
      </c>
      <c r="T1256" t="s">
        <v>5719</v>
      </c>
      <c r="U1256" t="s">
        <v>5720</v>
      </c>
      <c r="W1256" t="s">
        <v>154</v>
      </c>
      <c r="X1256" t="s">
        <v>34</v>
      </c>
      <c r="Y1256" t="str">
        <f>"774713151"</f>
        <v>774713151</v>
      </c>
    </row>
    <row r="1257" spans="1:25" x14ac:dyDescent="0.25">
      <c r="A1257" t="s">
        <v>5721</v>
      </c>
      <c r="B1257" t="s">
        <v>5722</v>
      </c>
      <c r="C1257">
        <v>2019</v>
      </c>
      <c r="D1257">
        <v>8001</v>
      </c>
      <c r="E1257">
        <v>3</v>
      </c>
      <c r="F1257" t="s">
        <v>5723</v>
      </c>
      <c r="G1257">
        <v>28220942</v>
      </c>
      <c r="J1257">
        <v>122.48</v>
      </c>
      <c r="L1257">
        <v>44496634</v>
      </c>
      <c r="M1257" s="1">
        <v>44061</v>
      </c>
      <c r="N1257" t="str">
        <f>"J200818K1"</f>
        <v>J200818K1</v>
      </c>
      <c r="O1257" t="s">
        <v>28</v>
      </c>
      <c r="Q1257" t="s">
        <v>29</v>
      </c>
      <c r="R1257" t="s">
        <v>28</v>
      </c>
      <c r="S1257" t="s">
        <v>2579</v>
      </c>
      <c r="T1257" t="s">
        <v>2052</v>
      </c>
      <c r="W1257" t="s">
        <v>1328</v>
      </c>
      <c r="X1257" t="s">
        <v>162</v>
      </c>
      <c r="Y1257" t="str">
        <f>"080545452"</f>
        <v>080545452</v>
      </c>
    </row>
    <row r="1258" spans="1:25" x14ac:dyDescent="0.25">
      <c r="A1258" t="s">
        <v>5724</v>
      </c>
      <c r="B1258" t="s">
        <v>5725</v>
      </c>
      <c r="C1258">
        <v>2020</v>
      </c>
      <c r="D1258">
        <v>8001</v>
      </c>
      <c r="E1258">
        <v>1</v>
      </c>
      <c r="F1258" t="s">
        <v>5726</v>
      </c>
      <c r="G1258">
        <v>25594835</v>
      </c>
      <c r="J1258" s="2">
        <v>2538.4899999999998</v>
      </c>
      <c r="L1258">
        <v>46452935</v>
      </c>
      <c r="M1258" s="1">
        <v>44224</v>
      </c>
      <c r="N1258" t="str">
        <f>"RC210225"</f>
        <v>RC210225</v>
      </c>
      <c r="O1258" t="s">
        <v>28</v>
      </c>
      <c r="Q1258" t="s">
        <v>29</v>
      </c>
      <c r="R1258" t="s">
        <v>28</v>
      </c>
      <c r="S1258" t="s">
        <v>1068</v>
      </c>
      <c r="T1258" t="s">
        <v>5347</v>
      </c>
      <c r="V1258" t="s">
        <v>1015</v>
      </c>
      <c r="W1258" t="s">
        <v>563</v>
      </c>
      <c r="X1258" t="s">
        <v>34</v>
      </c>
      <c r="Y1258" t="str">
        <f>"750630156"</f>
        <v>750630156</v>
      </c>
    </row>
    <row r="1259" spans="1:25" x14ac:dyDescent="0.25">
      <c r="A1259" t="s">
        <v>5727</v>
      </c>
      <c r="B1259" t="s">
        <v>5728</v>
      </c>
      <c r="C1259">
        <v>2019</v>
      </c>
      <c r="D1259">
        <v>8001</v>
      </c>
      <c r="E1259">
        <v>1</v>
      </c>
      <c r="F1259" t="s">
        <v>5729</v>
      </c>
      <c r="G1259">
        <v>0</v>
      </c>
      <c r="J1259">
        <v>232.05</v>
      </c>
      <c r="L1259">
        <v>42916271</v>
      </c>
      <c r="M1259" s="1">
        <v>43845</v>
      </c>
      <c r="N1259" t="str">
        <f>"L200115"</f>
        <v>L200115</v>
      </c>
      <c r="O1259" t="s">
        <v>28</v>
      </c>
      <c r="Q1259" t="s">
        <v>29</v>
      </c>
      <c r="R1259" t="s">
        <v>28</v>
      </c>
      <c r="S1259" t="s">
        <v>5729</v>
      </c>
      <c r="T1259" t="s">
        <v>5730</v>
      </c>
      <c r="U1259" t="s">
        <v>60</v>
      </c>
      <c r="V1259" t="s">
        <v>60</v>
      </c>
      <c r="W1259" t="s">
        <v>649</v>
      </c>
      <c r="X1259" t="s">
        <v>34</v>
      </c>
      <c r="Y1259" t="str">
        <f>"774713499   "</f>
        <v xml:space="preserve">774713499   </v>
      </c>
    </row>
    <row r="1260" spans="1:25" x14ac:dyDescent="0.25">
      <c r="A1260" t="s">
        <v>5731</v>
      </c>
      <c r="B1260" t="s">
        <v>5732</v>
      </c>
      <c r="C1260">
        <v>2019</v>
      </c>
      <c r="D1260">
        <v>8001</v>
      </c>
      <c r="E1260">
        <v>1</v>
      </c>
      <c r="F1260" t="s">
        <v>5733</v>
      </c>
      <c r="G1260">
        <v>28310271</v>
      </c>
      <c r="J1260">
        <v>11.57</v>
      </c>
      <c r="L1260">
        <v>43887092</v>
      </c>
      <c r="M1260" s="1">
        <v>43895</v>
      </c>
      <c r="N1260" t="str">
        <f>"CC200305"</f>
        <v>CC200305</v>
      </c>
      <c r="O1260" t="s">
        <v>28</v>
      </c>
      <c r="Q1260" t="s">
        <v>29</v>
      </c>
      <c r="R1260" t="s">
        <v>28</v>
      </c>
      <c r="S1260" t="s">
        <v>5734</v>
      </c>
      <c r="T1260" t="s">
        <v>5735</v>
      </c>
      <c r="W1260" t="s">
        <v>154</v>
      </c>
      <c r="X1260" t="s">
        <v>34</v>
      </c>
      <c r="Y1260" t="str">
        <f>"77471"</f>
        <v>77471</v>
      </c>
    </row>
    <row r="1261" spans="1:25" x14ac:dyDescent="0.25">
      <c r="A1261" t="s">
        <v>5736</v>
      </c>
      <c r="B1261" t="s">
        <v>5737</v>
      </c>
      <c r="C1261">
        <v>2021</v>
      </c>
      <c r="D1261">
        <v>8001</v>
      </c>
      <c r="E1261">
        <v>1</v>
      </c>
      <c r="F1261" t="s">
        <v>5738</v>
      </c>
      <c r="G1261">
        <v>28972856</v>
      </c>
      <c r="J1261">
        <v>782.6</v>
      </c>
      <c r="L1261">
        <v>48270906</v>
      </c>
      <c r="M1261" s="1">
        <v>44531</v>
      </c>
      <c r="N1261" t="str">
        <f>"RC211222"</f>
        <v>RC211222</v>
      </c>
      <c r="O1261" t="s">
        <v>28</v>
      </c>
      <c r="Q1261" t="s">
        <v>29</v>
      </c>
      <c r="R1261" t="s">
        <v>28</v>
      </c>
      <c r="S1261" t="s">
        <v>5739</v>
      </c>
      <c r="T1261" t="s">
        <v>5740</v>
      </c>
      <c r="U1261" t="s">
        <v>5741</v>
      </c>
      <c r="W1261" t="s">
        <v>332</v>
      </c>
      <c r="X1261" t="s">
        <v>34</v>
      </c>
      <c r="Y1261" t="str">
        <f>"752547565"</f>
        <v>752547565</v>
      </c>
    </row>
    <row r="1262" spans="1:25" x14ac:dyDescent="0.25">
      <c r="A1262" t="s">
        <v>5742</v>
      </c>
      <c r="B1262" t="s">
        <v>5743</v>
      </c>
      <c r="C1262">
        <v>2019</v>
      </c>
      <c r="D1262">
        <v>8001</v>
      </c>
      <c r="E1262">
        <v>1</v>
      </c>
      <c r="F1262" t="s">
        <v>5744</v>
      </c>
      <c r="G1262">
        <v>28310269</v>
      </c>
      <c r="J1262">
        <v>7.92</v>
      </c>
      <c r="L1262">
        <v>43887090</v>
      </c>
      <c r="M1262" s="1">
        <v>43895</v>
      </c>
      <c r="N1262" t="str">
        <f>"CC200305"</f>
        <v>CC200305</v>
      </c>
      <c r="O1262" t="s">
        <v>28</v>
      </c>
      <c r="Q1262" t="s">
        <v>29</v>
      </c>
      <c r="R1262" t="s">
        <v>28</v>
      </c>
      <c r="S1262" t="s">
        <v>5745</v>
      </c>
      <c r="T1262" t="s">
        <v>5746</v>
      </c>
      <c r="W1262" t="s">
        <v>81</v>
      </c>
      <c r="X1262" t="s">
        <v>34</v>
      </c>
      <c r="Y1262" t="str">
        <f>"77469"</f>
        <v>77469</v>
      </c>
    </row>
    <row r="1263" spans="1:25" x14ac:dyDescent="0.25">
      <c r="A1263" t="s">
        <v>5747</v>
      </c>
      <c r="B1263" t="s">
        <v>5748</v>
      </c>
      <c r="C1263">
        <v>2020</v>
      </c>
      <c r="D1263">
        <v>8001</v>
      </c>
      <c r="E1263">
        <v>1</v>
      </c>
      <c r="F1263" t="s">
        <v>5749</v>
      </c>
      <c r="G1263">
        <v>0</v>
      </c>
      <c r="J1263">
        <v>177.33</v>
      </c>
      <c r="L1263">
        <v>46861472</v>
      </c>
      <c r="M1263" s="1">
        <v>44235</v>
      </c>
      <c r="N1263" t="str">
        <f>"L210208"</f>
        <v>L210208</v>
      </c>
      <c r="O1263" t="s">
        <v>28</v>
      </c>
      <c r="Q1263" t="s">
        <v>29</v>
      </c>
      <c r="R1263" t="s">
        <v>28</v>
      </c>
      <c r="S1263" t="s">
        <v>5749</v>
      </c>
      <c r="T1263" t="s">
        <v>5750</v>
      </c>
      <c r="U1263" t="s">
        <v>60</v>
      </c>
      <c r="V1263" t="s">
        <v>60</v>
      </c>
      <c r="W1263" t="s">
        <v>214</v>
      </c>
      <c r="X1263" t="s">
        <v>34</v>
      </c>
      <c r="Y1263" t="str">
        <f>"774062345   "</f>
        <v xml:space="preserve">774062345   </v>
      </c>
    </row>
    <row r="1264" spans="1:25" x14ac:dyDescent="0.25">
      <c r="A1264" t="s">
        <v>5751</v>
      </c>
      <c r="B1264" t="s">
        <v>5752</v>
      </c>
      <c r="C1264">
        <v>2019</v>
      </c>
      <c r="D1264">
        <v>8001</v>
      </c>
      <c r="E1264">
        <v>2</v>
      </c>
      <c r="F1264" t="s">
        <v>661</v>
      </c>
      <c r="G1264">
        <v>28608183</v>
      </c>
      <c r="J1264">
        <v>25.36</v>
      </c>
      <c r="L1264">
        <v>44461438</v>
      </c>
      <c r="M1264" s="1">
        <v>44062</v>
      </c>
      <c r="N1264" t="str">
        <f>"T200819F1"</f>
        <v>T200819F1</v>
      </c>
      <c r="O1264" t="s">
        <v>28</v>
      </c>
      <c r="Q1264" t="s">
        <v>29</v>
      </c>
      <c r="R1264" t="s">
        <v>28</v>
      </c>
      <c r="S1264" t="s">
        <v>5753</v>
      </c>
      <c r="T1264" t="s">
        <v>5754</v>
      </c>
      <c r="U1264" t="s">
        <v>5755</v>
      </c>
      <c r="W1264" t="s">
        <v>4643</v>
      </c>
      <c r="X1264" t="s">
        <v>34</v>
      </c>
      <c r="Y1264" t="str">
        <f>"77573"</f>
        <v>77573</v>
      </c>
    </row>
    <row r="1265" spans="1:25" x14ac:dyDescent="0.25">
      <c r="A1265" t="s">
        <v>5756</v>
      </c>
      <c r="B1265" t="s">
        <v>5757</v>
      </c>
      <c r="C1265">
        <v>2019</v>
      </c>
      <c r="D1265">
        <v>8001</v>
      </c>
      <c r="E1265">
        <v>2</v>
      </c>
      <c r="F1265" t="s">
        <v>661</v>
      </c>
      <c r="G1265">
        <v>28608183</v>
      </c>
      <c r="J1265">
        <v>18.260000000000002</v>
      </c>
      <c r="L1265">
        <v>44460968</v>
      </c>
      <c r="M1265" s="1">
        <v>44062</v>
      </c>
      <c r="N1265" t="str">
        <f>"T200819F1"</f>
        <v>T200819F1</v>
      </c>
      <c r="O1265" t="s">
        <v>28</v>
      </c>
      <c r="Q1265" t="s">
        <v>29</v>
      </c>
      <c r="R1265" t="s">
        <v>28</v>
      </c>
      <c r="S1265" t="s">
        <v>5753</v>
      </c>
      <c r="T1265" t="s">
        <v>5754</v>
      </c>
      <c r="U1265" t="s">
        <v>5755</v>
      </c>
      <c r="W1265" t="s">
        <v>4643</v>
      </c>
      <c r="X1265" t="s">
        <v>34</v>
      </c>
      <c r="Y1265" t="str">
        <f>"77573"</f>
        <v>77573</v>
      </c>
    </row>
    <row r="1266" spans="1:25" x14ac:dyDescent="0.25">
      <c r="A1266" t="s">
        <v>5758</v>
      </c>
      <c r="B1266" t="s">
        <v>5759</v>
      </c>
      <c r="C1266">
        <v>2020</v>
      </c>
      <c r="D1266">
        <v>8001</v>
      </c>
      <c r="E1266">
        <v>2</v>
      </c>
      <c r="F1266" t="s">
        <v>5760</v>
      </c>
      <c r="G1266">
        <v>0</v>
      </c>
      <c r="J1266">
        <v>20</v>
      </c>
      <c r="L1266">
        <v>46474734</v>
      </c>
      <c r="M1266" s="1">
        <v>44225</v>
      </c>
      <c r="N1266" t="str">
        <f>"O210129BL1"</f>
        <v>O210129BL1</v>
      </c>
      <c r="O1266" t="s">
        <v>28</v>
      </c>
      <c r="Q1266" t="s">
        <v>29</v>
      </c>
      <c r="R1266" t="s">
        <v>28</v>
      </c>
      <c r="S1266" t="s">
        <v>5760</v>
      </c>
      <c r="T1266" t="s">
        <v>5761</v>
      </c>
      <c r="U1266" t="s">
        <v>60</v>
      </c>
      <c r="V1266" t="s">
        <v>60</v>
      </c>
      <c r="W1266" t="s">
        <v>649</v>
      </c>
      <c r="X1266" t="s">
        <v>34</v>
      </c>
      <c r="Y1266" t="str">
        <f>"774718750   "</f>
        <v xml:space="preserve">774718750   </v>
      </c>
    </row>
    <row r="1267" spans="1:25" x14ac:dyDescent="0.25">
      <c r="A1267" t="s">
        <v>5762</v>
      </c>
      <c r="B1267" t="s">
        <v>5763</v>
      </c>
      <c r="C1267">
        <v>2019</v>
      </c>
      <c r="D1267">
        <v>8001</v>
      </c>
      <c r="E1267">
        <v>1</v>
      </c>
      <c r="F1267" t="s">
        <v>5764</v>
      </c>
      <c r="G1267">
        <v>27383046</v>
      </c>
      <c r="J1267">
        <v>15.44</v>
      </c>
      <c r="L1267">
        <v>41175979</v>
      </c>
      <c r="M1267" s="1">
        <v>43766</v>
      </c>
      <c r="N1267" t="str">
        <f>"T191028F1"</f>
        <v>T191028F1</v>
      </c>
      <c r="O1267" t="s">
        <v>28</v>
      </c>
      <c r="Q1267" t="s">
        <v>29</v>
      </c>
      <c r="R1267" t="s">
        <v>28</v>
      </c>
      <c r="S1267" t="s">
        <v>5765</v>
      </c>
      <c r="T1267" t="s">
        <v>5766</v>
      </c>
      <c r="W1267" t="s">
        <v>154</v>
      </c>
      <c r="X1267" t="s">
        <v>34</v>
      </c>
      <c r="Y1267" t="str">
        <f>"77471"</f>
        <v>77471</v>
      </c>
    </row>
    <row r="1268" spans="1:25" x14ac:dyDescent="0.25">
      <c r="A1268" t="s">
        <v>5767</v>
      </c>
      <c r="B1268" t="s">
        <v>5768</v>
      </c>
      <c r="C1268">
        <v>2020</v>
      </c>
      <c r="D1268">
        <v>8001</v>
      </c>
      <c r="E1268">
        <v>1</v>
      </c>
      <c r="F1268" t="s">
        <v>5769</v>
      </c>
      <c r="G1268">
        <v>29604529</v>
      </c>
      <c r="J1268">
        <v>34.9</v>
      </c>
      <c r="L1268">
        <v>47034711</v>
      </c>
      <c r="M1268" s="1">
        <v>44259</v>
      </c>
      <c r="N1268" t="str">
        <f>"CC210304"</f>
        <v>CC210304</v>
      </c>
      <c r="O1268" t="s">
        <v>28</v>
      </c>
      <c r="Q1268" t="s">
        <v>29</v>
      </c>
      <c r="R1268" t="s">
        <v>28</v>
      </c>
      <c r="S1268" t="s">
        <v>5770</v>
      </c>
      <c r="T1268" t="s">
        <v>5771</v>
      </c>
      <c r="W1268" t="s">
        <v>154</v>
      </c>
      <c r="X1268" t="s">
        <v>34</v>
      </c>
      <c r="Y1268" t="str">
        <f>"77471"</f>
        <v>77471</v>
      </c>
    </row>
    <row r="1269" spans="1:25" x14ac:dyDescent="0.25">
      <c r="A1269" t="s">
        <v>5772</v>
      </c>
      <c r="B1269" t="s">
        <v>5773</v>
      </c>
      <c r="C1269">
        <v>2020</v>
      </c>
      <c r="D1269">
        <v>8001</v>
      </c>
      <c r="E1269">
        <v>1</v>
      </c>
      <c r="F1269" t="s">
        <v>5774</v>
      </c>
      <c r="G1269">
        <v>28792950</v>
      </c>
      <c r="J1269">
        <v>297.58</v>
      </c>
      <c r="L1269">
        <v>44922006</v>
      </c>
      <c r="M1269" s="1">
        <v>44153</v>
      </c>
      <c r="N1269" t="str">
        <f>"O201118BA7"</f>
        <v>O201118BA7</v>
      </c>
      <c r="O1269" t="s">
        <v>28</v>
      </c>
      <c r="Q1269" t="s">
        <v>29</v>
      </c>
      <c r="R1269" t="s">
        <v>28</v>
      </c>
      <c r="S1269" t="s">
        <v>5775</v>
      </c>
      <c r="T1269" t="s">
        <v>5776</v>
      </c>
      <c r="W1269" t="s">
        <v>332</v>
      </c>
      <c r="X1269" t="s">
        <v>34</v>
      </c>
      <c r="Y1269" t="str">
        <f>"752542936"</f>
        <v>752542936</v>
      </c>
    </row>
    <row r="1270" spans="1:25" x14ac:dyDescent="0.25">
      <c r="A1270" t="s">
        <v>5777</v>
      </c>
      <c r="B1270" t="s">
        <v>5778</v>
      </c>
      <c r="C1270">
        <v>2020</v>
      </c>
      <c r="D1270">
        <v>8001</v>
      </c>
      <c r="E1270">
        <v>1</v>
      </c>
      <c r="F1270" t="s">
        <v>5779</v>
      </c>
      <c r="G1270">
        <v>29489558</v>
      </c>
      <c r="J1270">
        <v>442.87</v>
      </c>
      <c r="L1270">
        <v>46782257</v>
      </c>
      <c r="M1270" s="1">
        <v>44231</v>
      </c>
      <c r="N1270" t="str">
        <f>"CC210204"</f>
        <v>CC210204</v>
      </c>
      <c r="O1270" t="s">
        <v>28</v>
      </c>
      <c r="Q1270" t="s">
        <v>29</v>
      </c>
      <c r="R1270" t="s">
        <v>28</v>
      </c>
      <c r="S1270" t="s">
        <v>5780</v>
      </c>
      <c r="T1270" t="s">
        <v>5781</v>
      </c>
      <c r="W1270" t="s">
        <v>40</v>
      </c>
      <c r="X1270" t="s">
        <v>34</v>
      </c>
      <c r="Y1270" t="str">
        <f>"77479"</f>
        <v>77479</v>
      </c>
    </row>
    <row r="1271" spans="1:25" x14ac:dyDescent="0.25">
      <c r="A1271" t="s">
        <v>5782</v>
      </c>
      <c r="B1271" t="s">
        <v>5783</v>
      </c>
      <c r="C1271">
        <v>2019</v>
      </c>
      <c r="D1271">
        <v>8001</v>
      </c>
      <c r="E1271">
        <v>1</v>
      </c>
      <c r="F1271" t="s">
        <v>5784</v>
      </c>
      <c r="G1271">
        <v>22993312</v>
      </c>
      <c r="J1271">
        <v>8.06</v>
      </c>
      <c r="L1271">
        <v>44288762</v>
      </c>
      <c r="M1271" s="1">
        <v>43990</v>
      </c>
      <c r="N1271" t="str">
        <f>"J200608K5"</f>
        <v>J200608K5</v>
      </c>
      <c r="O1271" t="s">
        <v>28</v>
      </c>
      <c r="Q1271" t="s">
        <v>29</v>
      </c>
      <c r="R1271" t="s">
        <v>28</v>
      </c>
      <c r="S1271" t="s">
        <v>1794</v>
      </c>
      <c r="T1271" t="s">
        <v>1795</v>
      </c>
      <c r="W1271" t="s">
        <v>1615</v>
      </c>
      <c r="X1271" t="s">
        <v>143</v>
      </c>
      <c r="Y1271" t="str">
        <f>"191156320"</f>
        <v>191156320</v>
      </c>
    </row>
    <row r="1272" spans="1:25" x14ac:dyDescent="0.25">
      <c r="A1272" t="s">
        <v>5785</v>
      </c>
      <c r="B1272" t="s">
        <v>5786</v>
      </c>
      <c r="C1272">
        <v>2020</v>
      </c>
      <c r="D1272">
        <v>8001</v>
      </c>
      <c r="E1272">
        <v>1</v>
      </c>
      <c r="F1272" t="s">
        <v>5787</v>
      </c>
      <c r="G1272">
        <v>0</v>
      </c>
      <c r="J1272">
        <v>105.25</v>
      </c>
      <c r="L1272">
        <v>47055336</v>
      </c>
      <c r="M1272" s="1">
        <v>44263</v>
      </c>
      <c r="N1272" t="str">
        <f>"L210308"</f>
        <v>L210308</v>
      </c>
      <c r="O1272" t="s">
        <v>28</v>
      </c>
      <c r="Q1272" t="s">
        <v>29</v>
      </c>
      <c r="R1272" t="s">
        <v>28</v>
      </c>
      <c r="S1272" t="s">
        <v>5787</v>
      </c>
      <c r="T1272" t="s">
        <v>5788</v>
      </c>
      <c r="U1272" t="s">
        <v>60</v>
      </c>
      <c r="V1272" t="s">
        <v>60</v>
      </c>
      <c r="W1272" t="s">
        <v>1333</v>
      </c>
      <c r="X1272" t="s">
        <v>34</v>
      </c>
      <c r="Y1272" t="str">
        <f>"774594910   "</f>
        <v xml:space="preserve">774594910   </v>
      </c>
    </row>
    <row r="1273" spans="1:25" x14ac:dyDescent="0.25">
      <c r="A1273" t="s">
        <v>5789</v>
      </c>
      <c r="B1273" t="s">
        <v>5790</v>
      </c>
      <c r="C1273">
        <v>2019</v>
      </c>
      <c r="D1273">
        <v>8001</v>
      </c>
      <c r="E1273">
        <v>2</v>
      </c>
      <c r="F1273" t="s">
        <v>5791</v>
      </c>
      <c r="G1273">
        <v>0</v>
      </c>
      <c r="J1273">
        <v>30</v>
      </c>
      <c r="L1273">
        <v>43566577</v>
      </c>
      <c r="M1273" s="1">
        <v>43865</v>
      </c>
      <c r="N1273" t="str">
        <f>"L200204"</f>
        <v>L200204</v>
      </c>
      <c r="O1273" t="s">
        <v>28</v>
      </c>
      <c r="Q1273" t="s">
        <v>29</v>
      </c>
      <c r="R1273" t="s">
        <v>28</v>
      </c>
      <c r="S1273" t="s">
        <v>5791</v>
      </c>
      <c r="T1273" t="s">
        <v>5792</v>
      </c>
      <c r="U1273" t="s">
        <v>60</v>
      </c>
      <c r="V1273" t="s">
        <v>60</v>
      </c>
      <c r="W1273" t="s">
        <v>649</v>
      </c>
      <c r="X1273" t="s">
        <v>34</v>
      </c>
      <c r="Y1273" t="str">
        <f>"774715818   "</f>
        <v xml:space="preserve">774715818   </v>
      </c>
    </row>
    <row r="1274" spans="1:25" x14ac:dyDescent="0.25">
      <c r="A1274" t="s">
        <v>5789</v>
      </c>
      <c r="B1274" t="s">
        <v>5790</v>
      </c>
      <c r="C1274">
        <v>2020</v>
      </c>
      <c r="D1274">
        <v>8001</v>
      </c>
      <c r="E1274">
        <v>1</v>
      </c>
      <c r="F1274" t="s">
        <v>5791</v>
      </c>
      <c r="G1274">
        <v>0</v>
      </c>
      <c r="J1274">
        <v>22.85</v>
      </c>
      <c r="L1274">
        <v>46961318</v>
      </c>
      <c r="M1274" s="1">
        <v>44251</v>
      </c>
      <c r="N1274" t="str">
        <f>"L210224"</f>
        <v>L210224</v>
      </c>
      <c r="O1274" t="s">
        <v>28</v>
      </c>
      <c r="Q1274" t="s">
        <v>29</v>
      </c>
      <c r="R1274" t="s">
        <v>28</v>
      </c>
      <c r="S1274" t="s">
        <v>5791</v>
      </c>
      <c r="T1274" t="s">
        <v>5792</v>
      </c>
      <c r="U1274" t="s">
        <v>60</v>
      </c>
      <c r="V1274" t="s">
        <v>60</v>
      </c>
      <c r="W1274" t="s">
        <v>649</v>
      </c>
      <c r="X1274" t="s">
        <v>34</v>
      </c>
      <c r="Y1274" t="str">
        <f>"774715818   "</f>
        <v xml:space="preserve">774715818   </v>
      </c>
    </row>
    <row r="1275" spans="1:25" x14ac:dyDescent="0.25">
      <c r="A1275" t="s">
        <v>5793</v>
      </c>
      <c r="B1275" t="s">
        <v>5794</v>
      </c>
      <c r="C1275">
        <v>2020</v>
      </c>
      <c r="D1275">
        <v>8001</v>
      </c>
      <c r="E1275">
        <v>1</v>
      </c>
      <c r="F1275" t="s">
        <v>5795</v>
      </c>
      <c r="G1275">
        <v>29604560</v>
      </c>
      <c r="J1275">
        <v>70.959999999999994</v>
      </c>
      <c r="L1275">
        <v>47034742</v>
      </c>
      <c r="M1275" s="1">
        <v>44259</v>
      </c>
      <c r="N1275" t="str">
        <f>"CC210304"</f>
        <v>CC210304</v>
      </c>
      <c r="O1275" t="s">
        <v>28</v>
      </c>
      <c r="Q1275" t="s">
        <v>29</v>
      </c>
      <c r="R1275" t="s">
        <v>28</v>
      </c>
      <c r="S1275" t="s">
        <v>5796</v>
      </c>
      <c r="T1275" t="s">
        <v>5797</v>
      </c>
      <c r="W1275" t="s">
        <v>81</v>
      </c>
      <c r="X1275" t="s">
        <v>34</v>
      </c>
      <c r="Y1275" t="str">
        <f>"77469"</f>
        <v>77469</v>
      </c>
    </row>
    <row r="1276" spans="1:25" x14ac:dyDescent="0.25">
      <c r="A1276" t="s">
        <v>5798</v>
      </c>
      <c r="B1276" t="s">
        <v>5799</v>
      </c>
      <c r="C1276">
        <v>2020</v>
      </c>
      <c r="D1276">
        <v>8001</v>
      </c>
      <c r="E1276">
        <v>1</v>
      </c>
      <c r="F1276" t="s">
        <v>4983</v>
      </c>
      <c r="G1276">
        <v>30214290</v>
      </c>
      <c r="J1276">
        <v>19.329999999999998</v>
      </c>
      <c r="L1276">
        <v>47936010</v>
      </c>
      <c r="M1276" s="1">
        <v>44502</v>
      </c>
      <c r="N1276" t="str">
        <f>"RC211208"</f>
        <v>RC211208</v>
      </c>
      <c r="O1276" t="s">
        <v>28</v>
      </c>
      <c r="Q1276" t="s">
        <v>29</v>
      </c>
      <c r="R1276" t="s">
        <v>28</v>
      </c>
      <c r="S1276" t="s">
        <v>5800</v>
      </c>
      <c r="T1276" t="s">
        <v>5801</v>
      </c>
      <c r="W1276" t="s">
        <v>75</v>
      </c>
      <c r="X1276" t="s">
        <v>34</v>
      </c>
      <c r="Y1276" t="str">
        <f>"77067"</f>
        <v>77067</v>
      </c>
    </row>
    <row r="1277" spans="1:25" x14ac:dyDescent="0.25">
      <c r="A1277" t="s">
        <v>5802</v>
      </c>
      <c r="B1277" t="s">
        <v>5803</v>
      </c>
      <c r="C1277">
        <v>2021</v>
      </c>
      <c r="D1277">
        <v>8001</v>
      </c>
      <c r="E1277">
        <v>1</v>
      </c>
      <c r="F1277" t="s">
        <v>5804</v>
      </c>
      <c r="G1277">
        <v>26962220</v>
      </c>
      <c r="J1277">
        <v>193.76</v>
      </c>
      <c r="L1277">
        <v>50135487</v>
      </c>
      <c r="M1277" s="1">
        <v>44602</v>
      </c>
      <c r="N1277" t="str">
        <f>"RC220315"</f>
        <v>RC220315</v>
      </c>
      <c r="O1277" t="s">
        <v>28</v>
      </c>
      <c r="Q1277" t="s">
        <v>29</v>
      </c>
      <c r="R1277" t="s">
        <v>28</v>
      </c>
      <c r="S1277" t="s">
        <v>561</v>
      </c>
      <c r="T1277" t="s">
        <v>1015</v>
      </c>
      <c r="W1277" t="s">
        <v>563</v>
      </c>
      <c r="X1277" t="s">
        <v>34</v>
      </c>
      <c r="Y1277" t="str">
        <f>"750630156"</f>
        <v>750630156</v>
      </c>
    </row>
    <row r="1278" spans="1:25" x14ac:dyDescent="0.25">
      <c r="A1278" t="s">
        <v>5805</v>
      </c>
      <c r="B1278" t="s">
        <v>5806</v>
      </c>
      <c r="C1278">
        <v>2019</v>
      </c>
      <c r="D1278">
        <v>8001</v>
      </c>
      <c r="E1278">
        <v>2</v>
      </c>
      <c r="F1278" t="s">
        <v>5807</v>
      </c>
      <c r="G1278">
        <v>25035459</v>
      </c>
      <c r="J1278">
        <v>9.99</v>
      </c>
      <c r="L1278">
        <v>44527618</v>
      </c>
      <c r="M1278" s="1">
        <v>44077</v>
      </c>
      <c r="N1278" t="str">
        <f>"J200903AW2"</f>
        <v>J200903AW2</v>
      </c>
      <c r="O1278" t="s">
        <v>28</v>
      </c>
      <c r="Q1278" t="s">
        <v>29</v>
      </c>
      <c r="R1278" t="s">
        <v>28</v>
      </c>
      <c r="S1278" t="s">
        <v>1454</v>
      </c>
      <c r="T1278" t="s">
        <v>2653</v>
      </c>
      <c r="U1278" t="s">
        <v>2654</v>
      </c>
      <c r="W1278" t="s">
        <v>1456</v>
      </c>
      <c r="X1278" t="s">
        <v>1457</v>
      </c>
      <c r="Y1278" t="str">
        <f>"234504968"</f>
        <v>234504968</v>
      </c>
    </row>
    <row r="1279" spans="1:25" x14ac:dyDescent="0.25">
      <c r="A1279" t="s">
        <v>5808</v>
      </c>
      <c r="B1279" t="s">
        <v>5809</v>
      </c>
      <c r="C1279">
        <v>2019</v>
      </c>
      <c r="D1279">
        <v>8001</v>
      </c>
      <c r="E1279">
        <v>1</v>
      </c>
      <c r="F1279" t="s">
        <v>5810</v>
      </c>
      <c r="G1279">
        <v>203200</v>
      </c>
      <c r="J1279">
        <v>6.41</v>
      </c>
      <c r="L1279">
        <v>43907987</v>
      </c>
      <c r="M1279" s="1">
        <v>43899</v>
      </c>
      <c r="N1279" t="str">
        <f>"J200309AW2"</f>
        <v>J200309AW2</v>
      </c>
      <c r="O1279" t="s">
        <v>28</v>
      </c>
      <c r="Q1279" t="s">
        <v>29</v>
      </c>
      <c r="R1279" t="s">
        <v>28</v>
      </c>
      <c r="S1279" t="s">
        <v>1909</v>
      </c>
      <c r="T1279" t="s">
        <v>1910</v>
      </c>
      <c r="W1279" t="s">
        <v>1911</v>
      </c>
      <c r="X1279" t="s">
        <v>317</v>
      </c>
      <c r="Y1279" t="str">
        <f>"900514387"</f>
        <v>900514387</v>
      </c>
    </row>
    <row r="1280" spans="1:25" x14ac:dyDescent="0.25">
      <c r="A1280" t="s">
        <v>5811</v>
      </c>
      <c r="B1280" t="s">
        <v>5812</v>
      </c>
      <c r="C1280">
        <v>2019</v>
      </c>
      <c r="D1280">
        <v>8001</v>
      </c>
      <c r="E1280">
        <v>2</v>
      </c>
      <c r="F1280" t="s">
        <v>5813</v>
      </c>
      <c r="G1280">
        <v>3509937</v>
      </c>
      <c r="J1280">
        <v>7.49</v>
      </c>
      <c r="L1280">
        <v>43864362</v>
      </c>
      <c r="M1280" s="1">
        <v>43893</v>
      </c>
      <c r="N1280" t="str">
        <f>"J200303K2"</f>
        <v>J200303K2</v>
      </c>
      <c r="O1280" t="s">
        <v>28</v>
      </c>
      <c r="Q1280" t="s">
        <v>29</v>
      </c>
      <c r="R1280" t="s">
        <v>28</v>
      </c>
      <c r="S1280" t="s">
        <v>1326</v>
      </c>
      <c r="T1280" t="s">
        <v>5814</v>
      </c>
      <c r="W1280" t="s">
        <v>2351</v>
      </c>
      <c r="X1280" t="s">
        <v>2352</v>
      </c>
      <c r="Y1280" t="str">
        <f>"841090000"</f>
        <v>841090000</v>
      </c>
    </row>
    <row r="1281" spans="1:25" x14ac:dyDescent="0.25">
      <c r="A1281" t="s">
        <v>5815</v>
      </c>
      <c r="B1281" t="s">
        <v>5816</v>
      </c>
      <c r="C1281">
        <v>2019</v>
      </c>
      <c r="D1281">
        <v>8001</v>
      </c>
      <c r="E1281">
        <v>2</v>
      </c>
      <c r="F1281" t="s">
        <v>5817</v>
      </c>
      <c r="G1281">
        <v>25017735</v>
      </c>
      <c r="J1281">
        <v>51.21</v>
      </c>
      <c r="L1281">
        <v>42687683</v>
      </c>
      <c r="M1281" s="1">
        <v>43837</v>
      </c>
      <c r="N1281" t="str">
        <f>"J200107AW7"</f>
        <v>J200107AW7</v>
      </c>
      <c r="O1281" t="s">
        <v>28</v>
      </c>
      <c r="Q1281" t="s">
        <v>29</v>
      </c>
      <c r="R1281" t="s">
        <v>28</v>
      </c>
      <c r="S1281" t="s">
        <v>5818</v>
      </c>
      <c r="T1281" t="s">
        <v>5819</v>
      </c>
      <c r="W1281" t="s">
        <v>75</v>
      </c>
      <c r="X1281" t="s">
        <v>34</v>
      </c>
      <c r="Y1281" t="str">
        <f>"770854011"</f>
        <v>770854011</v>
      </c>
    </row>
    <row r="1282" spans="1:25" x14ac:dyDescent="0.25">
      <c r="A1282" t="s">
        <v>5820</v>
      </c>
      <c r="B1282" t="s">
        <v>5821</v>
      </c>
      <c r="C1282">
        <v>2021</v>
      </c>
      <c r="D1282">
        <v>8001</v>
      </c>
      <c r="E1282">
        <v>1</v>
      </c>
      <c r="F1282" t="s">
        <v>5822</v>
      </c>
      <c r="G1282">
        <v>31102316</v>
      </c>
      <c r="J1282">
        <v>6</v>
      </c>
      <c r="L1282">
        <v>49898708</v>
      </c>
      <c r="M1282" s="1">
        <v>44594</v>
      </c>
      <c r="N1282" t="str">
        <f>"RC220307"</f>
        <v>RC220307</v>
      </c>
      <c r="O1282" t="s">
        <v>28</v>
      </c>
      <c r="Q1282" t="s">
        <v>29</v>
      </c>
      <c r="R1282" t="s">
        <v>28</v>
      </c>
      <c r="S1282" t="s">
        <v>2258</v>
      </c>
      <c r="T1282" t="s">
        <v>2364</v>
      </c>
      <c r="W1282" t="s">
        <v>75</v>
      </c>
      <c r="X1282" t="s">
        <v>34</v>
      </c>
      <c r="Y1282" t="str">
        <f>"770273282"</f>
        <v>770273282</v>
      </c>
    </row>
    <row r="1283" spans="1:25" x14ac:dyDescent="0.25">
      <c r="A1283" t="s">
        <v>5823</v>
      </c>
      <c r="B1283" t="s">
        <v>5824</v>
      </c>
      <c r="C1283">
        <v>2020</v>
      </c>
      <c r="D1283">
        <v>8001</v>
      </c>
      <c r="E1283">
        <v>1</v>
      </c>
      <c r="F1283" t="s">
        <v>5825</v>
      </c>
      <c r="G1283">
        <v>26962220</v>
      </c>
      <c r="J1283">
        <v>23.48</v>
      </c>
      <c r="L1283">
        <v>47783848</v>
      </c>
      <c r="M1283" s="1">
        <v>44476</v>
      </c>
      <c r="N1283" t="str">
        <f>"RC211018"</f>
        <v>RC211018</v>
      </c>
      <c r="O1283" t="s">
        <v>28</v>
      </c>
      <c r="Q1283" t="s">
        <v>29</v>
      </c>
      <c r="R1283" t="s">
        <v>28</v>
      </c>
      <c r="S1283" t="s">
        <v>561</v>
      </c>
      <c r="T1283" t="s">
        <v>1015</v>
      </c>
      <c r="W1283" t="s">
        <v>563</v>
      </c>
      <c r="X1283" t="s">
        <v>34</v>
      </c>
      <c r="Y1283" t="str">
        <f>"750630156"</f>
        <v>750630156</v>
      </c>
    </row>
    <row r="1284" spans="1:25" x14ac:dyDescent="0.25">
      <c r="A1284" t="s">
        <v>5826</v>
      </c>
      <c r="B1284" t="s">
        <v>5827</v>
      </c>
      <c r="C1284">
        <v>2020</v>
      </c>
      <c r="D1284">
        <v>8001</v>
      </c>
      <c r="E1284">
        <v>1</v>
      </c>
      <c r="F1284" t="s">
        <v>5828</v>
      </c>
      <c r="G1284">
        <v>29604566</v>
      </c>
      <c r="J1284">
        <v>76.44</v>
      </c>
      <c r="L1284">
        <v>47034748</v>
      </c>
      <c r="M1284" s="1">
        <v>44259</v>
      </c>
      <c r="N1284" t="str">
        <f>"CC210304"</f>
        <v>CC210304</v>
      </c>
      <c r="O1284" t="s">
        <v>28</v>
      </c>
      <c r="Q1284" t="s">
        <v>29</v>
      </c>
      <c r="R1284" t="s">
        <v>28</v>
      </c>
      <c r="S1284" t="s">
        <v>5829</v>
      </c>
      <c r="T1284" t="s">
        <v>5830</v>
      </c>
      <c r="W1284" t="s">
        <v>1160</v>
      </c>
      <c r="X1284" t="s">
        <v>34</v>
      </c>
      <c r="Y1284" t="str">
        <f>"77545"</f>
        <v>77545</v>
      </c>
    </row>
    <row r="1285" spans="1:25" x14ac:dyDescent="0.25">
      <c r="A1285" t="s">
        <v>5831</v>
      </c>
      <c r="B1285" t="s">
        <v>5832</v>
      </c>
      <c r="C1285">
        <v>2019</v>
      </c>
      <c r="D1285">
        <v>8001</v>
      </c>
      <c r="E1285">
        <v>1</v>
      </c>
      <c r="F1285" t="s">
        <v>5833</v>
      </c>
      <c r="G1285">
        <v>26732867</v>
      </c>
      <c r="J1285">
        <v>100.26</v>
      </c>
      <c r="L1285">
        <v>42888538</v>
      </c>
      <c r="M1285" s="1">
        <v>43844</v>
      </c>
      <c r="N1285" t="str">
        <f>"J200114AW12"</f>
        <v>J200114AW12</v>
      </c>
      <c r="O1285" t="s">
        <v>28</v>
      </c>
      <c r="Q1285" t="s">
        <v>29</v>
      </c>
      <c r="R1285" t="s">
        <v>28</v>
      </c>
      <c r="S1285" t="s">
        <v>5834</v>
      </c>
      <c r="T1285" t="s">
        <v>5835</v>
      </c>
      <c r="U1285" t="s">
        <v>5836</v>
      </c>
      <c r="W1285" t="s">
        <v>563</v>
      </c>
      <c r="X1285" t="s">
        <v>34</v>
      </c>
      <c r="Y1285" t="str">
        <f>"75038"</f>
        <v>75038</v>
      </c>
    </row>
    <row r="1286" spans="1:25" x14ac:dyDescent="0.25">
      <c r="A1286" t="s">
        <v>5837</v>
      </c>
      <c r="B1286" t="s">
        <v>5838</v>
      </c>
      <c r="C1286">
        <v>2021</v>
      </c>
      <c r="D1286">
        <v>8001</v>
      </c>
      <c r="E1286">
        <v>2</v>
      </c>
      <c r="F1286" t="s">
        <v>5839</v>
      </c>
      <c r="G1286">
        <v>28692840</v>
      </c>
      <c r="J1286" s="2">
        <v>1523.63</v>
      </c>
      <c r="L1286">
        <v>48888871</v>
      </c>
      <c r="M1286" s="1">
        <v>44565</v>
      </c>
      <c r="N1286" t="str">
        <f>"CL210001"</f>
        <v>CL210001</v>
      </c>
      <c r="O1286" t="s">
        <v>28</v>
      </c>
      <c r="Q1286" t="s">
        <v>29</v>
      </c>
      <c r="R1286" t="s">
        <v>28</v>
      </c>
      <c r="S1286" t="s">
        <v>1019</v>
      </c>
      <c r="T1286" t="s">
        <v>562</v>
      </c>
      <c r="W1286" t="s">
        <v>563</v>
      </c>
      <c r="X1286" t="s">
        <v>34</v>
      </c>
      <c r="Y1286" t="str">
        <f>"750630156"</f>
        <v>750630156</v>
      </c>
    </row>
    <row r="1287" spans="1:25" x14ac:dyDescent="0.25">
      <c r="A1287" t="s">
        <v>5840</v>
      </c>
      <c r="B1287" t="s">
        <v>5841</v>
      </c>
      <c r="C1287">
        <v>2020</v>
      </c>
      <c r="D1287">
        <v>8001</v>
      </c>
      <c r="E1287">
        <v>4</v>
      </c>
      <c r="F1287" t="s">
        <v>5842</v>
      </c>
      <c r="G1287">
        <v>25592224</v>
      </c>
      <c r="J1287">
        <v>89.71</v>
      </c>
      <c r="L1287">
        <v>47415205</v>
      </c>
      <c r="M1287" s="1">
        <v>44335</v>
      </c>
      <c r="N1287" t="str">
        <f>"R210519AJ1"</f>
        <v>R210519AJ1</v>
      </c>
      <c r="O1287" t="s">
        <v>28</v>
      </c>
      <c r="Q1287" t="s">
        <v>29</v>
      </c>
      <c r="R1287" t="s">
        <v>28</v>
      </c>
      <c r="S1287" t="s">
        <v>1326</v>
      </c>
      <c r="T1287" t="s">
        <v>1327</v>
      </c>
      <c r="W1287" t="s">
        <v>1328</v>
      </c>
      <c r="X1287" t="s">
        <v>162</v>
      </c>
      <c r="Y1287" t="str">
        <f>"080541210"</f>
        <v>080541210</v>
      </c>
    </row>
    <row r="1288" spans="1:25" x14ac:dyDescent="0.25">
      <c r="A1288" t="s">
        <v>5843</v>
      </c>
      <c r="B1288" t="s">
        <v>5844</v>
      </c>
      <c r="C1288">
        <v>2021</v>
      </c>
      <c r="D1288">
        <v>8001</v>
      </c>
      <c r="E1288">
        <v>2</v>
      </c>
      <c r="F1288" t="s">
        <v>5845</v>
      </c>
      <c r="G1288">
        <v>26851401</v>
      </c>
      <c r="J1288">
        <v>199.12</v>
      </c>
      <c r="L1288">
        <v>49816096</v>
      </c>
      <c r="M1288" s="1">
        <v>44593</v>
      </c>
      <c r="N1288" t="str">
        <f>"RC220307"</f>
        <v>RC220307</v>
      </c>
      <c r="O1288" t="s">
        <v>28</v>
      </c>
      <c r="Q1288" t="s">
        <v>29</v>
      </c>
      <c r="R1288" t="s">
        <v>28</v>
      </c>
      <c r="S1288" t="s">
        <v>5846</v>
      </c>
      <c r="T1288" t="s">
        <v>5847</v>
      </c>
      <c r="W1288" t="s">
        <v>392</v>
      </c>
      <c r="X1288" t="s">
        <v>34</v>
      </c>
      <c r="Y1288" t="str">
        <f>"774593168"</f>
        <v>774593168</v>
      </c>
    </row>
    <row r="1289" spans="1:25" x14ac:dyDescent="0.25">
      <c r="A1289" t="s">
        <v>5848</v>
      </c>
      <c r="B1289" t="s">
        <v>5849</v>
      </c>
      <c r="C1289">
        <v>2020</v>
      </c>
      <c r="D1289">
        <v>8001</v>
      </c>
      <c r="E1289">
        <v>1</v>
      </c>
      <c r="F1289" t="s">
        <v>5850</v>
      </c>
      <c r="G1289">
        <v>29461696</v>
      </c>
      <c r="J1289" s="2">
        <v>1723.26</v>
      </c>
      <c r="L1289">
        <v>46728696</v>
      </c>
      <c r="M1289" s="1">
        <v>44230</v>
      </c>
      <c r="N1289" t="str">
        <f>"EK210203"</f>
        <v>EK210203</v>
      </c>
      <c r="O1289" t="s">
        <v>28</v>
      </c>
      <c r="Q1289" t="s">
        <v>29</v>
      </c>
      <c r="R1289" t="s">
        <v>28</v>
      </c>
      <c r="S1289" t="s">
        <v>5851</v>
      </c>
      <c r="T1289" t="s">
        <v>5852</v>
      </c>
      <c r="W1289" t="s">
        <v>392</v>
      </c>
      <c r="X1289" t="s">
        <v>34</v>
      </c>
      <c r="Y1289" t="str">
        <f>"77459"</f>
        <v>77459</v>
      </c>
    </row>
    <row r="1290" spans="1:25" x14ac:dyDescent="0.25">
      <c r="A1290" t="s">
        <v>5853</v>
      </c>
      <c r="B1290" t="s">
        <v>5854</v>
      </c>
      <c r="C1290">
        <v>2019</v>
      </c>
      <c r="D1290">
        <v>8001</v>
      </c>
      <c r="E1290">
        <v>3</v>
      </c>
      <c r="F1290" t="s">
        <v>5855</v>
      </c>
      <c r="G1290">
        <v>21132622</v>
      </c>
      <c r="J1290">
        <v>438.93</v>
      </c>
      <c r="L1290">
        <v>43632748</v>
      </c>
      <c r="M1290" s="1">
        <v>43867</v>
      </c>
      <c r="N1290" t="str">
        <f>"J200206AW5"</f>
        <v>J200206AW5</v>
      </c>
      <c r="O1290" t="s">
        <v>28</v>
      </c>
      <c r="Q1290" t="s">
        <v>29</v>
      </c>
      <c r="R1290" t="s">
        <v>28</v>
      </c>
      <c r="S1290" t="s">
        <v>5856</v>
      </c>
      <c r="T1290" t="s">
        <v>2997</v>
      </c>
      <c r="W1290" t="s">
        <v>75</v>
      </c>
      <c r="X1290" t="s">
        <v>34</v>
      </c>
      <c r="Y1290" t="str">
        <f>"77056"</f>
        <v>77056</v>
      </c>
    </row>
    <row r="1291" spans="1:25" x14ac:dyDescent="0.25">
      <c r="A1291" t="s">
        <v>5863</v>
      </c>
      <c r="B1291" t="s">
        <v>5864</v>
      </c>
      <c r="C1291">
        <v>2021</v>
      </c>
      <c r="D1291">
        <v>8001</v>
      </c>
      <c r="E1291">
        <v>1</v>
      </c>
      <c r="F1291" t="s">
        <v>5865</v>
      </c>
      <c r="G1291">
        <v>27453668</v>
      </c>
      <c r="J1291">
        <v>6.48</v>
      </c>
      <c r="L1291">
        <v>48550063</v>
      </c>
      <c r="M1291" s="1">
        <v>44547</v>
      </c>
      <c r="N1291" t="str">
        <f>"RC220114"</f>
        <v>RC220114</v>
      </c>
      <c r="O1291" t="s">
        <v>28</v>
      </c>
      <c r="Q1291" t="s">
        <v>29</v>
      </c>
      <c r="R1291" t="s">
        <v>28</v>
      </c>
      <c r="S1291" t="s">
        <v>3112</v>
      </c>
      <c r="T1291" t="s">
        <v>203</v>
      </c>
      <c r="U1291" t="s">
        <v>1475</v>
      </c>
      <c r="W1291" t="s">
        <v>33</v>
      </c>
      <c r="X1291" t="s">
        <v>34</v>
      </c>
      <c r="Y1291" t="str">
        <f>"750938768"</f>
        <v>750938768</v>
      </c>
    </row>
    <row r="1292" spans="1:25" x14ac:dyDescent="0.25">
      <c r="A1292" t="s">
        <v>5866</v>
      </c>
      <c r="B1292" t="s">
        <v>5867</v>
      </c>
      <c r="C1292">
        <v>2020</v>
      </c>
      <c r="D1292">
        <v>8001</v>
      </c>
      <c r="E1292">
        <v>15</v>
      </c>
      <c r="F1292" t="s">
        <v>5868</v>
      </c>
      <c r="G1292">
        <v>0</v>
      </c>
      <c r="J1292">
        <v>13.75</v>
      </c>
      <c r="L1292">
        <v>44557963</v>
      </c>
      <c r="M1292" s="1">
        <v>44147</v>
      </c>
      <c r="N1292" t="str">
        <f>"TE201112"</f>
        <v>TE201112</v>
      </c>
      <c r="O1292" t="s">
        <v>28</v>
      </c>
      <c r="Q1292" t="s">
        <v>29</v>
      </c>
      <c r="R1292" t="s">
        <v>28</v>
      </c>
      <c r="S1292" t="s">
        <v>5868</v>
      </c>
      <c r="T1292" t="s">
        <v>5869</v>
      </c>
      <c r="U1292" t="s">
        <v>60</v>
      </c>
      <c r="V1292" t="s">
        <v>60</v>
      </c>
      <c r="W1292" t="s">
        <v>214</v>
      </c>
      <c r="X1292" t="s">
        <v>34</v>
      </c>
      <c r="Y1292" t="str">
        <f>"774067962   "</f>
        <v xml:space="preserve">774067962   </v>
      </c>
    </row>
    <row r="1293" spans="1:25" x14ac:dyDescent="0.25">
      <c r="A1293" t="s">
        <v>5870</v>
      </c>
      <c r="B1293" t="s">
        <v>5871</v>
      </c>
      <c r="C1293">
        <v>2020</v>
      </c>
      <c r="D1293">
        <v>8001</v>
      </c>
      <c r="E1293">
        <v>5</v>
      </c>
      <c r="F1293" t="s">
        <v>5872</v>
      </c>
      <c r="G1293">
        <v>30020912</v>
      </c>
      <c r="J1293">
        <v>15.77</v>
      </c>
      <c r="L1293">
        <v>47781056</v>
      </c>
      <c r="M1293" s="1">
        <v>44475</v>
      </c>
      <c r="N1293" t="str">
        <f>"EK211006"</f>
        <v>EK211006</v>
      </c>
      <c r="O1293" t="s">
        <v>28</v>
      </c>
      <c r="Q1293" t="s">
        <v>29</v>
      </c>
      <c r="R1293" t="s">
        <v>28</v>
      </c>
      <c r="S1293" t="s">
        <v>5873</v>
      </c>
      <c r="T1293" t="s">
        <v>5874</v>
      </c>
      <c r="W1293" t="s">
        <v>81</v>
      </c>
      <c r="X1293" t="s">
        <v>34</v>
      </c>
      <c r="Y1293" t="str">
        <f>"774066993"</f>
        <v>774066993</v>
      </c>
    </row>
    <row r="1294" spans="1:25" x14ac:dyDescent="0.25">
      <c r="A1294" t="s">
        <v>5875</v>
      </c>
      <c r="B1294" t="s">
        <v>5876</v>
      </c>
      <c r="C1294">
        <v>2020</v>
      </c>
      <c r="D1294">
        <v>8001</v>
      </c>
      <c r="E1294">
        <v>1</v>
      </c>
      <c r="F1294" t="s">
        <v>5877</v>
      </c>
      <c r="G1294">
        <v>29875276</v>
      </c>
      <c r="J1294">
        <v>54.96</v>
      </c>
      <c r="L1294">
        <v>47506480</v>
      </c>
      <c r="M1294" s="1">
        <v>44354</v>
      </c>
      <c r="N1294" t="str">
        <f>"RC210616"</f>
        <v>RC210616</v>
      </c>
      <c r="O1294" t="s">
        <v>28</v>
      </c>
      <c r="Q1294" t="s">
        <v>29</v>
      </c>
      <c r="R1294" t="s">
        <v>28</v>
      </c>
      <c r="S1294" t="s">
        <v>2317</v>
      </c>
      <c r="T1294" t="s">
        <v>2937</v>
      </c>
      <c r="W1294" t="s">
        <v>2938</v>
      </c>
      <c r="X1294" t="s">
        <v>317</v>
      </c>
      <c r="Y1294" t="str">
        <f>"92806"</f>
        <v>92806</v>
      </c>
    </row>
    <row r="1295" spans="1:25" x14ac:dyDescent="0.25">
      <c r="A1295" t="s">
        <v>5878</v>
      </c>
      <c r="B1295" t="s">
        <v>5879</v>
      </c>
      <c r="C1295">
        <v>2020</v>
      </c>
      <c r="D1295">
        <v>8001</v>
      </c>
      <c r="E1295">
        <v>1</v>
      </c>
      <c r="F1295" t="s">
        <v>5880</v>
      </c>
      <c r="G1295">
        <v>24111646</v>
      </c>
      <c r="J1295">
        <v>257.31</v>
      </c>
      <c r="L1295">
        <v>44924083</v>
      </c>
      <c r="M1295" s="1">
        <v>44154</v>
      </c>
      <c r="N1295" t="str">
        <f>"O201119W1"</f>
        <v>O201119W1</v>
      </c>
      <c r="O1295" t="s">
        <v>28</v>
      </c>
      <c r="Q1295" t="s">
        <v>29</v>
      </c>
      <c r="R1295" t="s">
        <v>28</v>
      </c>
      <c r="S1295" t="s">
        <v>3677</v>
      </c>
      <c r="T1295" t="s">
        <v>3625</v>
      </c>
      <c r="U1295" t="s">
        <v>4796</v>
      </c>
      <c r="W1295" t="s">
        <v>33</v>
      </c>
      <c r="X1295" t="s">
        <v>34</v>
      </c>
      <c r="Y1295" t="str">
        <f>"750758442"</f>
        <v>750758442</v>
      </c>
    </row>
    <row r="1296" spans="1:25" x14ac:dyDescent="0.25">
      <c r="A1296" t="s">
        <v>5881</v>
      </c>
      <c r="B1296" t="s">
        <v>5882</v>
      </c>
      <c r="C1296">
        <v>2020</v>
      </c>
      <c r="D1296">
        <v>8001</v>
      </c>
      <c r="E1296">
        <v>1</v>
      </c>
      <c r="F1296" t="s">
        <v>5883</v>
      </c>
      <c r="G1296">
        <v>29489452</v>
      </c>
      <c r="J1296">
        <v>270.20999999999998</v>
      </c>
      <c r="L1296">
        <v>46782151</v>
      </c>
      <c r="M1296" s="1">
        <v>44231</v>
      </c>
      <c r="N1296" t="str">
        <f>"CC210204"</f>
        <v>CC210204</v>
      </c>
      <c r="O1296" t="s">
        <v>28</v>
      </c>
      <c r="Q1296" t="s">
        <v>29</v>
      </c>
      <c r="R1296" t="s">
        <v>28</v>
      </c>
      <c r="S1296" t="s">
        <v>5884</v>
      </c>
      <c r="T1296" t="s">
        <v>5885</v>
      </c>
      <c r="W1296" t="s">
        <v>81</v>
      </c>
      <c r="X1296" t="s">
        <v>34</v>
      </c>
      <c r="Y1296" t="str">
        <f>"77407"</f>
        <v>77407</v>
      </c>
    </row>
    <row r="1297" spans="1:25" x14ac:dyDescent="0.25">
      <c r="A1297" t="s">
        <v>5886</v>
      </c>
      <c r="B1297" t="s">
        <v>5887</v>
      </c>
      <c r="C1297">
        <v>2020</v>
      </c>
      <c r="D1297">
        <v>8001</v>
      </c>
      <c r="E1297">
        <v>1</v>
      </c>
      <c r="F1297" t="s">
        <v>5888</v>
      </c>
      <c r="G1297">
        <v>0</v>
      </c>
      <c r="J1297">
        <v>52.31</v>
      </c>
      <c r="L1297">
        <v>46861506</v>
      </c>
      <c r="M1297" s="1">
        <v>44235</v>
      </c>
      <c r="N1297" t="str">
        <f>"L210208"</f>
        <v>L210208</v>
      </c>
      <c r="O1297" t="s">
        <v>28</v>
      </c>
      <c r="Q1297" t="s">
        <v>29</v>
      </c>
      <c r="R1297" t="s">
        <v>28</v>
      </c>
      <c r="S1297" t="s">
        <v>5888</v>
      </c>
      <c r="T1297" t="s">
        <v>5889</v>
      </c>
      <c r="U1297" t="s">
        <v>60</v>
      </c>
      <c r="V1297" t="s">
        <v>60</v>
      </c>
      <c r="W1297" t="s">
        <v>135</v>
      </c>
      <c r="X1297" t="s">
        <v>34</v>
      </c>
      <c r="Y1297" t="str">
        <f>"770854038   "</f>
        <v xml:space="preserve">770854038   </v>
      </c>
    </row>
    <row r="1298" spans="1:25" x14ac:dyDescent="0.25">
      <c r="A1298" t="s">
        <v>5890</v>
      </c>
      <c r="B1298" t="s">
        <v>5891</v>
      </c>
      <c r="C1298">
        <v>2019</v>
      </c>
      <c r="D1298">
        <v>8001</v>
      </c>
      <c r="E1298">
        <v>5</v>
      </c>
      <c r="F1298" t="s">
        <v>5892</v>
      </c>
      <c r="G1298">
        <v>1888640</v>
      </c>
      <c r="J1298">
        <v>158.11000000000001</v>
      </c>
      <c r="L1298">
        <v>44185593</v>
      </c>
      <c r="M1298" s="1">
        <v>43971</v>
      </c>
      <c r="N1298" t="str">
        <f>"J200520AW5"</f>
        <v>J200520AW5</v>
      </c>
      <c r="O1298" t="s">
        <v>28</v>
      </c>
      <c r="Q1298" t="s">
        <v>29</v>
      </c>
      <c r="R1298" t="s">
        <v>28</v>
      </c>
      <c r="S1298" t="s">
        <v>2349</v>
      </c>
      <c r="T1298" t="s">
        <v>5893</v>
      </c>
      <c r="W1298" t="s">
        <v>2351</v>
      </c>
      <c r="X1298" t="s">
        <v>2352</v>
      </c>
      <c r="Y1298" t="str">
        <f>"84119"</f>
        <v>84119</v>
      </c>
    </row>
    <row r="1299" spans="1:25" x14ac:dyDescent="0.25">
      <c r="A1299" t="s">
        <v>5894</v>
      </c>
      <c r="B1299" t="s">
        <v>5895</v>
      </c>
      <c r="C1299">
        <v>2019</v>
      </c>
      <c r="D1299">
        <v>8001</v>
      </c>
      <c r="E1299">
        <v>1</v>
      </c>
      <c r="F1299" t="s">
        <v>5896</v>
      </c>
      <c r="G1299">
        <v>28298266</v>
      </c>
      <c r="J1299">
        <v>63.72</v>
      </c>
      <c r="L1299">
        <v>43864382</v>
      </c>
      <c r="M1299" s="1">
        <v>43893</v>
      </c>
      <c r="N1299" t="str">
        <f>"EK400303"</f>
        <v>EK400303</v>
      </c>
      <c r="O1299" t="s">
        <v>28</v>
      </c>
      <c r="Q1299" t="s">
        <v>29</v>
      </c>
      <c r="R1299" t="s">
        <v>28</v>
      </c>
      <c r="S1299" t="s">
        <v>5897</v>
      </c>
      <c r="T1299" t="s">
        <v>5898</v>
      </c>
      <c r="W1299" t="s">
        <v>81</v>
      </c>
      <c r="X1299" t="s">
        <v>34</v>
      </c>
      <c r="Y1299" t="str">
        <f>"77407"</f>
        <v>77407</v>
      </c>
    </row>
    <row r="1300" spans="1:25" x14ac:dyDescent="0.25">
      <c r="A1300" t="s">
        <v>5899</v>
      </c>
      <c r="B1300" t="s">
        <v>5900</v>
      </c>
      <c r="C1300">
        <v>2018</v>
      </c>
      <c r="D1300">
        <v>8001</v>
      </c>
      <c r="E1300">
        <v>2</v>
      </c>
      <c r="F1300" t="s">
        <v>5901</v>
      </c>
      <c r="G1300">
        <v>27358250</v>
      </c>
      <c r="J1300">
        <v>9.07</v>
      </c>
      <c r="L1300">
        <v>41125141</v>
      </c>
      <c r="M1300" s="1">
        <v>43578</v>
      </c>
      <c r="N1300" t="str">
        <f>"J190423AW2"</f>
        <v>J190423AW2</v>
      </c>
      <c r="O1300" t="s">
        <v>28</v>
      </c>
      <c r="Q1300" t="s">
        <v>29</v>
      </c>
      <c r="R1300" t="s">
        <v>28</v>
      </c>
      <c r="S1300" t="s">
        <v>5902</v>
      </c>
      <c r="T1300" t="s">
        <v>5903</v>
      </c>
      <c r="W1300" t="s">
        <v>75</v>
      </c>
      <c r="X1300" t="s">
        <v>34</v>
      </c>
      <c r="Y1300" t="str">
        <f>"770411280"</f>
        <v>770411280</v>
      </c>
    </row>
    <row r="1301" spans="1:25" x14ac:dyDescent="0.25">
      <c r="A1301" t="s">
        <v>5904</v>
      </c>
      <c r="B1301" t="s">
        <v>5905</v>
      </c>
      <c r="C1301">
        <v>2018</v>
      </c>
      <c r="D1301">
        <v>8001</v>
      </c>
      <c r="E1301">
        <v>1</v>
      </c>
      <c r="F1301" t="s">
        <v>5906</v>
      </c>
      <c r="G1301">
        <v>27378432</v>
      </c>
      <c r="J1301">
        <v>80.790000000000006</v>
      </c>
      <c r="L1301">
        <v>41165769</v>
      </c>
      <c r="M1301" s="1">
        <v>43588</v>
      </c>
      <c r="N1301" t="str">
        <f>"EK190503"</f>
        <v>EK190503</v>
      </c>
      <c r="O1301" t="s">
        <v>28</v>
      </c>
      <c r="Q1301" t="s">
        <v>29</v>
      </c>
      <c r="R1301" t="s">
        <v>28</v>
      </c>
      <c r="S1301" t="s">
        <v>5907</v>
      </c>
      <c r="T1301" t="s">
        <v>5908</v>
      </c>
      <c r="W1301" t="s">
        <v>107</v>
      </c>
      <c r="X1301" t="s">
        <v>34</v>
      </c>
      <c r="Y1301" t="str">
        <f>"77494"</f>
        <v>77494</v>
      </c>
    </row>
    <row r="1302" spans="1:25" x14ac:dyDescent="0.25">
      <c r="A1302" t="s">
        <v>5909</v>
      </c>
      <c r="B1302" t="s">
        <v>5910</v>
      </c>
      <c r="C1302">
        <v>2020</v>
      </c>
      <c r="D1302">
        <v>8001</v>
      </c>
      <c r="E1302">
        <v>7</v>
      </c>
      <c r="F1302" t="s">
        <v>5911</v>
      </c>
      <c r="G1302">
        <v>29771838</v>
      </c>
      <c r="J1302">
        <v>100.92</v>
      </c>
      <c r="L1302">
        <v>47315979</v>
      </c>
      <c r="M1302" s="1">
        <v>44306</v>
      </c>
      <c r="N1302" t="str">
        <f>"RC210428"</f>
        <v>RC210428</v>
      </c>
      <c r="O1302" t="s">
        <v>28</v>
      </c>
      <c r="Q1302" t="s">
        <v>29</v>
      </c>
      <c r="R1302" t="s">
        <v>28</v>
      </c>
      <c r="S1302" t="s">
        <v>5912</v>
      </c>
      <c r="T1302" t="s">
        <v>5913</v>
      </c>
      <c r="W1302" t="s">
        <v>4223</v>
      </c>
      <c r="X1302" t="s">
        <v>34</v>
      </c>
      <c r="Y1302" t="str">
        <f>"77377"</f>
        <v>77377</v>
      </c>
    </row>
    <row r="1303" spans="1:25" x14ac:dyDescent="0.25">
      <c r="A1303" t="s">
        <v>5914</v>
      </c>
      <c r="B1303" t="s">
        <v>5915</v>
      </c>
      <c r="C1303">
        <v>2020</v>
      </c>
      <c r="D1303">
        <v>8001</v>
      </c>
      <c r="E1303">
        <v>1</v>
      </c>
      <c r="F1303" t="s">
        <v>5916</v>
      </c>
      <c r="G1303">
        <v>29489506</v>
      </c>
      <c r="J1303">
        <v>25.35</v>
      </c>
      <c r="L1303">
        <v>46782205</v>
      </c>
      <c r="M1303" s="1">
        <v>44231</v>
      </c>
      <c r="N1303" t="str">
        <f>"CC210204"</f>
        <v>CC210204</v>
      </c>
      <c r="O1303" t="s">
        <v>28</v>
      </c>
      <c r="Q1303" t="s">
        <v>29</v>
      </c>
      <c r="R1303" t="s">
        <v>28</v>
      </c>
      <c r="S1303" t="s">
        <v>5917</v>
      </c>
      <c r="T1303" t="s">
        <v>5918</v>
      </c>
      <c r="W1303" t="s">
        <v>40</v>
      </c>
      <c r="X1303" t="s">
        <v>34</v>
      </c>
      <c r="Y1303" t="str">
        <f>"77478"</f>
        <v>77478</v>
      </c>
    </row>
    <row r="1304" spans="1:25" x14ac:dyDescent="0.25">
      <c r="A1304" t="s">
        <v>5919</v>
      </c>
      <c r="B1304" t="s">
        <v>5920</v>
      </c>
      <c r="C1304">
        <v>2018</v>
      </c>
      <c r="D1304">
        <v>8001</v>
      </c>
      <c r="E1304">
        <v>1</v>
      </c>
      <c r="F1304" t="s">
        <v>5921</v>
      </c>
      <c r="G1304">
        <v>27328831</v>
      </c>
      <c r="J1304">
        <v>61.43</v>
      </c>
      <c r="L1304">
        <v>41063920</v>
      </c>
      <c r="M1304" s="1">
        <v>43558</v>
      </c>
      <c r="N1304" t="str">
        <f>"CC190403"</f>
        <v>CC190403</v>
      </c>
      <c r="O1304" t="s">
        <v>28</v>
      </c>
      <c r="Q1304" t="s">
        <v>29</v>
      </c>
      <c r="R1304" t="s">
        <v>28</v>
      </c>
      <c r="S1304" t="s">
        <v>5922</v>
      </c>
      <c r="T1304" t="s">
        <v>5923</v>
      </c>
      <c r="W1304" t="s">
        <v>5924</v>
      </c>
      <c r="Y1304" t="str">
        <f>"00000"</f>
        <v>00000</v>
      </c>
    </row>
    <row r="1305" spans="1:25" x14ac:dyDescent="0.25">
      <c r="A1305" t="s">
        <v>5925</v>
      </c>
      <c r="B1305" t="s">
        <v>5926</v>
      </c>
      <c r="C1305">
        <v>2019</v>
      </c>
      <c r="D1305">
        <v>8001</v>
      </c>
      <c r="E1305">
        <v>2</v>
      </c>
      <c r="F1305" t="s">
        <v>5927</v>
      </c>
      <c r="G1305">
        <v>0</v>
      </c>
      <c r="J1305">
        <v>70.63</v>
      </c>
      <c r="L1305">
        <v>42948917</v>
      </c>
      <c r="M1305" s="1">
        <v>43846</v>
      </c>
      <c r="N1305" t="str">
        <f>"J200116AW16"</f>
        <v>J200116AW16</v>
      </c>
      <c r="O1305" t="s">
        <v>28</v>
      </c>
      <c r="Q1305" t="s">
        <v>29</v>
      </c>
      <c r="R1305" t="s">
        <v>28</v>
      </c>
      <c r="S1305" t="s">
        <v>5927</v>
      </c>
      <c r="T1305" t="s">
        <v>5928</v>
      </c>
      <c r="U1305" t="s">
        <v>60</v>
      </c>
      <c r="V1305" t="s">
        <v>60</v>
      </c>
      <c r="W1305" t="s">
        <v>273</v>
      </c>
      <c r="X1305" t="s">
        <v>34</v>
      </c>
      <c r="Y1305" t="str">
        <f>"774414215   "</f>
        <v xml:space="preserve">774414215   </v>
      </c>
    </row>
    <row r="1306" spans="1:25" x14ac:dyDescent="0.25">
      <c r="A1306" t="s">
        <v>5929</v>
      </c>
      <c r="B1306" t="s">
        <v>5930</v>
      </c>
      <c r="C1306">
        <v>2020</v>
      </c>
      <c r="D1306">
        <v>8001</v>
      </c>
      <c r="E1306">
        <v>1</v>
      </c>
      <c r="F1306" t="s">
        <v>5931</v>
      </c>
      <c r="G1306">
        <v>0</v>
      </c>
      <c r="J1306">
        <v>6</v>
      </c>
      <c r="L1306">
        <v>45748535</v>
      </c>
      <c r="M1306" s="1">
        <v>44202</v>
      </c>
      <c r="N1306" t="str">
        <f>"L210106A"</f>
        <v>L210106A</v>
      </c>
      <c r="O1306" t="s">
        <v>28</v>
      </c>
      <c r="Q1306" t="s">
        <v>29</v>
      </c>
      <c r="R1306" t="s">
        <v>28</v>
      </c>
      <c r="S1306" t="s">
        <v>5931</v>
      </c>
      <c r="T1306" t="s">
        <v>5932</v>
      </c>
      <c r="U1306" t="s">
        <v>60</v>
      </c>
      <c r="V1306" t="s">
        <v>60</v>
      </c>
      <c r="W1306" t="s">
        <v>273</v>
      </c>
      <c r="X1306" t="s">
        <v>34</v>
      </c>
      <c r="Y1306" t="str">
        <f>"774414255   "</f>
        <v xml:space="preserve">774414255   </v>
      </c>
    </row>
    <row r="1307" spans="1:25" x14ac:dyDescent="0.25">
      <c r="A1307" t="s">
        <v>5933</v>
      </c>
      <c r="B1307" t="s">
        <v>5934</v>
      </c>
      <c r="C1307">
        <v>2021</v>
      </c>
      <c r="D1307">
        <v>8001</v>
      </c>
      <c r="E1307">
        <v>1</v>
      </c>
      <c r="F1307" t="s">
        <v>5935</v>
      </c>
      <c r="G1307">
        <v>30013540</v>
      </c>
      <c r="J1307">
        <v>283.32</v>
      </c>
      <c r="L1307">
        <v>47769720</v>
      </c>
      <c r="M1307" s="1">
        <v>44516</v>
      </c>
      <c r="N1307" t="str">
        <f>"TE211116"</f>
        <v>TE211116</v>
      </c>
      <c r="O1307" t="s">
        <v>28</v>
      </c>
      <c r="Q1307" t="s">
        <v>29</v>
      </c>
      <c r="R1307" t="s">
        <v>28</v>
      </c>
      <c r="S1307" t="s">
        <v>5936</v>
      </c>
      <c r="T1307" t="s">
        <v>5937</v>
      </c>
      <c r="W1307" t="s">
        <v>1197</v>
      </c>
      <c r="X1307" t="s">
        <v>34</v>
      </c>
      <c r="Y1307" t="str">
        <f>"78041"</f>
        <v>78041</v>
      </c>
    </row>
    <row r="1308" spans="1:25" x14ac:dyDescent="0.25">
      <c r="A1308" t="s">
        <v>5938</v>
      </c>
      <c r="B1308" t="s">
        <v>5939</v>
      </c>
      <c r="C1308">
        <v>2019</v>
      </c>
      <c r="D1308">
        <v>8001</v>
      </c>
      <c r="E1308">
        <v>1</v>
      </c>
      <c r="F1308" t="s">
        <v>5940</v>
      </c>
      <c r="G1308">
        <v>28614653</v>
      </c>
      <c r="J1308">
        <v>30.07</v>
      </c>
      <c r="L1308">
        <v>44472158</v>
      </c>
      <c r="M1308" s="1">
        <v>44049</v>
      </c>
      <c r="N1308" t="str">
        <f>"O200806M1"</f>
        <v>O200806M1</v>
      </c>
      <c r="O1308" t="s">
        <v>28</v>
      </c>
      <c r="Q1308" t="s">
        <v>29</v>
      </c>
      <c r="R1308" t="s">
        <v>28</v>
      </c>
      <c r="S1308" t="s">
        <v>5941</v>
      </c>
      <c r="T1308" t="s">
        <v>5942</v>
      </c>
      <c r="W1308" t="s">
        <v>154</v>
      </c>
      <c r="X1308" t="s">
        <v>34</v>
      </c>
      <c r="Y1308" t="str">
        <f>"774719051"</f>
        <v>774719051</v>
      </c>
    </row>
    <row r="1309" spans="1:25" x14ac:dyDescent="0.25">
      <c r="A1309" t="s">
        <v>5943</v>
      </c>
      <c r="B1309" t="s">
        <v>5944</v>
      </c>
      <c r="C1309">
        <v>2020</v>
      </c>
      <c r="D1309">
        <v>8001</v>
      </c>
      <c r="E1309">
        <v>3</v>
      </c>
      <c r="F1309" t="s">
        <v>5945</v>
      </c>
      <c r="G1309">
        <v>29955718</v>
      </c>
      <c r="J1309">
        <v>5.75</v>
      </c>
      <c r="L1309">
        <v>47679402</v>
      </c>
      <c r="M1309" s="1">
        <v>44413</v>
      </c>
      <c r="N1309" t="str">
        <f>"CC210805"</f>
        <v>CC210805</v>
      </c>
      <c r="O1309" t="s">
        <v>28</v>
      </c>
      <c r="Q1309" t="s">
        <v>29</v>
      </c>
      <c r="R1309" t="s">
        <v>28</v>
      </c>
      <c r="S1309" t="s">
        <v>5946</v>
      </c>
      <c r="T1309" t="s">
        <v>5947</v>
      </c>
      <c r="W1309" t="s">
        <v>392</v>
      </c>
      <c r="X1309" t="s">
        <v>34</v>
      </c>
      <c r="Y1309" t="str">
        <f>"77459"</f>
        <v>77459</v>
      </c>
    </row>
    <row r="1310" spans="1:25" x14ac:dyDescent="0.25">
      <c r="A1310" t="s">
        <v>5948</v>
      </c>
      <c r="B1310" t="s">
        <v>5949</v>
      </c>
      <c r="C1310">
        <v>2020</v>
      </c>
      <c r="D1310">
        <v>8001</v>
      </c>
      <c r="E1310">
        <v>2</v>
      </c>
      <c r="F1310" t="s">
        <v>5950</v>
      </c>
      <c r="G1310">
        <v>0</v>
      </c>
      <c r="J1310">
        <v>50</v>
      </c>
      <c r="L1310">
        <v>47773059</v>
      </c>
      <c r="M1310" s="1">
        <v>44473</v>
      </c>
      <c r="N1310" t="str">
        <f>"EL211004"</f>
        <v>EL211004</v>
      </c>
      <c r="O1310" t="s">
        <v>28</v>
      </c>
      <c r="Q1310" t="s">
        <v>29</v>
      </c>
      <c r="R1310" t="s">
        <v>28</v>
      </c>
      <c r="S1310" t="s">
        <v>5950</v>
      </c>
      <c r="T1310" t="s">
        <v>5951</v>
      </c>
      <c r="U1310" t="s">
        <v>60</v>
      </c>
      <c r="V1310" t="s">
        <v>60</v>
      </c>
      <c r="W1310" t="s">
        <v>219</v>
      </c>
      <c r="X1310" t="s">
        <v>34</v>
      </c>
      <c r="Y1310" t="str">
        <f>"774984634   "</f>
        <v xml:space="preserve">774984634   </v>
      </c>
    </row>
    <row r="1311" spans="1:25" x14ac:dyDescent="0.25">
      <c r="A1311" t="s">
        <v>5952</v>
      </c>
      <c r="B1311" t="s">
        <v>5953</v>
      </c>
      <c r="C1311">
        <v>2020</v>
      </c>
      <c r="D1311">
        <v>8001</v>
      </c>
      <c r="E1311">
        <v>1</v>
      </c>
      <c r="F1311" t="s">
        <v>5954</v>
      </c>
      <c r="G1311">
        <v>29955708</v>
      </c>
      <c r="J1311">
        <v>14.85</v>
      </c>
      <c r="L1311">
        <v>47679392</v>
      </c>
      <c r="M1311" s="1">
        <v>44413</v>
      </c>
      <c r="N1311" t="str">
        <f>"CC210805"</f>
        <v>CC210805</v>
      </c>
      <c r="O1311" t="s">
        <v>28</v>
      </c>
      <c r="Q1311" t="s">
        <v>29</v>
      </c>
      <c r="R1311" t="s">
        <v>28</v>
      </c>
      <c r="S1311" t="s">
        <v>5955</v>
      </c>
      <c r="T1311" t="s">
        <v>5956</v>
      </c>
      <c r="W1311" t="s">
        <v>392</v>
      </c>
      <c r="X1311" t="s">
        <v>34</v>
      </c>
      <c r="Y1311" t="str">
        <f>"77489"</f>
        <v>77489</v>
      </c>
    </row>
    <row r="1312" spans="1:25" x14ac:dyDescent="0.25">
      <c r="A1312" t="s">
        <v>5957</v>
      </c>
      <c r="B1312" t="s">
        <v>5958</v>
      </c>
      <c r="C1312">
        <v>2020</v>
      </c>
      <c r="D1312">
        <v>8001</v>
      </c>
      <c r="E1312">
        <v>1</v>
      </c>
      <c r="F1312" t="s">
        <v>5959</v>
      </c>
      <c r="G1312">
        <v>0</v>
      </c>
      <c r="J1312">
        <v>653.35</v>
      </c>
      <c r="L1312">
        <v>46452288</v>
      </c>
      <c r="M1312" s="1">
        <v>44224</v>
      </c>
      <c r="N1312" t="str">
        <f>"J210128BW15"</f>
        <v>J210128BW15</v>
      </c>
      <c r="O1312" t="s">
        <v>28</v>
      </c>
      <c r="Q1312" t="s">
        <v>29</v>
      </c>
      <c r="R1312" t="s">
        <v>28</v>
      </c>
      <c r="S1312" t="s">
        <v>5959</v>
      </c>
      <c r="T1312" t="s">
        <v>5960</v>
      </c>
      <c r="U1312" t="s">
        <v>60</v>
      </c>
      <c r="V1312" t="s">
        <v>60</v>
      </c>
      <c r="W1312" t="s">
        <v>135</v>
      </c>
      <c r="X1312" t="s">
        <v>34</v>
      </c>
      <c r="Y1312" t="str">
        <f>"770924444   "</f>
        <v xml:space="preserve">770924444   </v>
      </c>
    </row>
    <row r="1313" spans="1:25" x14ac:dyDescent="0.25">
      <c r="A1313" t="s">
        <v>5961</v>
      </c>
      <c r="B1313" t="s">
        <v>5962</v>
      </c>
      <c r="C1313">
        <v>2020</v>
      </c>
      <c r="D1313">
        <v>8001</v>
      </c>
      <c r="E1313">
        <v>2</v>
      </c>
      <c r="F1313" t="s">
        <v>5963</v>
      </c>
      <c r="G1313">
        <v>28692840</v>
      </c>
      <c r="J1313">
        <v>54.39</v>
      </c>
      <c r="L1313">
        <v>47256482</v>
      </c>
      <c r="M1313" s="1">
        <v>44292</v>
      </c>
      <c r="N1313" t="str">
        <f>"RC210414"</f>
        <v>RC210414</v>
      </c>
      <c r="O1313" t="s">
        <v>28</v>
      </c>
      <c r="Q1313" t="s">
        <v>29</v>
      </c>
      <c r="R1313" t="s">
        <v>28</v>
      </c>
      <c r="S1313" t="s">
        <v>1019</v>
      </c>
      <c r="T1313" t="s">
        <v>562</v>
      </c>
      <c r="W1313" t="s">
        <v>563</v>
      </c>
      <c r="X1313" t="s">
        <v>34</v>
      </c>
      <c r="Y1313" t="str">
        <f>"750630156"</f>
        <v>750630156</v>
      </c>
    </row>
    <row r="1314" spans="1:25" x14ac:dyDescent="0.25">
      <c r="A1314" t="s">
        <v>5964</v>
      </c>
      <c r="B1314" t="s">
        <v>5965</v>
      </c>
      <c r="C1314">
        <v>2021</v>
      </c>
      <c r="D1314">
        <v>8001</v>
      </c>
      <c r="E1314">
        <v>1</v>
      </c>
      <c r="F1314" t="s">
        <v>5966</v>
      </c>
      <c r="G1314">
        <v>30262395</v>
      </c>
      <c r="J1314">
        <v>51.69</v>
      </c>
      <c r="L1314">
        <v>48432300</v>
      </c>
      <c r="M1314" s="1">
        <v>44543</v>
      </c>
      <c r="N1314" t="str">
        <f>"O211213U1"</f>
        <v>O211213U1</v>
      </c>
      <c r="O1314" t="s">
        <v>28</v>
      </c>
      <c r="Q1314" t="s">
        <v>29</v>
      </c>
      <c r="R1314" t="s">
        <v>28</v>
      </c>
      <c r="S1314" t="s">
        <v>5967</v>
      </c>
      <c r="T1314" t="s">
        <v>5968</v>
      </c>
      <c r="W1314" t="s">
        <v>5969</v>
      </c>
      <c r="X1314" t="s">
        <v>143</v>
      </c>
      <c r="Y1314" t="str">
        <f>"194284108"</f>
        <v>194284108</v>
      </c>
    </row>
    <row r="1315" spans="1:25" x14ac:dyDescent="0.25">
      <c r="A1315" t="s">
        <v>5970</v>
      </c>
      <c r="B1315" t="s">
        <v>5971</v>
      </c>
      <c r="C1315">
        <v>2020</v>
      </c>
      <c r="D1315">
        <v>8001</v>
      </c>
      <c r="E1315">
        <v>1</v>
      </c>
      <c r="F1315" t="s">
        <v>5972</v>
      </c>
      <c r="G1315">
        <v>29489566</v>
      </c>
      <c r="J1315">
        <v>178.43</v>
      </c>
      <c r="L1315">
        <v>46782266</v>
      </c>
      <c r="M1315" s="1">
        <v>44231</v>
      </c>
      <c r="N1315" t="str">
        <f>"CC210204"</f>
        <v>CC210204</v>
      </c>
      <c r="O1315" t="s">
        <v>28</v>
      </c>
      <c r="Q1315" t="s">
        <v>29</v>
      </c>
      <c r="R1315" t="s">
        <v>28</v>
      </c>
      <c r="S1315" t="s">
        <v>5973</v>
      </c>
      <c r="T1315" t="s">
        <v>5974</v>
      </c>
      <c r="W1315" t="s">
        <v>107</v>
      </c>
      <c r="X1315" t="s">
        <v>34</v>
      </c>
      <c r="Y1315" t="str">
        <f>"77494"</f>
        <v>77494</v>
      </c>
    </row>
    <row r="1316" spans="1:25" x14ac:dyDescent="0.25">
      <c r="A1316" t="s">
        <v>5975</v>
      </c>
      <c r="B1316" t="s">
        <v>5976</v>
      </c>
      <c r="C1316">
        <v>2018</v>
      </c>
      <c r="D1316">
        <v>8001</v>
      </c>
      <c r="E1316">
        <v>1</v>
      </c>
      <c r="F1316" t="s">
        <v>5977</v>
      </c>
      <c r="G1316">
        <v>27306704</v>
      </c>
      <c r="J1316">
        <v>62.39</v>
      </c>
      <c r="L1316">
        <v>41014881</v>
      </c>
      <c r="M1316" s="1">
        <v>43551</v>
      </c>
      <c r="N1316" t="str">
        <f>"O190327AT1"</f>
        <v>O190327AT1</v>
      </c>
      <c r="O1316" t="s">
        <v>28</v>
      </c>
      <c r="Q1316" t="s">
        <v>29</v>
      </c>
      <c r="R1316" t="s">
        <v>28</v>
      </c>
      <c r="S1316" t="s">
        <v>5978</v>
      </c>
      <c r="T1316" t="s">
        <v>5979</v>
      </c>
      <c r="W1316" t="s">
        <v>81</v>
      </c>
      <c r="X1316" t="s">
        <v>34</v>
      </c>
      <c r="Y1316" t="str">
        <f>"774072592"</f>
        <v>774072592</v>
      </c>
    </row>
    <row r="1317" spans="1:25" x14ac:dyDescent="0.25">
      <c r="A1317" t="s">
        <v>5980</v>
      </c>
      <c r="B1317" t="s">
        <v>5981</v>
      </c>
      <c r="C1317">
        <v>2021</v>
      </c>
      <c r="D1317">
        <v>8001</v>
      </c>
      <c r="E1317">
        <v>1</v>
      </c>
      <c r="F1317" t="s">
        <v>5982</v>
      </c>
      <c r="G1317">
        <v>26419208</v>
      </c>
      <c r="J1317">
        <v>204.89</v>
      </c>
      <c r="L1317">
        <v>48274586</v>
      </c>
      <c r="M1317" s="1">
        <v>44532</v>
      </c>
      <c r="N1317" t="str">
        <f>"RC211222"</f>
        <v>RC211222</v>
      </c>
      <c r="O1317" t="s">
        <v>28</v>
      </c>
      <c r="Q1317" t="s">
        <v>29</v>
      </c>
      <c r="R1317" t="s">
        <v>28</v>
      </c>
      <c r="S1317" t="s">
        <v>1073</v>
      </c>
      <c r="T1317" t="s">
        <v>1074</v>
      </c>
      <c r="W1317" t="s">
        <v>1075</v>
      </c>
      <c r="X1317" t="s">
        <v>34</v>
      </c>
      <c r="Y1317" t="str">
        <f>"76177"</f>
        <v>76177</v>
      </c>
    </row>
    <row r="1318" spans="1:25" x14ac:dyDescent="0.25">
      <c r="A1318" t="s">
        <v>5983</v>
      </c>
      <c r="B1318" t="s">
        <v>5984</v>
      </c>
      <c r="C1318">
        <v>2020</v>
      </c>
      <c r="D1318">
        <v>8001</v>
      </c>
      <c r="E1318">
        <v>1</v>
      </c>
      <c r="F1318" t="s">
        <v>5985</v>
      </c>
      <c r="G1318">
        <v>27660911</v>
      </c>
      <c r="J1318">
        <v>539.84</v>
      </c>
      <c r="L1318">
        <v>44861044</v>
      </c>
      <c r="M1318" s="1">
        <v>44148</v>
      </c>
      <c r="N1318" t="str">
        <f>"O201113AB1"</f>
        <v>O201113AB1</v>
      </c>
      <c r="O1318" t="s">
        <v>28</v>
      </c>
      <c r="Q1318" t="s">
        <v>29</v>
      </c>
      <c r="R1318" t="s">
        <v>28</v>
      </c>
      <c r="S1318" t="s">
        <v>775</v>
      </c>
      <c r="T1318" t="s">
        <v>776</v>
      </c>
      <c r="W1318" t="s">
        <v>40</v>
      </c>
      <c r="X1318" t="s">
        <v>34</v>
      </c>
      <c r="Y1318" t="str">
        <f>"77478"</f>
        <v>77478</v>
      </c>
    </row>
    <row r="1319" spans="1:25" x14ac:dyDescent="0.25">
      <c r="A1319" t="s">
        <v>5986</v>
      </c>
      <c r="B1319" t="s">
        <v>5987</v>
      </c>
      <c r="C1319">
        <v>2021</v>
      </c>
      <c r="D1319">
        <v>8001</v>
      </c>
      <c r="E1319">
        <v>2</v>
      </c>
      <c r="F1319" t="s">
        <v>5988</v>
      </c>
      <c r="G1319">
        <v>31106416</v>
      </c>
      <c r="J1319">
        <v>240.35</v>
      </c>
      <c r="L1319">
        <v>49935228</v>
      </c>
      <c r="M1319" s="1">
        <v>44594</v>
      </c>
      <c r="N1319" t="str">
        <f>"RC220307"</f>
        <v>RC220307</v>
      </c>
      <c r="O1319" t="s">
        <v>28</v>
      </c>
      <c r="Q1319" t="s">
        <v>29</v>
      </c>
      <c r="R1319" t="s">
        <v>28</v>
      </c>
      <c r="S1319" t="s">
        <v>5989</v>
      </c>
      <c r="T1319" t="s">
        <v>5990</v>
      </c>
      <c r="U1319" t="s">
        <v>5991</v>
      </c>
      <c r="V1319" t="s">
        <v>1202</v>
      </c>
      <c r="W1319" t="s">
        <v>40</v>
      </c>
      <c r="X1319" t="s">
        <v>34</v>
      </c>
      <c r="Y1319" t="str">
        <f>"774794875"</f>
        <v>774794875</v>
      </c>
    </row>
    <row r="1320" spans="1:25" x14ac:dyDescent="0.25">
      <c r="A1320" t="s">
        <v>5992</v>
      </c>
      <c r="B1320" t="s">
        <v>5993</v>
      </c>
      <c r="C1320">
        <v>2019</v>
      </c>
      <c r="D1320">
        <v>8001</v>
      </c>
      <c r="E1320">
        <v>4</v>
      </c>
      <c r="F1320" t="s">
        <v>5994</v>
      </c>
      <c r="G1320">
        <v>28263342</v>
      </c>
      <c r="J1320">
        <v>30</v>
      </c>
      <c r="L1320">
        <v>43795291</v>
      </c>
      <c r="M1320" s="1">
        <v>43886</v>
      </c>
      <c r="N1320" t="str">
        <f>"O200225O6"</f>
        <v>O200225O6</v>
      </c>
      <c r="O1320" t="s">
        <v>28</v>
      </c>
      <c r="Q1320" t="s">
        <v>29</v>
      </c>
      <c r="R1320" t="s">
        <v>28</v>
      </c>
      <c r="S1320" t="s">
        <v>5995</v>
      </c>
      <c r="T1320" t="s">
        <v>5996</v>
      </c>
      <c r="W1320" t="s">
        <v>40</v>
      </c>
      <c r="X1320" t="s">
        <v>34</v>
      </c>
      <c r="Y1320" t="str">
        <f>"774987073"</f>
        <v>774987073</v>
      </c>
    </row>
    <row r="1321" spans="1:25" x14ac:dyDescent="0.25">
      <c r="A1321" t="s">
        <v>5997</v>
      </c>
      <c r="B1321" t="s">
        <v>5998</v>
      </c>
      <c r="C1321">
        <v>2020</v>
      </c>
      <c r="D1321">
        <v>8001</v>
      </c>
      <c r="E1321">
        <v>1</v>
      </c>
      <c r="F1321" t="s">
        <v>5999</v>
      </c>
      <c r="G1321">
        <v>28794716</v>
      </c>
      <c r="J1321" s="2">
        <v>2390.42</v>
      </c>
      <c r="L1321">
        <v>44930605</v>
      </c>
      <c r="M1321" s="1">
        <v>44154</v>
      </c>
      <c r="N1321" t="str">
        <f>"O201119BD1"</f>
        <v>O201119BD1</v>
      </c>
      <c r="O1321" t="s">
        <v>28</v>
      </c>
      <c r="Q1321" t="s">
        <v>29</v>
      </c>
      <c r="R1321" t="s">
        <v>28</v>
      </c>
      <c r="S1321" t="s">
        <v>1234</v>
      </c>
      <c r="T1321" t="s">
        <v>1235</v>
      </c>
      <c r="W1321" t="s">
        <v>910</v>
      </c>
      <c r="X1321" t="s">
        <v>34</v>
      </c>
      <c r="Y1321" t="str">
        <f>"782052329"</f>
        <v>782052329</v>
      </c>
    </row>
    <row r="1322" spans="1:25" x14ac:dyDescent="0.25">
      <c r="A1322" t="s">
        <v>6000</v>
      </c>
      <c r="B1322" t="s">
        <v>6001</v>
      </c>
      <c r="C1322">
        <v>2020</v>
      </c>
      <c r="D1322">
        <v>8001</v>
      </c>
      <c r="E1322">
        <v>3</v>
      </c>
      <c r="F1322" t="s">
        <v>6002</v>
      </c>
      <c r="G1322">
        <v>21055413</v>
      </c>
      <c r="J1322">
        <v>21.3</v>
      </c>
      <c r="L1322">
        <v>47468949</v>
      </c>
      <c r="M1322" s="1">
        <v>44348</v>
      </c>
      <c r="N1322" t="str">
        <f>"O210601BV6"</f>
        <v>O210601BV6</v>
      </c>
      <c r="O1322" t="s">
        <v>28</v>
      </c>
      <c r="Q1322" t="s">
        <v>29</v>
      </c>
      <c r="R1322" t="s">
        <v>28</v>
      </c>
      <c r="S1322" t="s">
        <v>6003</v>
      </c>
      <c r="T1322" t="s">
        <v>2997</v>
      </c>
      <c r="W1322" t="s">
        <v>75</v>
      </c>
      <c r="X1322" t="s">
        <v>34</v>
      </c>
      <c r="Y1322" t="str">
        <f>"770563204"</f>
        <v>770563204</v>
      </c>
    </row>
    <row r="1323" spans="1:25" x14ac:dyDescent="0.25">
      <c r="A1323" t="s">
        <v>6004</v>
      </c>
      <c r="B1323" t="s">
        <v>6005</v>
      </c>
      <c r="C1323">
        <v>2020</v>
      </c>
      <c r="D1323">
        <v>8001</v>
      </c>
      <c r="E1323">
        <v>2</v>
      </c>
      <c r="F1323" t="s">
        <v>6006</v>
      </c>
      <c r="G1323">
        <v>29955715</v>
      </c>
      <c r="J1323">
        <v>30.22</v>
      </c>
      <c r="L1323">
        <v>47679399</v>
      </c>
      <c r="M1323" s="1">
        <v>44413</v>
      </c>
      <c r="N1323" t="str">
        <f>"CC210805"</f>
        <v>CC210805</v>
      </c>
      <c r="O1323" t="s">
        <v>28</v>
      </c>
      <c r="Q1323" t="s">
        <v>29</v>
      </c>
      <c r="R1323" t="s">
        <v>28</v>
      </c>
      <c r="S1323" t="s">
        <v>6007</v>
      </c>
      <c r="T1323" t="s">
        <v>6008</v>
      </c>
      <c r="W1323" t="s">
        <v>392</v>
      </c>
      <c r="X1323" t="s">
        <v>34</v>
      </c>
      <c r="Y1323" t="str">
        <f>"77459"</f>
        <v>77459</v>
      </c>
    </row>
    <row r="1324" spans="1:25" x14ac:dyDescent="0.25">
      <c r="A1324" t="s">
        <v>6009</v>
      </c>
      <c r="B1324" t="s">
        <v>6010</v>
      </c>
      <c r="C1324">
        <v>2019</v>
      </c>
      <c r="D1324">
        <v>8001</v>
      </c>
      <c r="E1324">
        <v>6</v>
      </c>
      <c r="F1324" t="s">
        <v>6011</v>
      </c>
      <c r="G1324">
        <v>0</v>
      </c>
      <c r="J1324">
        <v>40</v>
      </c>
      <c r="L1324">
        <v>42803426</v>
      </c>
      <c r="M1324" s="1">
        <v>43840</v>
      </c>
      <c r="N1324" t="str">
        <f>"L200110"</f>
        <v>L200110</v>
      </c>
      <c r="O1324" t="s">
        <v>28</v>
      </c>
      <c r="Q1324" t="s">
        <v>29</v>
      </c>
      <c r="R1324" t="s">
        <v>28</v>
      </c>
      <c r="S1324" t="s">
        <v>6011</v>
      </c>
      <c r="T1324" t="s">
        <v>6012</v>
      </c>
      <c r="U1324" t="s">
        <v>60</v>
      </c>
      <c r="V1324" t="s">
        <v>60</v>
      </c>
      <c r="W1324" t="s">
        <v>219</v>
      </c>
      <c r="X1324" t="s">
        <v>34</v>
      </c>
      <c r="Y1324" t="str">
        <f>"774968442   "</f>
        <v xml:space="preserve">774968442   </v>
      </c>
    </row>
    <row r="1325" spans="1:25" x14ac:dyDescent="0.25">
      <c r="A1325" t="s">
        <v>6013</v>
      </c>
      <c r="B1325" t="s">
        <v>6014</v>
      </c>
      <c r="C1325">
        <v>2020</v>
      </c>
      <c r="D1325">
        <v>8001</v>
      </c>
      <c r="E1325">
        <v>1</v>
      </c>
      <c r="F1325" t="s">
        <v>6015</v>
      </c>
      <c r="G1325">
        <v>0</v>
      </c>
      <c r="J1325">
        <v>669.25</v>
      </c>
      <c r="L1325">
        <v>46880569</v>
      </c>
      <c r="M1325" s="1">
        <v>44236</v>
      </c>
      <c r="N1325" t="str">
        <f>"J210209K5"</f>
        <v>J210209K5</v>
      </c>
      <c r="O1325" t="s">
        <v>28</v>
      </c>
      <c r="Q1325" t="s">
        <v>29</v>
      </c>
      <c r="R1325" t="s">
        <v>28</v>
      </c>
      <c r="S1325" t="s">
        <v>6015</v>
      </c>
      <c r="T1325" t="s">
        <v>6016</v>
      </c>
      <c r="U1325" t="s">
        <v>60</v>
      </c>
      <c r="V1325" t="s">
        <v>60</v>
      </c>
      <c r="W1325" t="s">
        <v>1137</v>
      </c>
      <c r="X1325" t="s">
        <v>34</v>
      </c>
      <c r="Y1325" t="str">
        <f>"774943298   "</f>
        <v xml:space="preserve">774943298   </v>
      </c>
    </row>
    <row r="1326" spans="1:25" x14ac:dyDescent="0.25">
      <c r="A1326" t="s">
        <v>6017</v>
      </c>
      <c r="B1326" t="s">
        <v>6018</v>
      </c>
      <c r="C1326">
        <v>2019</v>
      </c>
      <c r="D1326">
        <v>8001</v>
      </c>
      <c r="E1326">
        <v>2</v>
      </c>
      <c r="F1326" t="s">
        <v>6019</v>
      </c>
      <c r="G1326">
        <v>25035459</v>
      </c>
      <c r="J1326">
        <v>73.62</v>
      </c>
      <c r="L1326">
        <v>44580836</v>
      </c>
      <c r="M1326" s="1">
        <v>44110</v>
      </c>
      <c r="N1326" t="str">
        <f>"O201006AB1"</f>
        <v>O201006AB1</v>
      </c>
      <c r="O1326" t="s">
        <v>28</v>
      </c>
      <c r="Q1326" t="s">
        <v>29</v>
      </c>
      <c r="R1326" t="s">
        <v>28</v>
      </c>
      <c r="S1326" t="s">
        <v>1454</v>
      </c>
      <c r="T1326" t="s">
        <v>2653</v>
      </c>
      <c r="U1326" t="s">
        <v>2654</v>
      </c>
      <c r="W1326" t="s">
        <v>1456</v>
      </c>
      <c r="X1326" t="s">
        <v>1457</v>
      </c>
      <c r="Y1326" t="str">
        <f>"234504968"</f>
        <v>234504968</v>
      </c>
    </row>
    <row r="1327" spans="1:25" x14ac:dyDescent="0.25">
      <c r="A1327" t="s">
        <v>6020</v>
      </c>
      <c r="B1327" t="s">
        <v>6021</v>
      </c>
      <c r="C1327">
        <v>2019</v>
      </c>
      <c r="D1327">
        <v>8001</v>
      </c>
      <c r="E1327">
        <v>1</v>
      </c>
      <c r="F1327" t="s">
        <v>6022</v>
      </c>
      <c r="G1327">
        <v>27434323</v>
      </c>
      <c r="J1327">
        <v>47.37</v>
      </c>
      <c r="L1327">
        <v>44267964</v>
      </c>
      <c r="M1327" s="1">
        <v>43985</v>
      </c>
      <c r="N1327" t="str">
        <f>"J200603AW5"</f>
        <v>J200603AW5</v>
      </c>
      <c r="O1327" t="s">
        <v>28</v>
      </c>
      <c r="Q1327" t="s">
        <v>29</v>
      </c>
      <c r="R1327" t="s">
        <v>28</v>
      </c>
      <c r="S1327" t="s">
        <v>1326</v>
      </c>
      <c r="T1327" t="s">
        <v>1327</v>
      </c>
      <c r="W1327" t="s">
        <v>1328</v>
      </c>
      <c r="X1327" t="s">
        <v>162</v>
      </c>
      <c r="Y1327" t="str">
        <f>"080541210"</f>
        <v>080541210</v>
      </c>
    </row>
    <row r="1328" spans="1:25" x14ac:dyDescent="0.25">
      <c r="A1328" t="s">
        <v>6023</v>
      </c>
      <c r="B1328" t="s">
        <v>6024</v>
      </c>
      <c r="C1328">
        <v>2021</v>
      </c>
      <c r="D1328">
        <v>8001</v>
      </c>
      <c r="E1328">
        <v>1</v>
      </c>
      <c r="F1328" t="s">
        <v>6025</v>
      </c>
      <c r="G1328">
        <v>26750162</v>
      </c>
      <c r="J1328">
        <v>88.27</v>
      </c>
      <c r="L1328">
        <v>50008591</v>
      </c>
      <c r="M1328" s="1">
        <v>44596</v>
      </c>
      <c r="N1328" t="str">
        <f>"RC220309"</f>
        <v>RC220309</v>
      </c>
      <c r="O1328" t="s">
        <v>28</v>
      </c>
      <c r="Q1328" t="s">
        <v>29</v>
      </c>
      <c r="R1328" t="s">
        <v>28</v>
      </c>
      <c r="S1328" t="s">
        <v>363</v>
      </c>
      <c r="T1328" t="s">
        <v>6026</v>
      </c>
      <c r="W1328" t="s">
        <v>75</v>
      </c>
      <c r="X1328" t="s">
        <v>34</v>
      </c>
      <c r="Y1328" t="str">
        <f>"770403250"</f>
        <v>770403250</v>
      </c>
    </row>
    <row r="1329" spans="1:25" x14ac:dyDescent="0.25">
      <c r="A1329" t="s">
        <v>6027</v>
      </c>
      <c r="B1329" t="s">
        <v>6028</v>
      </c>
      <c r="C1329">
        <v>2021</v>
      </c>
      <c r="D1329">
        <v>8001</v>
      </c>
      <c r="E1329">
        <v>2</v>
      </c>
      <c r="F1329" t="s">
        <v>6029</v>
      </c>
      <c r="G1329">
        <v>25250696</v>
      </c>
      <c r="J1329">
        <v>9.16</v>
      </c>
      <c r="L1329">
        <v>50073571</v>
      </c>
      <c r="M1329" s="1">
        <v>44600</v>
      </c>
      <c r="N1329" t="str">
        <f>"O220208BR1"</f>
        <v>O220208BR1</v>
      </c>
      <c r="O1329" t="s">
        <v>28</v>
      </c>
      <c r="Q1329" t="s">
        <v>29</v>
      </c>
      <c r="R1329" t="s">
        <v>28</v>
      </c>
      <c r="S1329" t="s">
        <v>6030</v>
      </c>
      <c r="T1329" t="s">
        <v>6031</v>
      </c>
      <c r="W1329" t="s">
        <v>75</v>
      </c>
      <c r="X1329" t="s">
        <v>34</v>
      </c>
      <c r="Y1329" t="str">
        <f>"770403229"</f>
        <v>770403229</v>
      </c>
    </row>
    <row r="1330" spans="1:25" x14ac:dyDescent="0.25">
      <c r="A1330" t="s">
        <v>6032</v>
      </c>
      <c r="B1330" t="s">
        <v>6033</v>
      </c>
      <c r="C1330">
        <v>2019</v>
      </c>
      <c r="D1330">
        <v>8001</v>
      </c>
      <c r="E1330">
        <v>1</v>
      </c>
      <c r="F1330" t="s">
        <v>6034</v>
      </c>
      <c r="G1330">
        <v>27672948</v>
      </c>
      <c r="J1330">
        <v>372</v>
      </c>
      <c r="L1330">
        <v>42037838</v>
      </c>
      <c r="M1330" s="1">
        <v>43796</v>
      </c>
      <c r="N1330" t="str">
        <f>"J191127K10"</f>
        <v>J191127K10</v>
      </c>
      <c r="O1330" t="s">
        <v>28</v>
      </c>
      <c r="Q1330" t="s">
        <v>29</v>
      </c>
      <c r="R1330" t="s">
        <v>28</v>
      </c>
      <c r="S1330" t="s">
        <v>5511</v>
      </c>
      <c r="T1330" t="s">
        <v>5512</v>
      </c>
      <c r="U1330" t="s">
        <v>5513</v>
      </c>
      <c r="W1330" t="s">
        <v>75</v>
      </c>
      <c r="X1330" t="s">
        <v>34</v>
      </c>
      <c r="Y1330" t="str">
        <f>"77067"</f>
        <v>77067</v>
      </c>
    </row>
    <row r="1331" spans="1:25" x14ac:dyDescent="0.25">
      <c r="A1331" t="s">
        <v>6035</v>
      </c>
      <c r="B1331" t="s">
        <v>6036</v>
      </c>
      <c r="C1331">
        <v>2020</v>
      </c>
      <c r="D1331">
        <v>8001</v>
      </c>
      <c r="E1331">
        <v>2</v>
      </c>
      <c r="F1331" t="s">
        <v>6037</v>
      </c>
      <c r="G1331">
        <v>28692840</v>
      </c>
      <c r="J1331">
        <v>105.91</v>
      </c>
      <c r="L1331">
        <v>47256488</v>
      </c>
      <c r="M1331" s="1">
        <v>44292</v>
      </c>
      <c r="N1331" t="str">
        <f>"RC210414"</f>
        <v>RC210414</v>
      </c>
      <c r="O1331" t="s">
        <v>28</v>
      </c>
      <c r="Q1331" t="s">
        <v>29</v>
      </c>
      <c r="R1331" t="s">
        <v>28</v>
      </c>
      <c r="S1331" t="s">
        <v>1019</v>
      </c>
      <c r="T1331" t="s">
        <v>562</v>
      </c>
      <c r="W1331" t="s">
        <v>563</v>
      </c>
      <c r="X1331" t="s">
        <v>34</v>
      </c>
      <c r="Y1331" t="str">
        <f>"750630156"</f>
        <v>750630156</v>
      </c>
    </row>
    <row r="1332" spans="1:25" x14ac:dyDescent="0.25">
      <c r="A1332" t="s">
        <v>6038</v>
      </c>
      <c r="B1332" t="s">
        <v>6039</v>
      </c>
      <c r="C1332">
        <v>2020</v>
      </c>
      <c r="D1332">
        <v>8001</v>
      </c>
      <c r="E1332">
        <v>1</v>
      </c>
      <c r="F1332" t="s">
        <v>6040</v>
      </c>
      <c r="G1332">
        <v>26290936</v>
      </c>
      <c r="J1332">
        <v>288.39</v>
      </c>
      <c r="L1332">
        <v>47078228</v>
      </c>
      <c r="M1332" s="1">
        <v>44266</v>
      </c>
      <c r="N1332" t="str">
        <f>"RC210317"</f>
        <v>RC210317</v>
      </c>
      <c r="O1332" t="s">
        <v>28</v>
      </c>
      <c r="Q1332" t="s">
        <v>29</v>
      </c>
      <c r="R1332" t="s">
        <v>28</v>
      </c>
      <c r="S1332" t="s">
        <v>6041</v>
      </c>
      <c r="T1332" t="s">
        <v>6042</v>
      </c>
      <c r="W1332" t="s">
        <v>6043</v>
      </c>
      <c r="X1332" t="s">
        <v>1831</v>
      </c>
      <c r="Y1332" t="str">
        <f>"10022"</f>
        <v>10022</v>
      </c>
    </row>
    <row r="1333" spans="1:25" x14ac:dyDescent="0.25">
      <c r="A1333" t="s">
        <v>6044</v>
      </c>
      <c r="B1333" t="s">
        <v>6045</v>
      </c>
      <c r="C1333">
        <v>2019</v>
      </c>
      <c r="D1333">
        <v>8001</v>
      </c>
      <c r="E1333">
        <v>1</v>
      </c>
      <c r="F1333" t="s">
        <v>6046</v>
      </c>
      <c r="G1333">
        <v>0</v>
      </c>
      <c r="J1333">
        <v>67.36</v>
      </c>
      <c r="L1333">
        <v>44530634</v>
      </c>
      <c r="M1333" s="1">
        <v>44082</v>
      </c>
      <c r="N1333" t="str">
        <f>"J200908K2"</f>
        <v>J200908K2</v>
      </c>
      <c r="O1333" t="s">
        <v>28</v>
      </c>
      <c r="Q1333" t="s">
        <v>29</v>
      </c>
      <c r="R1333" t="s">
        <v>28</v>
      </c>
      <c r="S1333" t="s">
        <v>6046</v>
      </c>
      <c r="T1333" t="s">
        <v>6047</v>
      </c>
      <c r="U1333" t="s">
        <v>60</v>
      </c>
      <c r="V1333" t="s">
        <v>60</v>
      </c>
      <c r="W1333" t="s">
        <v>6048</v>
      </c>
      <c r="X1333" t="s">
        <v>34</v>
      </c>
      <c r="Y1333" t="str">
        <f>"779543021   "</f>
        <v xml:space="preserve">779543021   </v>
      </c>
    </row>
    <row r="1334" spans="1:25" x14ac:dyDescent="0.25">
      <c r="A1334" t="s">
        <v>6049</v>
      </c>
      <c r="B1334" t="s">
        <v>6050</v>
      </c>
      <c r="C1334">
        <v>2019</v>
      </c>
      <c r="D1334">
        <v>8001</v>
      </c>
      <c r="E1334">
        <v>1</v>
      </c>
      <c r="F1334" t="s">
        <v>6051</v>
      </c>
      <c r="G1334">
        <v>27782321</v>
      </c>
      <c r="J1334">
        <v>28.98</v>
      </c>
      <c r="L1334">
        <v>42406467</v>
      </c>
      <c r="M1334" s="1">
        <v>43825</v>
      </c>
      <c r="N1334" t="str">
        <f>"O191226M1"</f>
        <v>O191226M1</v>
      </c>
      <c r="O1334" t="s">
        <v>28</v>
      </c>
      <c r="Q1334" t="s">
        <v>29</v>
      </c>
      <c r="R1334" t="s">
        <v>28</v>
      </c>
      <c r="S1334" t="s">
        <v>6052</v>
      </c>
      <c r="T1334" t="s">
        <v>6051</v>
      </c>
      <c r="U1334" t="s">
        <v>6053</v>
      </c>
      <c r="W1334" t="s">
        <v>75</v>
      </c>
      <c r="X1334" t="s">
        <v>34</v>
      </c>
      <c r="Y1334" t="str">
        <f>"770836288"</f>
        <v>770836288</v>
      </c>
    </row>
    <row r="1335" spans="1:25" x14ac:dyDescent="0.25">
      <c r="A1335" t="s">
        <v>6054</v>
      </c>
      <c r="B1335" t="s">
        <v>6055</v>
      </c>
      <c r="C1335">
        <v>2019</v>
      </c>
      <c r="D1335">
        <v>8001</v>
      </c>
      <c r="E1335">
        <v>1</v>
      </c>
      <c r="F1335" t="s">
        <v>6056</v>
      </c>
      <c r="G1335">
        <v>28229010</v>
      </c>
      <c r="J1335">
        <v>211.25</v>
      </c>
      <c r="L1335">
        <v>43719954</v>
      </c>
      <c r="M1335" s="1">
        <v>43873</v>
      </c>
      <c r="N1335" t="str">
        <f>"J200212AW8"</f>
        <v>J200212AW8</v>
      </c>
      <c r="O1335" t="s">
        <v>28</v>
      </c>
      <c r="Q1335" t="s">
        <v>29</v>
      </c>
      <c r="R1335" t="s">
        <v>28</v>
      </c>
      <c r="S1335" t="s">
        <v>6057</v>
      </c>
      <c r="T1335" t="s">
        <v>6058</v>
      </c>
      <c r="W1335" t="s">
        <v>6059</v>
      </c>
      <c r="X1335" t="s">
        <v>2175</v>
      </c>
      <c r="Y1335" t="str">
        <f>"27560"</f>
        <v>27560</v>
      </c>
    </row>
    <row r="1336" spans="1:25" x14ac:dyDescent="0.25">
      <c r="A1336" t="s">
        <v>6060</v>
      </c>
      <c r="B1336" t="s">
        <v>6061</v>
      </c>
      <c r="C1336">
        <v>2019</v>
      </c>
      <c r="D1336">
        <v>8001</v>
      </c>
      <c r="E1336">
        <v>1</v>
      </c>
      <c r="F1336" t="s">
        <v>6062</v>
      </c>
      <c r="G1336">
        <v>28567480</v>
      </c>
      <c r="J1336">
        <v>58.96</v>
      </c>
      <c r="L1336">
        <v>44383068</v>
      </c>
      <c r="M1336" s="1">
        <v>44021</v>
      </c>
      <c r="N1336" t="str">
        <f>"J200709U7"</f>
        <v>J200709U7</v>
      </c>
      <c r="O1336" t="s">
        <v>28</v>
      </c>
      <c r="Q1336" t="s">
        <v>29</v>
      </c>
      <c r="R1336" t="s">
        <v>28</v>
      </c>
      <c r="S1336" t="s">
        <v>6063</v>
      </c>
      <c r="T1336" t="s">
        <v>6062</v>
      </c>
      <c r="U1336" t="s">
        <v>6064</v>
      </c>
      <c r="V1336" t="s">
        <v>6065</v>
      </c>
      <c r="W1336" t="s">
        <v>75</v>
      </c>
      <c r="X1336" t="s">
        <v>34</v>
      </c>
      <c r="Y1336" t="str">
        <f>"770928891"</f>
        <v>770928891</v>
      </c>
    </row>
    <row r="1337" spans="1:25" x14ac:dyDescent="0.25">
      <c r="A1337" t="s">
        <v>6066</v>
      </c>
      <c r="B1337" t="s">
        <v>6067</v>
      </c>
      <c r="C1337">
        <v>2020</v>
      </c>
      <c r="D1337">
        <v>8001</v>
      </c>
      <c r="E1337">
        <v>1</v>
      </c>
      <c r="F1337" t="s">
        <v>6068</v>
      </c>
      <c r="G1337">
        <v>29604545</v>
      </c>
      <c r="J1337">
        <v>119.14</v>
      </c>
      <c r="L1337">
        <v>47034727</v>
      </c>
      <c r="M1337" s="1">
        <v>44259</v>
      </c>
      <c r="N1337" t="str">
        <f>"CC210304"</f>
        <v>CC210304</v>
      </c>
      <c r="O1337" t="s">
        <v>28</v>
      </c>
      <c r="Q1337" t="s">
        <v>29</v>
      </c>
      <c r="R1337" t="s">
        <v>28</v>
      </c>
      <c r="S1337" t="s">
        <v>6069</v>
      </c>
      <c r="T1337" t="s">
        <v>6070</v>
      </c>
      <c r="W1337" t="s">
        <v>107</v>
      </c>
      <c r="X1337" t="s">
        <v>34</v>
      </c>
      <c r="Y1337" t="str">
        <f>"77494"</f>
        <v>77494</v>
      </c>
    </row>
    <row r="1338" spans="1:25" x14ac:dyDescent="0.25">
      <c r="A1338" t="s">
        <v>6071</v>
      </c>
      <c r="B1338" t="s">
        <v>6072</v>
      </c>
      <c r="C1338">
        <v>2020</v>
      </c>
      <c r="D1338">
        <v>8001</v>
      </c>
      <c r="E1338">
        <v>1</v>
      </c>
      <c r="F1338" t="s">
        <v>6073</v>
      </c>
      <c r="G1338">
        <v>29489540</v>
      </c>
      <c r="J1338">
        <v>78.16</v>
      </c>
      <c r="L1338">
        <v>46782239</v>
      </c>
      <c r="M1338" s="1">
        <v>44231</v>
      </c>
      <c r="N1338" t="str">
        <f>"CC210204"</f>
        <v>CC210204</v>
      </c>
      <c r="O1338" t="s">
        <v>28</v>
      </c>
      <c r="Q1338" t="s">
        <v>29</v>
      </c>
      <c r="R1338" t="s">
        <v>28</v>
      </c>
      <c r="S1338" t="s">
        <v>6074</v>
      </c>
      <c r="T1338" t="s">
        <v>6075</v>
      </c>
      <c r="W1338" t="s">
        <v>75</v>
      </c>
      <c r="X1338" t="s">
        <v>34</v>
      </c>
      <c r="Y1338" t="str">
        <f>"77042"</f>
        <v>77042</v>
      </c>
    </row>
    <row r="1339" spans="1:25" x14ac:dyDescent="0.25">
      <c r="A1339" t="s">
        <v>6076</v>
      </c>
      <c r="B1339" t="s">
        <v>6077</v>
      </c>
      <c r="C1339">
        <v>2018</v>
      </c>
      <c r="D1339">
        <v>8001</v>
      </c>
      <c r="E1339">
        <v>1</v>
      </c>
      <c r="F1339" t="s">
        <v>6078</v>
      </c>
      <c r="G1339">
        <v>0</v>
      </c>
      <c r="J1339">
        <v>35.549999999999997</v>
      </c>
      <c r="L1339">
        <v>41086969</v>
      </c>
      <c r="M1339" s="1">
        <v>43564</v>
      </c>
      <c r="N1339" t="str">
        <f>"J190409AW2"</f>
        <v>J190409AW2</v>
      </c>
      <c r="O1339" t="s">
        <v>28</v>
      </c>
      <c r="Q1339" t="s">
        <v>29</v>
      </c>
      <c r="R1339" t="s">
        <v>28</v>
      </c>
      <c r="S1339" t="s">
        <v>6078</v>
      </c>
      <c r="T1339" t="s">
        <v>6079</v>
      </c>
      <c r="U1339" t="s">
        <v>6080</v>
      </c>
      <c r="V1339" t="s">
        <v>60</v>
      </c>
      <c r="W1339" t="s">
        <v>376</v>
      </c>
      <c r="X1339" t="s">
        <v>34</v>
      </c>
      <c r="Y1339" t="str">
        <f>"774772904   "</f>
        <v xml:space="preserve">774772904   </v>
      </c>
    </row>
    <row r="1340" spans="1:25" x14ac:dyDescent="0.25">
      <c r="A1340" t="s">
        <v>6076</v>
      </c>
      <c r="B1340" t="s">
        <v>6077</v>
      </c>
      <c r="C1340">
        <v>2019</v>
      </c>
      <c r="D1340">
        <v>8001</v>
      </c>
      <c r="E1340">
        <v>1</v>
      </c>
      <c r="F1340" t="s">
        <v>6078</v>
      </c>
      <c r="G1340">
        <v>0</v>
      </c>
      <c r="J1340">
        <v>46.37</v>
      </c>
      <c r="L1340">
        <v>43579571</v>
      </c>
      <c r="M1340" s="1">
        <v>43865</v>
      </c>
      <c r="N1340" t="str">
        <f>"J200204AW18"</f>
        <v>J200204AW18</v>
      </c>
      <c r="O1340" t="s">
        <v>28</v>
      </c>
      <c r="Q1340" t="s">
        <v>29</v>
      </c>
      <c r="R1340" t="s">
        <v>28</v>
      </c>
      <c r="S1340" t="s">
        <v>6078</v>
      </c>
      <c r="T1340" t="s">
        <v>6079</v>
      </c>
      <c r="U1340" t="s">
        <v>6080</v>
      </c>
      <c r="V1340" t="s">
        <v>60</v>
      </c>
      <c r="W1340" t="s">
        <v>376</v>
      </c>
      <c r="X1340" t="s">
        <v>34</v>
      </c>
      <c r="Y1340" t="str">
        <f>"774772904   "</f>
        <v xml:space="preserve">774772904   </v>
      </c>
    </row>
    <row r="1341" spans="1:25" x14ac:dyDescent="0.25">
      <c r="A1341" t="s">
        <v>6081</v>
      </c>
      <c r="B1341" t="s">
        <v>6082</v>
      </c>
      <c r="C1341">
        <v>2018</v>
      </c>
      <c r="D1341">
        <v>8001</v>
      </c>
      <c r="E1341">
        <v>3</v>
      </c>
      <c r="F1341" t="s">
        <v>6083</v>
      </c>
      <c r="G1341">
        <v>27387206</v>
      </c>
      <c r="J1341">
        <v>19.239999999999998</v>
      </c>
      <c r="L1341">
        <v>41184624</v>
      </c>
      <c r="M1341" s="1">
        <v>43594</v>
      </c>
      <c r="N1341" t="str">
        <f>"O190509F1"</f>
        <v>O190509F1</v>
      </c>
      <c r="O1341" t="s">
        <v>28</v>
      </c>
      <c r="Q1341" t="s">
        <v>29</v>
      </c>
      <c r="R1341" t="s">
        <v>28</v>
      </c>
      <c r="S1341" t="s">
        <v>6084</v>
      </c>
      <c r="T1341" t="s">
        <v>6085</v>
      </c>
      <c r="W1341" t="s">
        <v>107</v>
      </c>
      <c r="X1341" t="s">
        <v>34</v>
      </c>
      <c r="Y1341" t="str">
        <f>"774947861"</f>
        <v>774947861</v>
      </c>
    </row>
    <row r="1342" spans="1:25" x14ac:dyDescent="0.25">
      <c r="A1342" t="s">
        <v>6081</v>
      </c>
      <c r="B1342" t="s">
        <v>6082</v>
      </c>
      <c r="C1342">
        <v>2020</v>
      </c>
      <c r="D1342">
        <v>8001</v>
      </c>
      <c r="E1342">
        <v>3</v>
      </c>
      <c r="F1342" t="s">
        <v>6084</v>
      </c>
      <c r="G1342">
        <v>29489467</v>
      </c>
      <c r="J1342">
        <v>10.29</v>
      </c>
      <c r="L1342">
        <v>46782166</v>
      </c>
      <c r="M1342" s="1">
        <v>44231</v>
      </c>
      <c r="N1342" t="str">
        <f>"CC210204"</f>
        <v>CC210204</v>
      </c>
      <c r="O1342" t="s">
        <v>28</v>
      </c>
      <c r="Q1342" t="s">
        <v>29</v>
      </c>
      <c r="R1342" t="s">
        <v>28</v>
      </c>
      <c r="S1342" t="s">
        <v>6086</v>
      </c>
      <c r="T1342" t="s">
        <v>6087</v>
      </c>
      <c r="W1342" t="s">
        <v>107</v>
      </c>
      <c r="X1342" t="s">
        <v>34</v>
      </c>
      <c r="Y1342" t="str">
        <f>"77494"</f>
        <v>77494</v>
      </c>
    </row>
    <row r="1343" spans="1:25" x14ac:dyDescent="0.25">
      <c r="A1343" t="s">
        <v>6088</v>
      </c>
      <c r="B1343" t="s">
        <v>6089</v>
      </c>
      <c r="C1343">
        <v>2021</v>
      </c>
      <c r="D1343">
        <v>8001</v>
      </c>
      <c r="E1343">
        <v>3</v>
      </c>
      <c r="F1343" t="s">
        <v>6090</v>
      </c>
      <c r="G1343">
        <v>0</v>
      </c>
      <c r="J1343">
        <v>419.93</v>
      </c>
      <c r="L1343">
        <v>48964416</v>
      </c>
      <c r="M1343" s="1">
        <v>44567</v>
      </c>
      <c r="N1343" t="str">
        <f>"J220106BW4"</f>
        <v>J220106BW4</v>
      </c>
      <c r="O1343" t="s">
        <v>28</v>
      </c>
      <c r="Q1343" t="s">
        <v>29</v>
      </c>
      <c r="R1343" t="s">
        <v>28</v>
      </c>
      <c r="S1343" t="s">
        <v>6090</v>
      </c>
      <c r="T1343" t="s">
        <v>6091</v>
      </c>
      <c r="U1343" t="s">
        <v>60</v>
      </c>
      <c r="V1343" t="s">
        <v>60</v>
      </c>
      <c r="W1343" t="s">
        <v>6092</v>
      </c>
      <c r="X1343" t="s">
        <v>6093</v>
      </c>
      <c r="Y1343" t="str">
        <f>"028181555   "</f>
        <v xml:space="preserve">028181555   </v>
      </c>
    </row>
    <row r="1344" spans="1:25" x14ac:dyDescent="0.25">
      <c r="A1344" t="s">
        <v>6094</v>
      </c>
      <c r="B1344" t="s">
        <v>6095</v>
      </c>
      <c r="C1344">
        <v>2020</v>
      </c>
      <c r="D1344">
        <v>8001</v>
      </c>
      <c r="E1344">
        <v>1</v>
      </c>
      <c r="F1344" t="s">
        <v>6096</v>
      </c>
      <c r="G1344">
        <v>28896984</v>
      </c>
      <c r="J1344">
        <v>17.68</v>
      </c>
      <c r="L1344">
        <v>45192221</v>
      </c>
      <c r="M1344" s="1">
        <v>44174</v>
      </c>
      <c r="N1344" t="str">
        <f>"RC201217"</f>
        <v>RC201217</v>
      </c>
      <c r="O1344" t="s">
        <v>28</v>
      </c>
      <c r="Q1344" t="s">
        <v>29</v>
      </c>
      <c r="R1344" t="s">
        <v>28</v>
      </c>
      <c r="S1344" t="s">
        <v>6097</v>
      </c>
      <c r="T1344" t="s">
        <v>6098</v>
      </c>
      <c r="W1344" t="s">
        <v>371</v>
      </c>
      <c r="X1344" t="s">
        <v>34</v>
      </c>
      <c r="Y1344" t="str">
        <f>"774773940"</f>
        <v>774773940</v>
      </c>
    </row>
    <row r="1345" spans="1:25" x14ac:dyDescent="0.25">
      <c r="A1345" t="s">
        <v>6099</v>
      </c>
      <c r="B1345" t="s">
        <v>6100</v>
      </c>
      <c r="C1345">
        <v>2019</v>
      </c>
      <c r="D1345">
        <v>8001</v>
      </c>
      <c r="E1345">
        <v>2</v>
      </c>
      <c r="F1345" t="s">
        <v>6101</v>
      </c>
      <c r="G1345">
        <v>28326062</v>
      </c>
      <c r="J1345">
        <v>44.73</v>
      </c>
      <c r="L1345">
        <v>43944727</v>
      </c>
      <c r="M1345" s="1">
        <v>43906</v>
      </c>
      <c r="N1345" t="str">
        <f>"J200316K4"</f>
        <v>J200316K4</v>
      </c>
      <c r="O1345" t="s">
        <v>28</v>
      </c>
      <c r="Q1345" t="s">
        <v>29</v>
      </c>
      <c r="R1345" t="s">
        <v>28</v>
      </c>
      <c r="S1345" t="s">
        <v>6102</v>
      </c>
      <c r="T1345" t="s">
        <v>6103</v>
      </c>
      <c r="W1345" t="s">
        <v>40</v>
      </c>
      <c r="X1345" t="s">
        <v>34</v>
      </c>
      <c r="Y1345" t="str">
        <f>"774786229"</f>
        <v>774786229</v>
      </c>
    </row>
    <row r="1346" spans="1:25" x14ac:dyDescent="0.25">
      <c r="A1346" t="s">
        <v>6104</v>
      </c>
      <c r="B1346" t="s">
        <v>6105</v>
      </c>
      <c r="C1346">
        <v>2020</v>
      </c>
      <c r="D1346">
        <v>8001</v>
      </c>
      <c r="E1346">
        <v>3</v>
      </c>
      <c r="F1346" t="s">
        <v>6106</v>
      </c>
      <c r="G1346">
        <v>0</v>
      </c>
      <c r="J1346">
        <v>71.53</v>
      </c>
      <c r="L1346">
        <v>45564409</v>
      </c>
      <c r="M1346" s="1">
        <v>44195</v>
      </c>
      <c r="N1346" t="str">
        <f>"J201230BW7"</f>
        <v>J201230BW7</v>
      </c>
      <c r="O1346" t="s">
        <v>28</v>
      </c>
      <c r="Q1346" t="s">
        <v>29</v>
      </c>
      <c r="R1346" t="s">
        <v>28</v>
      </c>
      <c r="S1346" t="s">
        <v>6106</v>
      </c>
      <c r="T1346" t="s">
        <v>6107</v>
      </c>
      <c r="U1346" t="s">
        <v>60</v>
      </c>
      <c r="V1346" t="s">
        <v>60</v>
      </c>
      <c r="W1346" t="s">
        <v>1137</v>
      </c>
      <c r="X1346" t="s">
        <v>34</v>
      </c>
      <c r="Y1346" t="str">
        <f>"774507144   "</f>
        <v xml:space="preserve">774507144   </v>
      </c>
    </row>
    <row r="1347" spans="1:25" x14ac:dyDescent="0.25">
      <c r="A1347" t="s">
        <v>6108</v>
      </c>
      <c r="B1347" t="s">
        <v>6109</v>
      </c>
      <c r="C1347">
        <v>2020</v>
      </c>
      <c r="D1347">
        <v>8001</v>
      </c>
      <c r="E1347">
        <v>1</v>
      </c>
      <c r="F1347" t="s">
        <v>6110</v>
      </c>
      <c r="G1347">
        <v>29596066</v>
      </c>
      <c r="J1347">
        <v>34.520000000000003</v>
      </c>
      <c r="L1347">
        <v>47018835</v>
      </c>
      <c r="M1347" s="1">
        <v>44258</v>
      </c>
      <c r="N1347" t="str">
        <f>"EK210303"</f>
        <v>EK210303</v>
      </c>
      <c r="O1347" t="s">
        <v>28</v>
      </c>
      <c r="Q1347" t="s">
        <v>29</v>
      </c>
      <c r="R1347" t="s">
        <v>28</v>
      </c>
      <c r="S1347" t="s">
        <v>6111</v>
      </c>
      <c r="T1347" t="s">
        <v>6112</v>
      </c>
      <c r="W1347" t="s">
        <v>40</v>
      </c>
      <c r="X1347" t="s">
        <v>34</v>
      </c>
      <c r="Y1347" t="str">
        <f>"77478"</f>
        <v>77478</v>
      </c>
    </row>
    <row r="1348" spans="1:25" x14ac:dyDescent="0.25">
      <c r="A1348" t="s">
        <v>6113</v>
      </c>
      <c r="B1348" t="s">
        <v>6114</v>
      </c>
      <c r="C1348">
        <v>2021</v>
      </c>
      <c r="D1348">
        <v>8001</v>
      </c>
      <c r="E1348">
        <v>1</v>
      </c>
      <c r="F1348" t="s">
        <v>6115</v>
      </c>
      <c r="G1348">
        <v>27170246</v>
      </c>
      <c r="J1348" s="2">
        <v>7751.82</v>
      </c>
      <c r="L1348">
        <v>49738485</v>
      </c>
      <c r="M1348" s="1">
        <v>44592</v>
      </c>
      <c r="N1348" t="str">
        <f>"RC220309"</f>
        <v>RC220309</v>
      </c>
      <c r="O1348" t="s">
        <v>28</v>
      </c>
      <c r="Q1348" t="s">
        <v>29</v>
      </c>
      <c r="R1348" t="s">
        <v>28</v>
      </c>
      <c r="S1348" t="s">
        <v>6116</v>
      </c>
      <c r="T1348" t="s">
        <v>6117</v>
      </c>
      <c r="U1348" t="s">
        <v>6118</v>
      </c>
      <c r="W1348" t="s">
        <v>6119</v>
      </c>
      <c r="X1348" t="s">
        <v>227</v>
      </c>
      <c r="Y1348" t="str">
        <f>"852541720"</f>
        <v>852541720</v>
      </c>
    </row>
    <row r="1349" spans="1:25" x14ac:dyDescent="0.25">
      <c r="A1349" t="s">
        <v>6120</v>
      </c>
      <c r="B1349" t="s">
        <v>6121</v>
      </c>
      <c r="C1349">
        <v>2019</v>
      </c>
      <c r="D1349">
        <v>8001</v>
      </c>
      <c r="E1349">
        <v>2</v>
      </c>
      <c r="F1349" t="s">
        <v>6122</v>
      </c>
      <c r="G1349">
        <v>28063011</v>
      </c>
      <c r="J1349" s="2">
        <v>4791.24</v>
      </c>
      <c r="L1349">
        <v>43330779</v>
      </c>
      <c r="M1349" s="1">
        <v>43859</v>
      </c>
      <c r="N1349" t="str">
        <f>"O200129AX1"</f>
        <v>O200129AX1</v>
      </c>
      <c r="O1349" t="s">
        <v>28</v>
      </c>
      <c r="Q1349" t="s">
        <v>29</v>
      </c>
      <c r="R1349" t="s">
        <v>28</v>
      </c>
      <c r="S1349" t="s">
        <v>6123</v>
      </c>
      <c r="T1349" t="s">
        <v>6124</v>
      </c>
      <c r="U1349" t="s">
        <v>225</v>
      </c>
      <c r="W1349" t="s">
        <v>226</v>
      </c>
      <c r="X1349" t="s">
        <v>227</v>
      </c>
      <c r="Y1349" t="str">
        <f>"852541720"</f>
        <v>852541720</v>
      </c>
    </row>
    <row r="1350" spans="1:25" x14ac:dyDescent="0.25">
      <c r="A1350" t="s">
        <v>6125</v>
      </c>
      <c r="B1350" t="s">
        <v>6126</v>
      </c>
      <c r="C1350">
        <v>2019</v>
      </c>
      <c r="D1350">
        <v>8001</v>
      </c>
      <c r="E1350">
        <v>1</v>
      </c>
      <c r="F1350" t="s">
        <v>6127</v>
      </c>
      <c r="G1350">
        <v>0</v>
      </c>
      <c r="J1350">
        <v>7.64</v>
      </c>
      <c r="L1350">
        <v>42335894</v>
      </c>
      <c r="M1350" s="1">
        <v>43818</v>
      </c>
      <c r="N1350" t="str">
        <f>"J191219AW6"</f>
        <v>J191219AW6</v>
      </c>
      <c r="O1350" t="s">
        <v>28</v>
      </c>
      <c r="Q1350" t="s">
        <v>29</v>
      </c>
      <c r="R1350" t="s">
        <v>28</v>
      </c>
      <c r="S1350" t="s">
        <v>6127</v>
      </c>
      <c r="T1350" t="s">
        <v>6128</v>
      </c>
      <c r="U1350">
        <v>220</v>
      </c>
      <c r="V1350" t="s">
        <v>60</v>
      </c>
      <c r="W1350" t="s">
        <v>219</v>
      </c>
      <c r="X1350" t="s">
        <v>34</v>
      </c>
      <c r="Y1350" t="str">
        <f>"774796536   "</f>
        <v xml:space="preserve">774796536   </v>
      </c>
    </row>
    <row r="1351" spans="1:25" x14ac:dyDescent="0.25">
      <c r="A1351" t="s">
        <v>6129</v>
      </c>
      <c r="B1351" t="s">
        <v>6130</v>
      </c>
      <c r="C1351">
        <v>2019</v>
      </c>
      <c r="D1351">
        <v>8001</v>
      </c>
      <c r="E1351">
        <v>3</v>
      </c>
      <c r="F1351" t="s">
        <v>6131</v>
      </c>
      <c r="G1351">
        <v>0</v>
      </c>
      <c r="J1351">
        <v>8.99</v>
      </c>
      <c r="L1351">
        <v>43922788</v>
      </c>
      <c r="M1351" s="1">
        <v>43901</v>
      </c>
      <c r="N1351" t="str">
        <f>"J200311AW5"</f>
        <v>J200311AW5</v>
      </c>
      <c r="O1351" t="s">
        <v>28</v>
      </c>
      <c r="Q1351" t="s">
        <v>29</v>
      </c>
      <c r="R1351" t="s">
        <v>28</v>
      </c>
      <c r="S1351" t="s">
        <v>6131</v>
      </c>
      <c r="T1351" t="s">
        <v>6132</v>
      </c>
      <c r="U1351" t="s">
        <v>6133</v>
      </c>
      <c r="V1351" t="s">
        <v>60</v>
      </c>
      <c r="W1351" t="s">
        <v>649</v>
      </c>
      <c r="X1351" t="s">
        <v>34</v>
      </c>
      <c r="Y1351" t="str">
        <f>"774713048   "</f>
        <v xml:space="preserve">774713048   </v>
      </c>
    </row>
    <row r="1352" spans="1:25" x14ac:dyDescent="0.25">
      <c r="A1352" t="s">
        <v>6134</v>
      </c>
      <c r="B1352" t="s">
        <v>6135</v>
      </c>
      <c r="C1352">
        <v>2019</v>
      </c>
      <c r="D1352">
        <v>8001</v>
      </c>
      <c r="E1352">
        <v>1</v>
      </c>
      <c r="F1352" t="s">
        <v>6136</v>
      </c>
      <c r="G1352">
        <v>26473990</v>
      </c>
      <c r="J1352">
        <v>143.24</v>
      </c>
      <c r="L1352">
        <v>44467493</v>
      </c>
      <c r="M1352" s="1">
        <v>44048</v>
      </c>
      <c r="N1352" t="str">
        <f>"O200805F1"</f>
        <v>O200805F1</v>
      </c>
      <c r="O1352" t="s">
        <v>28</v>
      </c>
      <c r="Q1352" t="s">
        <v>29</v>
      </c>
      <c r="R1352" t="s">
        <v>28</v>
      </c>
      <c r="S1352" t="s">
        <v>6137</v>
      </c>
      <c r="T1352" t="s">
        <v>6138</v>
      </c>
      <c r="W1352" t="s">
        <v>371</v>
      </c>
      <c r="X1352" t="s">
        <v>34</v>
      </c>
      <c r="Y1352" t="str">
        <f>"774775574"</f>
        <v>774775574</v>
      </c>
    </row>
    <row r="1353" spans="1:25" x14ac:dyDescent="0.25">
      <c r="A1353" t="s">
        <v>6139</v>
      </c>
      <c r="B1353" t="s">
        <v>6140</v>
      </c>
      <c r="C1353">
        <v>2019</v>
      </c>
      <c r="D1353">
        <v>8001</v>
      </c>
      <c r="E1353">
        <v>1</v>
      </c>
      <c r="F1353" t="s">
        <v>6141</v>
      </c>
      <c r="G1353">
        <v>0</v>
      </c>
      <c r="J1353" s="2">
        <v>4591.29</v>
      </c>
      <c r="L1353">
        <v>43266235</v>
      </c>
      <c r="M1353" s="1">
        <v>43858</v>
      </c>
      <c r="N1353" t="str">
        <f>"L200128"</f>
        <v>L200128</v>
      </c>
      <c r="O1353" t="s">
        <v>28</v>
      </c>
      <c r="Q1353" t="s">
        <v>29</v>
      </c>
      <c r="R1353" t="s">
        <v>28</v>
      </c>
      <c r="S1353" t="s">
        <v>6141</v>
      </c>
      <c r="T1353" t="s">
        <v>6142</v>
      </c>
      <c r="U1353" t="s">
        <v>6143</v>
      </c>
      <c r="V1353" t="s">
        <v>60</v>
      </c>
      <c r="W1353" t="s">
        <v>6144</v>
      </c>
      <c r="X1353" t="s">
        <v>2175</v>
      </c>
      <c r="Y1353" t="str">
        <f>"282460100   "</f>
        <v xml:space="preserve">282460100   </v>
      </c>
    </row>
    <row r="1354" spans="1:25" x14ac:dyDescent="0.25">
      <c r="A1354" t="s">
        <v>6145</v>
      </c>
      <c r="B1354" t="s">
        <v>6146</v>
      </c>
      <c r="C1354">
        <v>2020</v>
      </c>
      <c r="D1354">
        <v>8001</v>
      </c>
      <c r="E1354">
        <v>2</v>
      </c>
      <c r="F1354" t="s">
        <v>6147</v>
      </c>
      <c r="G1354">
        <v>29977992</v>
      </c>
      <c r="J1354">
        <v>20.72</v>
      </c>
      <c r="L1354">
        <v>47701108</v>
      </c>
      <c r="M1354" s="1">
        <v>44425</v>
      </c>
      <c r="N1354" t="str">
        <f>"RC210825"</f>
        <v>RC210825</v>
      </c>
      <c r="O1354" t="s">
        <v>28</v>
      </c>
      <c r="Q1354" t="s">
        <v>29</v>
      </c>
      <c r="R1354" t="s">
        <v>28</v>
      </c>
      <c r="S1354" t="s">
        <v>6148</v>
      </c>
      <c r="T1354" t="s">
        <v>6149</v>
      </c>
      <c r="W1354" t="s">
        <v>371</v>
      </c>
      <c r="X1354" t="s">
        <v>34</v>
      </c>
      <c r="Y1354" t="str">
        <f>"774775928"</f>
        <v>774775928</v>
      </c>
    </row>
    <row r="1355" spans="1:25" x14ac:dyDescent="0.25">
      <c r="A1355" t="s">
        <v>6150</v>
      </c>
      <c r="B1355" t="s">
        <v>6151</v>
      </c>
      <c r="C1355">
        <v>2019</v>
      </c>
      <c r="D1355">
        <v>8001</v>
      </c>
      <c r="E1355">
        <v>1</v>
      </c>
      <c r="F1355" t="s">
        <v>6152</v>
      </c>
      <c r="G1355">
        <v>0</v>
      </c>
      <c r="J1355">
        <v>48.41</v>
      </c>
      <c r="L1355">
        <v>42458614</v>
      </c>
      <c r="M1355" s="1">
        <v>43826</v>
      </c>
      <c r="N1355" t="str">
        <f>"L191227"</f>
        <v>L191227</v>
      </c>
      <c r="O1355" t="s">
        <v>28</v>
      </c>
      <c r="Q1355" t="s">
        <v>29</v>
      </c>
      <c r="R1355" t="s">
        <v>28</v>
      </c>
      <c r="S1355" t="s">
        <v>6152</v>
      </c>
      <c r="T1355" t="s">
        <v>6153</v>
      </c>
      <c r="U1355" t="s">
        <v>6154</v>
      </c>
      <c r="V1355" t="s">
        <v>60</v>
      </c>
      <c r="W1355" t="s">
        <v>6155</v>
      </c>
      <c r="X1355" t="s">
        <v>34</v>
      </c>
      <c r="Y1355" t="str">
        <f>"762483686   "</f>
        <v xml:space="preserve">762483686   </v>
      </c>
    </row>
    <row r="1356" spans="1:25" x14ac:dyDescent="0.25">
      <c r="A1356" t="s">
        <v>6156</v>
      </c>
      <c r="B1356" t="s">
        <v>6157</v>
      </c>
      <c r="C1356">
        <v>2019</v>
      </c>
      <c r="D1356">
        <v>8001</v>
      </c>
      <c r="E1356">
        <v>3</v>
      </c>
      <c r="F1356" t="s">
        <v>6158</v>
      </c>
      <c r="G1356">
        <v>0</v>
      </c>
      <c r="J1356">
        <v>153.19</v>
      </c>
      <c r="L1356">
        <v>44511743</v>
      </c>
      <c r="M1356" s="1">
        <v>44076</v>
      </c>
      <c r="N1356" t="str">
        <f>"T200902U1"</f>
        <v>T200902U1</v>
      </c>
      <c r="O1356" t="s">
        <v>28</v>
      </c>
      <c r="Q1356" t="s">
        <v>29</v>
      </c>
      <c r="R1356" t="s">
        <v>28</v>
      </c>
      <c r="S1356" t="s">
        <v>6158</v>
      </c>
      <c r="T1356" t="s">
        <v>6159</v>
      </c>
      <c r="U1356" t="s">
        <v>60</v>
      </c>
      <c r="V1356" t="s">
        <v>60</v>
      </c>
      <c r="W1356" t="s">
        <v>6160</v>
      </c>
      <c r="X1356" t="s">
        <v>245</v>
      </c>
      <c r="Y1356" t="str">
        <f>"495442516   "</f>
        <v xml:space="preserve">495442516   </v>
      </c>
    </row>
    <row r="1357" spans="1:25" x14ac:dyDescent="0.25">
      <c r="A1357" t="s">
        <v>6161</v>
      </c>
      <c r="B1357" t="s">
        <v>6162</v>
      </c>
      <c r="C1357">
        <v>2019</v>
      </c>
      <c r="D1357">
        <v>8001</v>
      </c>
      <c r="E1357">
        <v>2</v>
      </c>
      <c r="F1357" t="s">
        <v>6163</v>
      </c>
      <c r="G1357">
        <v>21507580</v>
      </c>
      <c r="J1357">
        <v>6.75</v>
      </c>
      <c r="L1357">
        <v>44319170</v>
      </c>
      <c r="M1357" s="1">
        <v>44000</v>
      </c>
      <c r="N1357" t="str">
        <f>"J200618U4"</f>
        <v>J200618U4</v>
      </c>
      <c r="O1357" t="s">
        <v>28</v>
      </c>
      <c r="Q1357" t="s">
        <v>29</v>
      </c>
      <c r="R1357" t="s">
        <v>28</v>
      </c>
      <c r="S1357" t="s">
        <v>6164</v>
      </c>
      <c r="T1357" t="s">
        <v>6165</v>
      </c>
      <c r="W1357" t="s">
        <v>154</v>
      </c>
      <c r="X1357" t="s">
        <v>34</v>
      </c>
      <c r="Y1357" t="str">
        <f>"77471"</f>
        <v>77471</v>
      </c>
    </row>
    <row r="1358" spans="1:25" x14ac:dyDescent="0.25">
      <c r="A1358" t="s">
        <v>6166</v>
      </c>
      <c r="B1358" t="s">
        <v>6167</v>
      </c>
      <c r="C1358">
        <v>2019</v>
      </c>
      <c r="D1358">
        <v>8001</v>
      </c>
      <c r="E1358">
        <v>1</v>
      </c>
      <c r="F1358" t="s">
        <v>6168</v>
      </c>
      <c r="G1358">
        <v>0</v>
      </c>
      <c r="J1358">
        <v>9.92</v>
      </c>
      <c r="L1358">
        <v>43891188</v>
      </c>
      <c r="M1358" s="1">
        <v>43895</v>
      </c>
      <c r="N1358" t="str">
        <f>"J200305K8"</f>
        <v>J200305K8</v>
      </c>
      <c r="O1358" t="s">
        <v>28</v>
      </c>
      <c r="Q1358" t="s">
        <v>29</v>
      </c>
      <c r="R1358" t="s">
        <v>28</v>
      </c>
      <c r="S1358" t="s">
        <v>6168</v>
      </c>
      <c r="T1358" t="s">
        <v>6169</v>
      </c>
      <c r="U1358" t="s">
        <v>60</v>
      </c>
      <c r="V1358" t="s">
        <v>60</v>
      </c>
      <c r="W1358" t="s">
        <v>214</v>
      </c>
      <c r="X1358" t="s">
        <v>34</v>
      </c>
      <c r="Y1358" t="str">
        <f>"774063754   "</f>
        <v xml:space="preserve">774063754   </v>
      </c>
    </row>
    <row r="1359" spans="1:25" x14ac:dyDescent="0.25">
      <c r="A1359" t="s">
        <v>6170</v>
      </c>
      <c r="B1359" t="s">
        <v>6171</v>
      </c>
      <c r="C1359">
        <v>2019</v>
      </c>
      <c r="D1359">
        <v>8001</v>
      </c>
      <c r="E1359">
        <v>1</v>
      </c>
      <c r="F1359" t="s">
        <v>6172</v>
      </c>
      <c r="G1359">
        <v>21344066</v>
      </c>
      <c r="J1359">
        <v>8.25</v>
      </c>
      <c r="L1359">
        <v>43711041</v>
      </c>
      <c r="M1359" s="1">
        <v>43872</v>
      </c>
      <c r="N1359" t="str">
        <f>"J200211AW13"</f>
        <v>J200211AW13</v>
      </c>
      <c r="O1359" t="s">
        <v>28</v>
      </c>
      <c r="Q1359" t="s">
        <v>29</v>
      </c>
      <c r="R1359" t="s">
        <v>28</v>
      </c>
      <c r="S1359" t="s">
        <v>6173</v>
      </c>
      <c r="T1359" t="s">
        <v>6174</v>
      </c>
      <c r="W1359" t="s">
        <v>6175</v>
      </c>
      <c r="X1359" t="s">
        <v>317</v>
      </c>
      <c r="Y1359" t="str">
        <f>"94538"</f>
        <v>94538</v>
      </c>
    </row>
    <row r="1360" spans="1:25" x14ac:dyDescent="0.25">
      <c r="A1360" t="s">
        <v>6176</v>
      </c>
      <c r="B1360" t="s">
        <v>6177</v>
      </c>
      <c r="C1360">
        <v>2021</v>
      </c>
      <c r="D1360">
        <v>8001</v>
      </c>
      <c r="E1360">
        <v>3</v>
      </c>
      <c r="F1360" t="s">
        <v>6178</v>
      </c>
      <c r="G1360">
        <v>0</v>
      </c>
      <c r="J1360">
        <v>47.07</v>
      </c>
      <c r="L1360">
        <v>48414952</v>
      </c>
      <c r="M1360" s="1">
        <v>44540</v>
      </c>
      <c r="N1360" t="str">
        <f>"EL211210"</f>
        <v>EL211210</v>
      </c>
      <c r="O1360" t="s">
        <v>28</v>
      </c>
      <c r="Q1360" t="s">
        <v>29</v>
      </c>
      <c r="R1360" t="s">
        <v>28</v>
      </c>
      <c r="S1360" t="s">
        <v>6178</v>
      </c>
      <c r="T1360" t="s">
        <v>6179</v>
      </c>
      <c r="U1360" t="s">
        <v>60</v>
      </c>
      <c r="V1360" t="s">
        <v>60</v>
      </c>
      <c r="W1360" t="s">
        <v>1137</v>
      </c>
      <c r="X1360" t="s">
        <v>34</v>
      </c>
      <c r="Y1360" t="str">
        <f>"774944222   "</f>
        <v xml:space="preserve">774944222   </v>
      </c>
    </row>
    <row r="1361" spans="1:25" x14ac:dyDescent="0.25">
      <c r="A1361" t="s">
        <v>6180</v>
      </c>
      <c r="B1361" t="s">
        <v>6181</v>
      </c>
      <c r="C1361">
        <v>2020</v>
      </c>
      <c r="D1361">
        <v>8001</v>
      </c>
      <c r="E1361">
        <v>1</v>
      </c>
      <c r="F1361" t="s">
        <v>6182</v>
      </c>
      <c r="G1361">
        <v>29461562</v>
      </c>
      <c r="J1361">
        <v>41.42</v>
      </c>
      <c r="L1361">
        <v>46728562</v>
      </c>
      <c r="M1361" s="1">
        <v>44230</v>
      </c>
      <c r="N1361" t="str">
        <f>"EK210203"</f>
        <v>EK210203</v>
      </c>
      <c r="O1361" t="s">
        <v>28</v>
      </c>
      <c r="Q1361" t="s">
        <v>29</v>
      </c>
      <c r="R1361" t="s">
        <v>28</v>
      </c>
      <c r="S1361" t="s">
        <v>6183</v>
      </c>
      <c r="T1361" t="s">
        <v>6184</v>
      </c>
      <c r="W1361" t="s">
        <v>81</v>
      </c>
      <c r="X1361" t="s">
        <v>34</v>
      </c>
      <c r="Y1361" t="str">
        <f>"774072836"</f>
        <v>774072836</v>
      </c>
    </row>
    <row r="1362" spans="1:25" x14ac:dyDescent="0.25">
      <c r="A1362" t="s">
        <v>6185</v>
      </c>
      <c r="B1362" t="s">
        <v>6186</v>
      </c>
      <c r="C1362">
        <v>2021</v>
      </c>
      <c r="D1362">
        <v>8001</v>
      </c>
      <c r="E1362">
        <v>1</v>
      </c>
      <c r="F1362" t="s">
        <v>6187</v>
      </c>
      <c r="G1362">
        <v>30459906</v>
      </c>
      <c r="J1362">
        <v>6.26</v>
      </c>
      <c r="L1362">
        <v>48947388</v>
      </c>
      <c r="M1362" s="1">
        <v>44567</v>
      </c>
      <c r="N1362" t="str">
        <f>"CC220106"</f>
        <v>CC220106</v>
      </c>
      <c r="O1362" t="s">
        <v>28</v>
      </c>
      <c r="Q1362" t="s">
        <v>29</v>
      </c>
      <c r="R1362" t="s">
        <v>28</v>
      </c>
      <c r="S1362" t="s">
        <v>6188</v>
      </c>
      <c r="T1362" t="s">
        <v>6189</v>
      </c>
      <c r="W1362" t="s">
        <v>936</v>
      </c>
      <c r="X1362" t="s">
        <v>34</v>
      </c>
      <c r="Y1362" t="str">
        <f>"77388"</f>
        <v>77388</v>
      </c>
    </row>
    <row r="1363" spans="1:25" x14ac:dyDescent="0.25">
      <c r="A1363" t="s">
        <v>6190</v>
      </c>
      <c r="B1363" t="s">
        <v>6191</v>
      </c>
      <c r="C1363">
        <v>2018</v>
      </c>
      <c r="D1363">
        <v>8001</v>
      </c>
      <c r="E1363">
        <v>1</v>
      </c>
      <c r="F1363" t="s">
        <v>6192</v>
      </c>
      <c r="G1363">
        <v>27468848</v>
      </c>
      <c r="J1363">
        <v>10.199999999999999</v>
      </c>
      <c r="L1363">
        <v>41375209</v>
      </c>
      <c r="M1363" s="1">
        <v>43649</v>
      </c>
      <c r="N1363" t="str">
        <f>"EK190703"</f>
        <v>EK190703</v>
      </c>
      <c r="O1363" t="s">
        <v>28</v>
      </c>
      <c r="Q1363" t="s">
        <v>29</v>
      </c>
      <c r="R1363" t="s">
        <v>28</v>
      </c>
      <c r="S1363" t="s">
        <v>6193</v>
      </c>
      <c r="T1363" t="s">
        <v>6194</v>
      </c>
      <c r="W1363" t="s">
        <v>81</v>
      </c>
      <c r="X1363" t="s">
        <v>34</v>
      </c>
      <c r="Y1363" t="str">
        <f>"77469"</f>
        <v>77469</v>
      </c>
    </row>
    <row r="1364" spans="1:25" x14ac:dyDescent="0.25">
      <c r="A1364" t="s">
        <v>6195</v>
      </c>
      <c r="B1364" t="s">
        <v>6196</v>
      </c>
      <c r="C1364">
        <v>2020</v>
      </c>
      <c r="D1364">
        <v>8001</v>
      </c>
      <c r="E1364">
        <v>1</v>
      </c>
      <c r="F1364" t="s">
        <v>6197</v>
      </c>
      <c r="G1364">
        <v>0</v>
      </c>
      <c r="J1364">
        <v>37.51</v>
      </c>
      <c r="L1364">
        <v>46335703</v>
      </c>
      <c r="M1364" s="1">
        <v>44222</v>
      </c>
      <c r="N1364" t="str">
        <f>"L210126"</f>
        <v>L210126</v>
      </c>
      <c r="O1364" t="s">
        <v>28</v>
      </c>
      <c r="Q1364" t="s">
        <v>29</v>
      </c>
      <c r="R1364" t="s">
        <v>28</v>
      </c>
      <c r="S1364" t="s">
        <v>6197</v>
      </c>
      <c r="T1364" t="s">
        <v>6198</v>
      </c>
      <c r="U1364" t="s">
        <v>60</v>
      </c>
      <c r="V1364" t="s">
        <v>60</v>
      </c>
      <c r="W1364" t="s">
        <v>1137</v>
      </c>
      <c r="X1364" t="s">
        <v>34</v>
      </c>
      <c r="Y1364" t="str">
        <f>"774941666   "</f>
        <v xml:space="preserve">774941666   </v>
      </c>
    </row>
    <row r="1365" spans="1:25" x14ac:dyDescent="0.25">
      <c r="A1365" t="s">
        <v>6199</v>
      </c>
      <c r="B1365" t="s">
        <v>6200</v>
      </c>
      <c r="C1365">
        <v>2019</v>
      </c>
      <c r="D1365">
        <v>8001</v>
      </c>
      <c r="E1365">
        <v>1</v>
      </c>
      <c r="F1365" t="s">
        <v>6201</v>
      </c>
      <c r="G1365">
        <v>0</v>
      </c>
      <c r="J1365">
        <v>13.98</v>
      </c>
      <c r="L1365">
        <v>42162896</v>
      </c>
      <c r="M1365" s="1">
        <v>43808</v>
      </c>
      <c r="N1365" t="str">
        <f>"L191209"</f>
        <v>L191209</v>
      </c>
      <c r="O1365" t="s">
        <v>28</v>
      </c>
      <c r="Q1365" t="s">
        <v>29</v>
      </c>
      <c r="R1365" t="s">
        <v>28</v>
      </c>
      <c r="S1365" t="s">
        <v>6201</v>
      </c>
      <c r="T1365" t="s">
        <v>6202</v>
      </c>
      <c r="U1365" t="s">
        <v>6203</v>
      </c>
      <c r="V1365" t="s">
        <v>60</v>
      </c>
      <c r="W1365" t="s">
        <v>6204</v>
      </c>
      <c r="X1365" t="s">
        <v>169</v>
      </c>
      <c r="Y1365" t="str">
        <f>"805037752   "</f>
        <v xml:space="preserve">805037752   </v>
      </c>
    </row>
    <row r="1366" spans="1:25" x14ac:dyDescent="0.25">
      <c r="A1366" t="s">
        <v>6205</v>
      </c>
      <c r="B1366" t="s">
        <v>6206</v>
      </c>
      <c r="C1366">
        <v>2020</v>
      </c>
      <c r="D1366">
        <v>8001</v>
      </c>
      <c r="E1366">
        <v>1</v>
      </c>
      <c r="F1366" t="s">
        <v>6207</v>
      </c>
      <c r="G1366">
        <v>29596105</v>
      </c>
      <c r="J1366">
        <v>93.29</v>
      </c>
      <c r="L1366">
        <v>47018874</v>
      </c>
      <c r="M1366" s="1">
        <v>44258</v>
      </c>
      <c r="N1366" t="str">
        <f>"EK210303"</f>
        <v>EK210303</v>
      </c>
      <c r="O1366" t="s">
        <v>28</v>
      </c>
      <c r="Q1366" t="s">
        <v>29</v>
      </c>
      <c r="R1366" t="s">
        <v>28</v>
      </c>
      <c r="S1366" t="s">
        <v>6208</v>
      </c>
      <c r="T1366" t="s">
        <v>6209</v>
      </c>
      <c r="W1366" t="s">
        <v>46</v>
      </c>
      <c r="X1366" t="s">
        <v>34</v>
      </c>
      <c r="Y1366" t="str">
        <f>"77430"</f>
        <v>77430</v>
      </c>
    </row>
    <row r="1367" spans="1:25" x14ac:dyDescent="0.25">
      <c r="A1367" t="s">
        <v>6210</v>
      </c>
      <c r="B1367" t="s">
        <v>6211</v>
      </c>
      <c r="C1367">
        <v>2020</v>
      </c>
      <c r="D1367">
        <v>8001</v>
      </c>
      <c r="E1367">
        <v>1</v>
      </c>
      <c r="F1367" t="s">
        <v>6212</v>
      </c>
      <c r="G1367">
        <v>29461737</v>
      </c>
      <c r="J1367">
        <v>189.12</v>
      </c>
      <c r="L1367">
        <v>46728737</v>
      </c>
      <c r="M1367" s="1">
        <v>44230</v>
      </c>
      <c r="N1367" t="str">
        <f>"EK210203"</f>
        <v>EK210203</v>
      </c>
      <c r="O1367" t="s">
        <v>28</v>
      </c>
      <c r="Q1367" t="s">
        <v>29</v>
      </c>
      <c r="R1367" t="s">
        <v>28</v>
      </c>
      <c r="S1367" t="s">
        <v>6213</v>
      </c>
      <c r="T1367" t="s">
        <v>6214</v>
      </c>
      <c r="W1367" t="s">
        <v>40</v>
      </c>
      <c r="X1367" t="s">
        <v>34</v>
      </c>
      <c r="Y1367" t="str">
        <f>"77479"</f>
        <v>77479</v>
      </c>
    </row>
    <row r="1368" spans="1:25" x14ac:dyDescent="0.25">
      <c r="A1368" t="s">
        <v>6215</v>
      </c>
      <c r="B1368" t="s">
        <v>6216</v>
      </c>
      <c r="C1368">
        <v>2020</v>
      </c>
      <c r="D1368">
        <v>8001</v>
      </c>
      <c r="E1368">
        <v>2</v>
      </c>
      <c r="F1368" t="s">
        <v>6217</v>
      </c>
      <c r="G1368">
        <v>28772667</v>
      </c>
      <c r="J1368">
        <v>17.14</v>
      </c>
      <c r="L1368">
        <v>44858199</v>
      </c>
      <c r="M1368" s="1">
        <v>44148</v>
      </c>
      <c r="N1368" t="str">
        <f>"O201113AB1"</f>
        <v>O201113AB1</v>
      </c>
      <c r="O1368" t="s">
        <v>28</v>
      </c>
      <c r="Q1368" t="s">
        <v>29</v>
      </c>
      <c r="R1368" t="s">
        <v>28</v>
      </c>
      <c r="S1368" t="s">
        <v>6218</v>
      </c>
      <c r="T1368" t="s">
        <v>6219</v>
      </c>
      <c r="W1368" t="s">
        <v>107</v>
      </c>
      <c r="X1368" t="s">
        <v>34</v>
      </c>
      <c r="Y1368" t="str">
        <f>"77493"</f>
        <v>77493</v>
      </c>
    </row>
    <row r="1369" spans="1:25" x14ac:dyDescent="0.25">
      <c r="A1369" t="s">
        <v>6220</v>
      </c>
      <c r="B1369" t="s">
        <v>6221</v>
      </c>
      <c r="C1369">
        <v>2020</v>
      </c>
      <c r="D1369">
        <v>8001</v>
      </c>
      <c r="E1369">
        <v>1</v>
      </c>
      <c r="F1369" t="s">
        <v>6222</v>
      </c>
      <c r="G1369">
        <v>22708786</v>
      </c>
      <c r="J1369">
        <v>13.59</v>
      </c>
      <c r="L1369">
        <v>45194934</v>
      </c>
      <c r="M1369" s="1">
        <v>44174</v>
      </c>
      <c r="N1369" t="str">
        <f>"RC201217"</f>
        <v>RC201217</v>
      </c>
      <c r="O1369" t="s">
        <v>28</v>
      </c>
      <c r="Q1369" t="s">
        <v>29</v>
      </c>
      <c r="R1369" t="s">
        <v>28</v>
      </c>
      <c r="S1369" t="s">
        <v>6222</v>
      </c>
      <c r="T1369" t="s">
        <v>6223</v>
      </c>
      <c r="W1369" t="s">
        <v>81</v>
      </c>
      <c r="X1369" t="s">
        <v>34</v>
      </c>
      <c r="Y1369" t="str">
        <f>"77407"</f>
        <v>77407</v>
      </c>
    </row>
    <row r="1370" spans="1:25" x14ac:dyDescent="0.25">
      <c r="A1370" t="s">
        <v>6224</v>
      </c>
      <c r="B1370" t="s">
        <v>6225</v>
      </c>
      <c r="C1370">
        <v>2021</v>
      </c>
      <c r="D1370">
        <v>8001</v>
      </c>
      <c r="E1370">
        <v>1</v>
      </c>
      <c r="F1370" t="s">
        <v>6226</v>
      </c>
      <c r="G1370">
        <v>1390852</v>
      </c>
      <c r="J1370">
        <v>105.83</v>
      </c>
      <c r="L1370">
        <v>49496382</v>
      </c>
      <c r="M1370" s="1">
        <v>44586</v>
      </c>
      <c r="N1370" t="str">
        <f>"RC220309"</f>
        <v>RC220309</v>
      </c>
      <c r="O1370" t="s">
        <v>28</v>
      </c>
      <c r="Q1370" t="s">
        <v>29</v>
      </c>
      <c r="R1370" t="s">
        <v>28</v>
      </c>
      <c r="S1370" t="s">
        <v>6227</v>
      </c>
      <c r="T1370" t="s">
        <v>6228</v>
      </c>
      <c r="W1370" t="s">
        <v>6229</v>
      </c>
      <c r="X1370" t="s">
        <v>34</v>
      </c>
      <c r="Y1370" t="str">
        <f>"97228"</f>
        <v>97228</v>
      </c>
    </row>
    <row r="1371" spans="1:25" x14ac:dyDescent="0.25">
      <c r="A1371" t="s">
        <v>6230</v>
      </c>
      <c r="B1371" t="s">
        <v>6231</v>
      </c>
      <c r="C1371">
        <v>2018</v>
      </c>
      <c r="D1371">
        <v>8001</v>
      </c>
      <c r="E1371">
        <v>4</v>
      </c>
      <c r="F1371" t="s">
        <v>6232</v>
      </c>
      <c r="G1371">
        <v>0</v>
      </c>
      <c r="J1371">
        <v>129.08000000000001</v>
      </c>
      <c r="L1371">
        <v>41209884</v>
      </c>
      <c r="M1371" s="1">
        <v>43605</v>
      </c>
      <c r="N1371" t="str">
        <f>"J190520B1"</f>
        <v>J190520B1</v>
      </c>
      <c r="O1371" t="s">
        <v>28</v>
      </c>
      <c r="Q1371" t="s">
        <v>29</v>
      </c>
      <c r="R1371" t="s">
        <v>28</v>
      </c>
      <c r="S1371" t="s">
        <v>6232</v>
      </c>
      <c r="T1371" t="s">
        <v>6233</v>
      </c>
      <c r="U1371" t="s">
        <v>60</v>
      </c>
      <c r="V1371" t="s">
        <v>60</v>
      </c>
      <c r="W1371" t="s">
        <v>135</v>
      </c>
      <c r="X1371" t="s">
        <v>34</v>
      </c>
      <c r="Y1371" t="str">
        <f>"770532134   "</f>
        <v xml:space="preserve">770532134   </v>
      </c>
    </row>
    <row r="1372" spans="1:25" x14ac:dyDescent="0.25">
      <c r="A1372" t="s">
        <v>6234</v>
      </c>
      <c r="B1372" t="s">
        <v>6235</v>
      </c>
      <c r="C1372">
        <v>2018</v>
      </c>
      <c r="D1372">
        <v>8001</v>
      </c>
      <c r="E1372">
        <v>1</v>
      </c>
      <c r="F1372" t="s">
        <v>6236</v>
      </c>
      <c r="G1372">
        <v>0</v>
      </c>
      <c r="J1372">
        <v>6.29</v>
      </c>
      <c r="L1372">
        <v>40871538</v>
      </c>
      <c r="M1372" s="1">
        <v>43525</v>
      </c>
      <c r="N1372" t="str">
        <f>"L190301"</f>
        <v>L190301</v>
      </c>
      <c r="O1372" t="s">
        <v>28</v>
      </c>
      <c r="Q1372" t="s">
        <v>29</v>
      </c>
      <c r="R1372" t="s">
        <v>28</v>
      </c>
      <c r="S1372" t="s">
        <v>6236</v>
      </c>
      <c r="T1372" t="s">
        <v>6237</v>
      </c>
      <c r="U1372" t="s">
        <v>60</v>
      </c>
      <c r="V1372" t="s">
        <v>60</v>
      </c>
      <c r="W1372" t="s">
        <v>1333</v>
      </c>
      <c r="X1372" t="s">
        <v>34</v>
      </c>
      <c r="Y1372" t="str">
        <f>"77459       "</f>
        <v xml:space="preserve">77459       </v>
      </c>
    </row>
    <row r="1373" spans="1:25" x14ac:dyDescent="0.25">
      <c r="A1373" t="s">
        <v>6238</v>
      </c>
      <c r="B1373" t="s">
        <v>6239</v>
      </c>
      <c r="C1373">
        <v>2019</v>
      </c>
      <c r="D1373">
        <v>8001</v>
      </c>
      <c r="E1373">
        <v>1</v>
      </c>
      <c r="F1373" t="s">
        <v>6240</v>
      </c>
      <c r="G1373">
        <v>0</v>
      </c>
      <c r="J1373">
        <v>14.58</v>
      </c>
      <c r="L1373">
        <v>42019038</v>
      </c>
      <c r="M1373" s="1">
        <v>43795</v>
      </c>
      <c r="N1373" t="str">
        <f>"L191126"</f>
        <v>L191126</v>
      </c>
      <c r="O1373" t="s">
        <v>28</v>
      </c>
      <c r="Q1373" t="s">
        <v>29</v>
      </c>
      <c r="R1373" t="s">
        <v>28</v>
      </c>
      <c r="S1373" t="s">
        <v>6240</v>
      </c>
      <c r="T1373" t="s">
        <v>6241</v>
      </c>
      <c r="U1373" t="s">
        <v>60</v>
      </c>
      <c r="V1373" t="s">
        <v>60</v>
      </c>
      <c r="W1373" t="s">
        <v>135</v>
      </c>
      <c r="X1373" t="s">
        <v>34</v>
      </c>
      <c r="Y1373" t="str">
        <f>"770964610   "</f>
        <v xml:space="preserve">770964610   </v>
      </c>
    </row>
    <row r="1374" spans="1:25" x14ac:dyDescent="0.25">
      <c r="A1374" t="s">
        <v>6242</v>
      </c>
      <c r="B1374" t="s">
        <v>6243</v>
      </c>
      <c r="C1374">
        <v>2019</v>
      </c>
      <c r="D1374">
        <v>8001</v>
      </c>
      <c r="E1374">
        <v>4</v>
      </c>
      <c r="F1374" t="s">
        <v>6244</v>
      </c>
      <c r="G1374">
        <v>24965414</v>
      </c>
      <c r="J1374">
        <v>146.65</v>
      </c>
      <c r="L1374">
        <v>43909346</v>
      </c>
      <c r="M1374" s="1">
        <v>43899</v>
      </c>
      <c r="N1374" t="str">
        <f>"J200309AW5"</f>
        <v>J200309AW5</v>
      </c>
      <c r="O1374" t="s">
        <v>28</v>
      </c>
      <c r="Q1374" t="s">
        <v>29</v>
      </c>
      <c r="R1374" t="s">
        <v>28</v>
      </c>
      <c r="S1374" t="s">
        <v>6245</v>
      </c>
      <c r="T1374" t="s">
        <v>6246</v>
      </c>
      <c r="W1374" t="s">
        <v>392</v>
      </c>
      <c r="X1374" t="s">
        <v>34</v>
      </c>
      <c r="Y1374" t="str">
        <f>"774596232"</f>
        <v>774596232</v>
      </c>
    </row>
    <row r="1375" spans="1:25" x14ac:dyDescent="0.25">
      <c r="A1375" t="s">
        <v>6247</v>
      </c>
      <c r="B1375" t="s">
        <v>6248</v>
      </c>
      <c r="C1375">
        <v>2018</v>
      </c>
      <c r="D1375">
        <v>8001</v>
      </c>
      <c r="E1375">
        <v>3</v>
      </c>
      <c r="F1375" t="s">
        <v>6249</v>
      </c>
      <c r="G1375">
        <v>27291031</v>
      </c>
      <c r="J1375">
        <v>17.989999999999998</v>
      </c>
      <c r="L1375">
        <v>41182660</v>
      </c>
      <c r="M1375" s="1">
        <v>43594</v>
      </c>
      <c r="N1375" t="str">
        <f>"R190509E1"</f>
        <v>R190509E1</v>
      </c>
      <c r="O1375" t="s">
        <v>28</v>
      </c>
      <c r="Q1375" t="s">
        <v>29</v>
      </c>
      <c r="R1375" t="s">
        <v>28</v>
      </c>
      <c r="S1375" t="s">
        <v>6249</v>
      </c>
      <c r="T1375" t="s">
        <v>6250</v>
      </c>
      <c r="U1375" t="s">
        <v>6251</v>
      </c>
      <c r="W1375" t="s">
        <v>40</v>
      </c>
      <c r="X1375" t="s">
        <v>34</v>
      </c>
      <c r="Y1375" t="str">
        <f>"77479"</f>
        <v>77479</v>
      </c>
    </row>
    <row r="1376" spans="1:25" x14ac:dyDescent="0.25">
      <c r="A1376" t="s">
        <v>6252</v>
      </c>
      <c r="B1376" t="s">
        <v>6253</v>
      </c>
      <c r="C1376">
        <v>2020</v>
      </c>
      <c r="D1376">
        <v>8001</v>
      </c>
      <c r="E1376">
        <v>3</v>
      </c>
      <c r="F1376" t="s">
        <v>6254</v>
      </c>
      <c r="G1376">
        <v>27719850</v>
      </c>
      <c r="J1376">
        <v>81.95</v>
      </c>
      <c r="L1376">
        <v>47646642</v>
      </c>
      <c r="M1376" s="1">
        <v>44405</v>
      </c>
      <c r="N1376" t="str">
        <f>"RC210809"</f>
        <v>RC210809</v>
      </c>
      <c r="O1376" t="s">
        <v>28</v>
      </c>
      <c r="Q1376" t="s">
        <v>29</v>
      </c>
      <c r="R1376" t="s">
        <v>28</v>
      </c>
      <c r="S1376" t="s">
        <v>6255</v>
      </c>
      <c r="T1376" t="s">
        <v>6256</v>
      </c>
      <c r="U1376" t="s">
        <v>6257</v>
      </c>
      <c r="W1376" t="s">
        <v>75</v>
      </c>
      <c r="X1376" t="s">
        <v>34</v>
      </c>
      <c r="Y1376" t="str">
        <f>"772450004"</f>
        <v>772450004</v>
      </c>
    </row>
    <row r="1377" spans="1:25" x14ac:dyDescent="0.25">
      <c r="A1377" t="s">
        <v>6258</v>
      </c>
      <c r="B1377" t="s">
        <v>6259</v>
      </c>
      <c r="C1377">
        <v>2019</v>
      </c>
      <c r="D1377">
        <v>8001</v>
      </c>
      <c r="E1377">
        <v>2</v>
      </c>
      <c r="F1377" t="s">
        <v>6260</v>
      </c>
      <c r="G1377">
        <v>28337634</v>
      </c>
      <c r="J1377">
        <v>27.32</v>
      </c>
      <c r="L1377">
        <v>44270647</v>
      </c>
      <c r="M1377" s="1">
        <v>43985</v>
      </c>
      <c r="N1377" t="str">
        <f>"J200603K1"</f>
        <v>J200603K1</v>
      </c>
      <c r="O1377" t="s">
        <v>28</v>
      </c>
      <c r="Q1377" t="s">
        <v>29</v>
      </c>
      <c r="R1377" t="s">
        <v>28</v>
      </c>
      <c r="S1377" t="s">
        <v>6261</v>
      </c>
      <c r="T1377" t="s">
        <v>6262</v>
      </c>
      <c r="U1377" t="s">
        <v>6263</v>
      </c>
      <c r="W1377" t="s">
        <v>392</v>
      </c>
      <c r="X1377" t="s">
        <v>34</v>
      </c>
      <c r="Y1377" t="str">
        <f>"774892602"</f>
        <v>774892602</v>
      </c>
    </row>
    <row r="1378" spans="1:25" x14ac:dyDescent="0.25">
      <c r="A1378" t="s">
        <v>6264</v>
      </c>
      <c r="B1378" t="s">
        <v>6265</v>
      </c>
      <c r="C1378">
        <v>2020</v>
      </c>
      <c r="D1378">
        <v>8001</v>
      </c>
      <c r="E1378">
        <v>2</v>
      </c>
      <c r="F1378" t="s">
        <v>6266</v>
      </c>
      <c r="G1378">
        <v>25810520</v>
      </c>
      <c r="J1378" s="2">
        <v>5977.66</v>
      </c>
      <c r="L1378">
        <v>46974471</v>
      </c>
      <c r="M1378" s="1">
        <v>44252</v>
      </c>
      <c r="N1378" t="str">
        <f>"P210225AZ1"</f>
        <v>P210225AZ1</v>
      </c>
      <c r="O1378" t="s">
        <v>28</v>
      </c>
      <c r="Q1378" t="s">
        <v>29</v>
      </c>
      <c r="R1378" t="s">
        <v>28</v>
      </c>
      <c r="S1378" t="s">
        <v>6267</v>
      </c>
      <c r="T1378" t="s">
        <v>6268</v>
      </c>
      <c r="W1378" t="s">
        <v>6269</v>
      </c>
      <c r="X1378" t="s">
        <v>34</v>
      </c>
      <c r="Y1378" t="str">
        <f>"760114310"</f>
        <v>760114310</v>
      </c>
    </row>
    <row r="1379" spans="1:25" x14ac:dyDescent="0.25">
      <c r="A1379" t="s">
        <v>6270</v>
      </c>
      <c r="B1379" t="s">
        <v>6271</v>
      </c>
      <c r="C1379">
        <v>2020</v>
      </c>
      <c r="D1379">
        <v>8001</v>
      </c>
      <c r="E1379">
        <v>2</v>
      </c>
      <c r="F1379" t="s">
        <v>6272</v>
      </c>
      <c r="G1379">
        <v>0</v>
      </c>
      <c r="J1379">
        <v>68.52</v>
      </c>
      <c r="L1379">
        <v>47705165</v>
      </c>
      <c r="M1379" s="1">
        <v>44426</v>
      </c>
      <c r="N1379" t="str">
        <f>"J210818BW1"</f>
        <v>J210818BW1</v>
      </c>
      <c r="O1379" t="s">
        <v>28</v>
      </c>
      <c r="Q1379" t="s">
        <v>29</v>
      </c>
      <c r="R1379" t="s">
        <v>28</v>
      </c>
      <c r="S1379" t="s">
        <v>6272</v>
      </c>
      <c r="T1379" t="s">
        <v>6273</v>
      </c>
      <c r="U1379" t="s">
        <v>60</v>
      </c>
      <c r="V1379" t="s">
        <v>60</v>
      </c>
      <c r="W1379" t="s">
        <v>6274</v>
      </c>
      <c r="X1379" t="s">
        <v>34</v>
      </c>
      <c r="Y1379" t="str">
        <f>"78205       "</f>
        <v xml:space="preserve">78205       </v>
      </c>
    </row>
    <row r="1380" spans="1:25" x14ac:dyDescent="0.25">
      <c r="A1380" t="s">
        <v>6275</v>
      </c>
      <c r="B1380" t="s">
        <v>6276</v>
      </c>
      <c r="C1380">
        <v>2021</v>
      </c>
      <c r="D1380">
        <v>8001</v>
      </c>
      <c r="E1380">
        <v>1</v>
      </c>
      <c r="F1380" t="s">
        <v>6277</v>
      </c>
      <c r="G1380">
        <v>0</v>
      </c>
      <c r="J1380">
        <v>6</v>
      </c>
      <c r="L1380">
        <v>49087006</v>
      </c>
      <c r="M1380" s="1">
        <v>44572</v>
      </c>
      <c r="N1380" t="str">
        <f>"J220111K3"</f>
        <v>J220111K3</v>
      </c>
      <c r="O1380" t="s">
        <v>28</v>
      </c>
      <c r="Q1380" t="s">
        <v>29</v>
      </c>
      <c r="R1380" t="s">
        <v>28</v>
      </c>
      <c r="S1380" t="s">
        <v>6277</v>
      </c>
      <c r="T1380" t="s">
        <v>6278</v>
      </c>
      <c r="U1380" t="s">
        <v>6279</v>
      </c>
      <c r="V1380" t="s">
        <v>60</v>
      </c>
      <c r="W1380" t="s">
        <v>649</v>
      </c>
      <c r="X1380" t="s">
        <v>34</v>
      </c>
      <c r="Y1380" t="str">
        <f>"774718691   "</f>
        <v xml:space="preserve">774718691   </v>
      </c>
    </row>
    <row r="1381" spans="1:25" x14ac:dyDescent="0.25">
      <c r="A1381" t="s">
        <v>6280</v>
      </c>
      <c r="B1381" t="s">
        <v>6281</v>
      </c>
      <c r="C1381">
        <v>2019</v>
      </c>
      <c r="D1381">
        <v>8001</v>
      </c>
      <c r="E1381">
        <v>2</v>
      </c>
      <c r="F1381" t="s">
        <v>6282</v>
      </c>
      <c r="G1381">
        <v>0</v>
      </c>
      <c r="J1381">
        <v>17.11</v>
      </c>
      <c r="L1381">
        <v>43885481</v>
      </c>
      <c r="M1381" s="1">
        <v>43895</v>
      </c>
      <c r="N1381" t="str">
        <f>"J200305K2"</f>
        <v>J200305K2</v>
      </c>
      <c r="O1381" t="s">
        <v>28</v>
      </c>
      <c r="Q1381" t="s">
        <v>29</v>
      </c>
      <c r="R1381" t="s">
        <v>28</v>
      </c>
      <c r="S1381" t="s">
        <v>6282</v>
      </c>
      <c r="T1381" t="s">
        <v>6283</v>
      </c>
      <c r="U1381" t="s">
        <v>6284</v>
      </c>
      <c r="V1381" t="s">
        <v>60</v>
      </c>
      <c r="W1381" t="s">
        <v>135</v>
      </c>
      <c r="X1381" t="s">
        <v>34</v>
      </c>
      <c r="Y1381" t="str">
        <f>"770533659   "</f>
        <v xml:space="preserve">770533659   </v>
      </c>
    </row>
    <row r="1382" spans="1:25" x14ac:dyDescent="0.25">
      <c r="A1382" t="s">
        <v>6285</v>
      </c>
      <c r="B1382" t="s">
        <v>6286</v>
      </c>
      <c r="C1382">
        <v>2019</v>
      </c>
      <c r="D1382">
        <v>8001</v>
      </c>
      <c r="E1382">
        <v>1</v>
      </c>
      <c r="F1382" t="s">
        <v>6287</v>
      </c>
      <c r="G1382">
        <v>0</v>
      </c>
      <c r="J1382">
        <v>23.45</v>
      </c>
      <c r="L1382">
        <v>44284805</v>
      </c>
      <c r="M1382" s="1">
        <v>43990</v>
      </c>
      <c r="N1382" t="str">
        <f>"J200608K2"</f>
        <v>J200608K2</v>
      </c>
      <c r="O1382" t="s">
        <v>28</v>
      </c>
      <c r="Q1382" t="s">
        <v>29</v>
      </c>
      <c r="R1382" t="s">
        <v>28</v>
      </c>
      <c r="S1382" t="s">
        <v>6287</v>
      </c>
      <c r="T1382" t="s">
        <v>6288</v>
      </c>
      <c r="U1382" t="s">
        <v>60</v>
      </c>
      <c r="V1382" t="s">
        <v>60</v>
      </c>
      <c r="W1382" t="s">
        <v>1137</v>
      </c>
      <c r="X1382" t="s">
        <v>34</v>
      </c>
      <c r="Y1382" t="str">
        <f>"774944403   "</f>
        <v xml:space="preserve">774944403   </v>
      </c>
    </row>
    <row r="1383" spans="1:25" x14ac:dyDescent="0.25">
      <c r="A1383" t="s">
        <v>6289</v>
      </c>
      <c r="B1383" t="s">
        <v>6290</v>
      </c>
      <c r="C1383">
        <v>2018</v>
      </c>
      <c r="D1383">
        <v>8001</v>
      </c>
      <c r="E1383">
        <v>5</v>
      </c>
      <c r="F1383" t="s">
        <v>6291</v>
      </c>
      <c r="G1383">
        <v>26101300</v>
      </c>
      <c r="J1383">
        <v>7.33</v>
      </c>
      <c r="L1383">
        <v>41210782</v>
      </c>
      <c r="M1383" s="1">
        <v>43605</v>
      </c>
      <c r="N1383" t="str">
        <f>"R190520E1"</f>
        <v>R190520E1</v>
      </c>
      <c r="O1383" t="s">
        <v>28</v>
      </c>
      <c r="Q1383" t="s">
        <v>29</v>
      </c>
      <c r="R1383" t="s">
        <v>28</v>
      </c>
      <c r="S1383" t="s">
        <v>6292</v>
      </c>
      <c r="T1383" t="s">
        <v>6293</v>
      </c>
      <c r="W1383" t="s">
        <v>40</v>
      </c>
      <c r="X1383" t="s">
        <v>34</v>
      </c>
      <c r="Y1383" t="str">
        <f>"77498"</f>
        <v>77498</v>
      </c>
    </row>
    <row r="1384" spans="1:25" x14ac:dyDescent="0.25">
      <c r="A1384" t="s">
        <v>6294</v>
      </c>
      <c r="B1384" t="s">
        <v>6295</v>
      </c>
      <c r="C1384">
        <v>2020</v>
      </c>
      <c r="D1384">
        <v>8001</v>
      </c>
      <c r="E1384">
        <v>2</v>
      </c>
      <c r="F1384" t="s">
        <v>6296</v>
      </c>
      <c r="G1384">
        <v>29742357</v>
      </c>
      <c r="J1384" s="2">
        <v>1941.34</v>
      </c>
      <c r="L1384">
        <v>47220017</v>
      </c>
      <c r="M1384" s="1">
        <v>44286</v>
      </c>
      <c r="N1384" t="str">
        <f>"RC210414"</f>
        <v>RC210414</v>
      </c>
      <c r="O1384" t="s">
        <v>28</v>
      </c>
      <c r="Q1384" t="s">
        <v>29</v>
      </c>
      <c r="R1384" t="s">
        <v>28</v>
      </c>
      <c r="S1384" t="s">
        <v>6123</v>
      </c>
      <c r="T1384" t="s">
        <v>6297</v>
      </c>
      <c r="U1384" t="s">
        <v>6298</v>
      </c>
      <c r="W1384" t="s">
        <v>226</v>
      </c>
      <c r="X1384" t="s">
        <v>227</v>
      </c>
      <c r="Y1384" t="str">
        <f>"85254"</f>
        <v>85254</v>
      </c>
    </row>
    <row r="1385" spans="1:25" x14ac:dyDescent="0.25">
      <c r="A1385" t="s">
        <v>6299</v>
      </c>
      <c r="B1385" t="s">
        <v>6300</v>
      </c>
      <c r="C1385">
        <v>2020</v>
      </c>
      <c r="D1385">
        <v>8001</v>
      </c>
      <c r="E1385">
        <v>1</v>
      </c>
      <c r="F1385" t="s">
        <v>6301</v>
      </c>
      <c r="G1385">
        <v>29596073</v>
      </c>
      <c r="J1385">
        <v>95.08</v>
      </c>
      <c r="L1385">
        <v>47018842</v>
      </c>
      <c r="M1385" s="1">
        <v>44258</v>
      </c>
      <c r="N1385" t="str">
        <f>"EK210303"</f>
        <v>EK210303</v>
      </c>
      <c r="O1385" t="s">
        <v>28</v>
      </c>
      <c r="Q1385" t="s">
        <v>29</v>
      </c>
      <c r="R1385" t="s">
        <v>28</v>
      </c>
      <c r="S1385" t="s">
        <v>6302</v>
      </c>
      <c r="T1385" t="s">
        <v>6303</v>
      </c>
      <c r="W1385" t="s">
        <v>81</v>
      </c>
      <c r="X1385" t="s">
        <v>34</v>
      </c>
      <c r="Y1385" t="str">
        <f>"77406"</f>
        <v>77406</v>
      </c>
    </row>
    <row r="1386" spans="1:25" x14ac:dyDescent="0.25">
      <c r="A1386" t="s">
        <v>6304</v>
      </c>
      <c r="B1386" t="s">
        <v>6305</v>
      </c>
      <c r="C1386">
        <v>2020</v>
      </c>
      <c r="D1386">
        <v>8001</v>
      </c>
      <c r="E1386">
        <v>3</v>
      </c>
      <c r="F1386" t="s">
        <v>6306</v>
      </c>
      <c r="G1386">
        <v>0</v>
      </c>
      <c r="J1386">
        <v>43.56</v>
      </c>
      <c r="L1386">
        <v>47737600</v>
      </c>
      <c r="M1386" s="1">
        <v>44447</v>
      </c>
      <c r="N1386" t="str">
        <f>"O210908AB1"</f>
        <v>O210908AB1</v>
      </c>
      <c r="O1386" t="s">
        <v>28</v>
      </c>
      <c r="Q1386" t="s">
        <v>29</v>
      </c>
      <c r="R1386" t="s">
        <v>28</v>
      </c>
      <c r="S1386" t="s">
        <v>6306</v>
      </c>
      <c r="T1386" t="s">
        <v>6307</v>
      </c>
      <c r="U1386" t="s">
        <v>60</v>
      </c>
      <c r="V1386" t="s">
        <v>60</v>
      </c>
      <c r="W1386" t="s">
        <v>6308</v>
      </c>
      <c r="X1386" t="s">
        <v>317</v>
      </c>
      <c r="Y1386" t="str">
        <f>"900645088   "</f>
        <v xml:space="preserve">900645088   </v>
      </c>
    </row>
    <row r="1387" spans="1:25" x14ac:dyDescent="0.25">
      <c r="A1387" t="s">
        <v>6309</v>
      </c>
      <c r="B1387" t="s">
        <v>6310</v>
      </c>
      <c r="C1387">
        <v>2020</v>
      </c>
      <c r="D1387">
        <v>8001</v>
      </c>
      <c r="E1387">
        <v>1</v>
      </c>
      <c r="F1387" t="s">
        <v>6311</v>
      </c>
      <c r="G1387">
        <v>29859271</v>
      </c>
      <c r="J1387">
        <v>6.83</v>
      </c>
      <c r="L1387">
        <v>47500770</v>
      </c>
      <c r="M1387" s="1">
        <v>44351</v>
      </c>
      <c r="N1387" t="str">
        <f>"CC210604"</f>
        <v>CC210604</v>
      </c>
      <c r="O1387" t="s">
        <v>28</v>
      </c>
      <c r="Q1387" t="s">
        <v>29</v>
      </c>
      <c r="R1387" t="s">
        <v>28</v>
      </c>
      <c r="S1387" t="s">
        <v>6312</v>
      </c>
      <c r="T1387" t="s">
        <v>6313</v>
      </c>
      <c r="W1387" t="s">
        <v>193</v>
      </c>
      <c r="X1387" t="s">
        <v>34</v>
      </c>
      <c r="Y1387" t="str">
        <f>"77441"</f>
        <v>77441</v>
      </c>
    </row>
    <row r="1388" spans="1:25" x14ac:dyDescent="0.25">
      <c r="A1388" t="s">
        <v>6314</v>
      </c>
      <c r="B1388" t="s">
        <v>6315</v>
      </c>
      <c r="C1388">
        <v>2020</v>
      </c>
      <c r="D1388">
        <v>8001</v>
      </c>
      <c r="E1388">
        <v>1</v>
      </c>
      <c r="F1388" t="s">
        <v>6316</v>
      </c>
      <c r="G1388">
        <v>27143412</v>
      </c>
      <c r="J1388">
        <v>10.72</v>
      </c>
      <c r="L1388">
        <v>45192909</v>
      </c>
      <c r="M1388" s="1">
        <v>44174</v>
      </c>
      <c r="N1388" t="str">
        <f>"RC201217"</f>
        <v>RC201217</v>
      </c>
      <c r="O1388" t="s">
        <v>28</v>
      </c>
      <c r="Q1388" t="s">
        <v>29</v>
      </c>
      <c r="R1388" t="s">
        <v>28</v>
      </c>
      <c r="S1388" t="s">
        <v>6317</v>
      </c>
      <c r="T1388" t="s">
        <v>6318</v>
      </c>
      <c r="W1388" t="s">
        <v>75</v>
      </c>
      <c r="X1388" t="s">
        <v>34</v>
      </c>
      <c r="Y1388" t="str">
        <f>"770532149"</f>
        <v>770532149</v>
      </c>
    </row>
    <row r="1389" spans="1:25" x14ac:dyDescent="0.25">
      <c r="A1389" t="s">
        <v>6319</v>
      </c>
      <c r="B1389" t="s">
        <v>6320</v>
      </c>
      <c r="C1389">
        <v>2018</v>
      </c>
      <c r="D1389">
        <v>8001</v>
      </c>
      <c r="E1389">
        <v>2</v>
      </c>
      <c r="F1389" t="s">
        <v>6321</v>
      </c>
      <c r="G1389">
        <v>25358982</v>
      </c>
      <c r="J1389">
        <v>126.19</v>
      </c>
      <c r="L1389">
        <v>41072159</v>
      </c>
      <c r="M1389" s="1">
        <v>43559</v>
      </c>
      <c r="N1389" t="str">
        <f>"J190404K3"</f>
        <v>J190404K3</v>
      </c>
      <c r="O1389" t="s">
        <v>28</v>
      </c>
      <c r="Q1389" t="s">
        <v>29</v>
      </c>
      <c r="R1389" t="s">
        <v>28</v>
      </c>
      <c r="S1389" t="s">
        <v>363</v>
      </c>
      <c r="T1389" t="s">
        <v>6322</v>
      </c>
      <c r="W1389" t="s">
        <v>226</v>
      </c>
      <c r="X1389" t="s">
        <v>227</v>
      </c>
      <c r="Y1389" t="str">
        <f>"85258"</f>
        <v>85258</v>
      </c>
    </row>
    <row r="1390" spans="1:25" x14ac:dyDescent="0.25">
      <c r="A1390" t="s">
        <v>6323</v>
      </c>
      <c r="B1390" t="s">
        <v>6324</v>
      </c>
      <c r="C1390">
        <v>2019</v>
      </c>
      <c r="D1390">
        <v>8001</v>
      </c>
      <c r="E1390">
        <v>1</v>
      </c>
      <c r="F1390" t="s">
        <v>6325</v>
      </c>
      <c r="G1390">
        <v>21634705</v>
      </c>
      <c r="J1390">
        <v>7.12</v>
      </c>
      <c r="L1390">
        <v>43907845</v>
      </c>
      <c r="M1390" s="1">
        <v>43899</v>
      </c>
      <c r="N1390" t="str">
        <f>"J200309AW1"</f>
        <v>J200309AW1</v>
      </c>
      <c r="O1390" t="s">
        <v>28</v>
      </c>
      <c r="Q1390" t="s">
        <v>29</v>
      </c>
      <c r="R1390" t="s">
        <v>28</v>
      </c>
      <c r="S1390" t="s">
        <v>6326</v>
      </c>
      <c r="T1390" t="s">
        <v>6327</v>
      </c>
      <c r="W1390" t="s">
        <v>81</v>
      </c>
      <c r="X1390" t="s">
        <v>34</v>
      </c>
      <c r="Y1390" t="str">
        <f>"77406"</f>
        <v>77406</v>
      </c>
    </row>
    <row r="1391" spans="1:25" x14ac:dyDescent="0.25">
      <c r="A1391" t="s">
        <v>6328</v>
      </c>
      <c r="B1391" t="s">
        <v>6329</v>
      </c>
      <c r="C1391">
        <v>2020</v>
      </c>
      <c r="D1391">
        <v>8001</v>
      </c>
      <c r="E1391">
        <v>1</v>
      </c>
      <c r="F1391" t="s">
        <v>6330</v>
      </c>
      <c r="G1391">
        <v>0</v>
      </c>
      <c r="J1391">
        <v>65.67</v>
      </c>
      <c r="L1391">
        <v>47055309</v>
      </c>
      <c r="M1391" s="1">
        <v>44263</v>
      </c>
      <c r="N1391" t="str">
        <f>"L210308"</f>
        <v>L210308</v>
      </c>
      <c r="O1391" t="s">
        <v>28</v>
      </c>
      <c r="Q1391" t="s">
        <v>29</v>
      </c>
      <c r="R1391" t="s">
        <v>28</v>
      </c>
      <c r="S1391" t="s">
        <v>6330</v>
      </c>
      <c r="T1391" t="s">
        <v>6331</v>
      </c>
      <c r="U1391" t="s">
        <v>6332</v>
      </c>
      <c r="V1391" t="s">
        <v>60</v>
      </c>
      <c r="W1391" t="s">
        <v>1137</v>
      </c>
      <c r="X1391" t="s">
        <v>34</v>
      </c>
      <c r="Y1391" t="str">
        <f>"774920654   "</f>
        <v xml:space="preserve">774920654   </v>
      </c>
    </row>
    <row r="1392" spans="1:25" x14ac:dyDescent="0.25">
      <c r="A1392" t="s">
        <v>6333</v>
      </c>
      <c r="B1392" t="s">
        <v>6334</v>
      </c>
      <c r="C1392">
        <v>2021</v>
      </c>
      <c r="D1392">
        <v>8001</v>
      </c>
      <c r="E1392">
        <v>1</v>
      </c>
      <c r="F1392" t="s">
        <v>6335</v>
      </c>
      <c r="G1392">
        <v>25519900</v>
      </c>
      <c r="J1392">
        <v>28.09</v>
      </c>
      <c r="L1392">
        <v>50090004</v>
      </c>
      <c r="M1392" s="1">
        <v>44600</v>
      </c>
      <c r="N1392" t="str">
        <f>"RC220315"</f>
        <v>RC220315</v>
      </c>
      <c r="O1392" t="s">
        <v>28</v>
      </c>
      <c r="Q1392" t="s">
        <v>29</v>
      </c>
      <c r="R1392" t="s">
        <v>28</v>
      </c>
      <c r="S1392" t="s">
        <v>6336</v>
      </c>
      <c r="T1392" t="s">
        <v>6337</v>
      </c>
      <c r="W1392" t="s">
        <v>618</v>
      </c>
      <c r="X1392" t="s">
        <v>34</v>
      </c>
      <c r="Y1392" t="str">
        <f>"774618425"</f>
        <v>774618425</v>
      </c>
    </row>
    <row r="1393" spans="1:25" x14ac:dyDescent="0.25">
      <c r="A1393" t="s">
        <v>6338</v>
      </c>
      <c r="B1393" t="s">
        <v>6339</v>
      </c>
      <c r="C1393">
        <v>2021</v>
      </c>
      <c r="D1393">
        <v>8001</v>
      </c>
      <c r="E1393">
        <v>1</v>
      </c>
      <c r="F1393" t="s">
        <v>6340</v>
      </c>
      <c r="G1393">
        <v>0</v>
      </c>
      <c r="J1393">
        <v>39.19</v>
      </c>
      <c r="L1393">
        <v>48846000</v>
      </c>
      <c r="M1393" s="1">
        <v>44564</v>
      </c>
      <c r="N1393" t="str">
        <f>"L220103"</f>
        <v>L220103</v>
      </c>
      <c r="O1393" t="s">
        <v>28</v>
      </c>
      <c r="Q1393" t="s">
        <v>29</v>
      </c>
      <c r="R1393" t="s">
        <v>28</v>
      </c>
      <c r="S1393" t="s">
        <v>6340</v>
      </c>
      <c r="T1393" t="s">
        <v>6341</v>
      </c>
      <c r="U1393" t="s">
        <v>60</v>
      </c>
      <c r="V1393" t="s">
        <v>60</v>
      </c>
      <c r="W1393" t="s">
        <v>219</v>
      </c>
      <c r="X1393" t="s">
        <v>34</v>
      </c>
      <c r="Y1393" t="str">
        <f>"774783554   "</f>
        <v xml:space="preserve">774783554   </v>
      </c>
    </row>
    <row r="1394" spans="1:25" x14ac:dyDescent="0.25">
      <c r="A1394" t="s">
        <v>6342</v>
      </c>
      <c r="B1394" t="s">
        <v>6343</v>
      </c>
      <c r="C1394">
        <v>2020</v>
      </c>
      <c r="D1394">
        <v>8001</v>
      </c>
      <c r="E1394">
        <v>1</v>
      </c>
      <c r="F1394" t="s">
        <v>6344</v>
      </c>
      <c r="G1394">
        <v>0</v>
      </c>
      <c r="J1394">
        <v>204.68</v>
      </c>
      <c r="L1394">
        <v>45525220</v>
      </c>
      <c r="M1394" s="1">
        <v>44194</v>
      </c>
      <c r="N1394" t="str">
        <f>"EL201229"</f>
        <v>EL201229</v>
      </c>
      <c r="O1394" t="s">
        <v>28</v>
      </c>
      <c r="Q1394" t="s">
        <v>29</v>
      </c>
      <c r="R1394" t="s">
        <v>28</v>
      </c>
      <c r="S1394" t="s">
        <v>6344</v>
      </c>
      <c r="T1394" t="s">
        <v>6345</v>
      </c>
      <c r="U1394" t="s">
        <v>6346</v>
      </c>
      <c r="V1394" t="s">
        <v>60</v>
      </c>
      <c r="W1394" t="s">
        <v>273</v>
      </c>
      <c r="X1394" t="s">
        <v>34</v>
      </c>
      <c r="Y1394" t="str">
        <f>"774411514   "</f>
        <v xml:space="preserve">774411514   </v>
      </c>
    </row>
    <row r="1395" spans="1:25" x14ac:dyDescent="0.25">
      <c r="A1395" t="s">
        <v>6347</v>
      </c>
      <c r="B1395" t="s">
        <v>6348</v>
      </c>
      <c r="C1395">
        <v>2020</v>
      </c>
      <c r="D1395">
        <v>8001</v>
      </c>
      <c r="E1395">
        <v>1</v>
      </c>
      <c r="F1395" t="s">
        <v>6349</v>
      </c>
      <c r="G1395">
        <v>29137164</v>
      </c>
      <c r="J1395">
        <v>8.09</v>
      </c>
      <c r="L1395">
        <v>45708232</v>
      </c>
      <c r="M1395" s="1">
        <v>44201</v>
      </c>
      <c r="N1395" t="str">
        <f>"RC210120"</f>
        <v>RC210120</v>
      </c>
      <c r="O1395" t="s">
        <v>28</v>
      </c>
      <c r="Q1395" t="s">
        <v>29</v>
      </c>
      <c r="R1395" t="s">
        <v>28</v>
      </c>
      <c r="S1395" t="s">
        <v>6349</v>
      </c>
      <c r="T1395" t="s">
        <v>6350</v>
      </c>
      <c r="W1395" t="s">
        <v>193</v>
      </c>
      <c r="X1395" t="s">
        <v>34</v>
      </c>
      <c r="Y1395" t="str">
        <f>"77441"</f>
        <v>77441</v>
      </c>
    </row>
    <row r="1396" spans="1:25" x14ac:dyDescent="0.25">
      <c r="A1396" t="s">
        <v>6351</v>
      </c>
      <c r="B1396" t="s">
        <v>6352</v>
      </c>
      <c r="C1396">
        <v>2020</v>
      </c>
      <c r="D1396">
        <v>8001</v>
      </c>
      <c r="E1396">
        <v>3</v>
      </c>
      <c r="F1396" t="s">
        <v>6353</v>
      </c>
      <c r="G1396">
        <v>30081991</v>
      </c>
      <c r="J1396">
        <v>14.5</v>
      </c>
      <c r="L1396">
        <v>47939666</v>
      </c>
      <c r="M1396" s="1">
        <v>44502</v>
      </c>
      <c r="N1396" t="str">
        <f>"CC211102"</f>
        <v>CC211102</v>
      </c>
      <c r="O1396" t="s">
        <v>28</v>
      </c>
      <c r="Q1396" t="s">
        <v>29</v>
      </c>
      <c r="R1396" t="s">
        <v>28</v>
      </c>
      <c r="S1396" t="s">
        <v>3744</v>
      </c>
      <c r="T1396" t="s">
        <v>3745</v>
      </c>
      <c r="W1396" t="s">
        <v>392</v>
      </c>
      <c r="X1396" t="s">
        <v>34</v>
      </c>
      <c r="Y1396" t="str">
        <f>"77489"</f>
        <v>77489</v>
      </c>
    </row>
    <row r="1397" spans="1:25" x14ac:dyDescent="0.25">
      <c r="A1397" t="s">
        <v>6354</v>
      </c>
      <c r="B1397" t="s">
        <v>6355</v>
      </c>
      <c r="C1397">
        <v>2020</v>
      </c>
      <c r="D1397">
        <v>8001</v>
      </c>
      <c r="E1397">
        <v>1</v>
      </c>
      <c r="F1397" t="s">
        <v>6356</v>
      </c>
      <c r="G1397">
        <v>29461890</v>
      </c>
      <c r="J1397">
        <v>34.58</v>
      </c>
      <c r="L1397">
        <v>46728890</v>
      </c>
      <c r="M1397" s="1">
        <v>44230</v>
      </c>
      <c r="N1397" t="str">
        <f>"EK210203"</f>
        <v>EK210203</v>
      </c>
      <c r="O1397" t="s">
        <v>28</v>
      </c>
      <c r="Q1397" t="s">
        <v>29</v>
      </c>
      <c r="R1397" t="s">
        <v>28</v>
      </c>
      <c r="S1397" t="s">
        <v>6357</v>
      </c>
      <c r="T1397" t="s">
        <v>6358</v>
      </c>
      <c r="W1397" t="s">
        <v>727</v>
      </c>
      <c r="X1397" t="s">
        <v>34</v>
      </c>
      <c r="Y1397" t="str">
        <f>"77583"</f>
        <v>77583</v>
      </c>
    </row>
    <row r="1398" spans="1:25" x14ac:dyDescent="0.25">
      <c r="A1398" t="s">
        <v>6359</v>
      </c>
      <c r="B1398" t="s">
        <v>6360</v>
      </c>
      <c r="C1398">
        <v>2020</v>
      </c>
      <c r="D1398">
        <v>8001</v>
      </c>
      <c r="E1398">
        <v>1</v>
      </c>
      <c r="F1398" t="s">
        <v>6361</v>
      </c>
      <c r="G1398">
        <v>0</v>
      </c>
      <c r="J1398">
        <v>13.28</v>
      </c>
      <c r="L1398">
        <v>46880570</v>
      </c>
      <c r="M1398" s="1">
        <v>44236</v>
      </c>
      <c r="N1398" t="str">
        <f>"J210209K5"</f>
        <v>J210209K5</v>
      </c>
      <c r="O1398" t="s">
        <v>28</v>
      </c>
      <c r="Q1398" t="s">
        <v>29</v>
      </c>
      <c r="R1398" t="s">
        <v>28</v>
      </c>
      <c r="S1398" t="s">
        <v>3251</v>
      </c>
      <c r="T1398" t="s">
        <v>3252</v>
      </c>
      <c r="U1398" t="s">
        <v>60</v>
      </c>
      <c r="V1398" t="s">
        <v>60</v>
      </c>
      <c r="W1398" t="s">
        <v>214</v>
      </c>
      <c r="X1398" t="s">
        <v>34</v>
      </c>
      <c r="Y1398" t="str">
        <f>"774692524   "</f>
        <v xml:space="preserve">774692524   </v>
      </c>
    </row>
    <row r="1399" spans="1:25" x14ac:dyDescent="0.25">
      <c r="A1399" t="s">
        <v>6362</v>
      </c>
      <c r="B1399" t="s">
        <v>6363</v>
      </c>
      <c r="C1399">
        <v>2020</v>
      </c>
      <c r="D1399">
        <v>8001</v>
      </c>
      <c r="E1399">
        <v>1</v>
      </c>
      <c r="F1399" t="s">
        <v>6364</v>
      </c>
      <c r="G1399">
        <v>0</v>
      </c>
      <c r="J1399">
        <v>22.67</v>
      </c>
      <c r="L1399">
        <v>47046475</v>
      </c>
      <c r="M1399" s="1">
        <v>44260</v>
      </c>
      <c r="N1399" t="str">
        <f>"J210305BW6"</f>
        <v>J210305BW6</v>
      </c>
      <c r="O1399" t="s">
        <v>28</v>
      </c>
      <c r="Q1399" t="s">
        <v>29</v>
      </c>
      <c r="R1399" t="s">
        <v>28</v>
      </c>
      <c r="S1399" t="s">
        <v>6364</v>
      </c>
      <c r="T1399" t="s">
        <v>6365</v>
      </c>
      <c r="U1399" t="s">
        <v>6366</v>
      </c>
      <c r="V1399" t="s">
        <v>60</v>
      </c>
      <c r="W1399" t="s">
        <v>376</v>
      </c>
      <c r="X1399" t="s">
        <v>34</v>
      </c>
      <c r="Y1399" t="str">
        <f>"774775511   "</f>
        <v xml:space="preserve">774775511   </v>
      </c>
    </row>
    <row r="1400" spans="1:25" x14ac:dyDescent="0.25">
      <c r="A1400" t="s">
        <v>6367</v>
      </c>
      <c r="B1400" t="s">
        <v>6368</v>
      </c>
      <c r="C1400">
        <v>2020</v>
      </c>
      <c r="D1400">
        <v>8001</v>
      </c>
      <c r="E1400">
        <v>1</v>
      </c>
      <c r="F1400" t="s">
        <v>6369</v>
      </c>
      <c r="G1400">
        <v>29624095</v>
      </c>
      <c r="J1400">
        <v>7.7</v>
      </c>
      <c r="L1400">
        <v>47068254</v>
      </c>
      <c r="M1400" s="1">
        <v>44265</v>
      </c>
      <c r="N1400" t="str">
        <f>"O210310BE1"</f>
        <v>O210310BE1</v>
      </c>
      <c r="O1400" t="s">
        <v>28</v>
      </c>
      <c r="Q1400" t="s">
        <v>29</v>
      </c>
      <c r="R1400" t="s">
        <v>28</v>
      </c>
      <c r="S1400" t="s">
        <v>6370</v>
      </c>
      <c r="T1400" t="s">
        <v>6371</v>
      </c>
      <c r="U1400" t="s">
        <v>6372</v>
      </c>
      <c r="W1400" t="s">
        <v>75</v>
      </c>
      <c r="X1400" t="s">
        <v>34</v>
      </c>
      <c r="Y1400" t="str">
        <f>"770831620"</f>
        <v>770831620</v>
      </c>
    </row>
    <row r="1401" spans="1:25" x14ac:dyDescent="0.25">
      <c r="A1401" t="s">
        <v>6373</v>
      </c>
      <c r="B1401" t="s">
        <v>6374</v>
      </c>
      <c r="C1401">
        <v>2019</v>
      </c>
      <c r="D1401">
        <v>8001</v>
      </c>
      <c r="E1401">
        <v>3</v>
      </c>
      <c r="F1401" t="s">
        <v>6375</v>
      </c>
      <c r="G1401">
        <v>0</v>
      </c>
      <c r="J1401">
        <v>7.32</v>
      </c>
      <c r="L1401">
        <v>43954605</v>
      </c>
      <c r="M1401" s="1">
        <v>43908</v>
      </c>
      <c r="N1401" t="str">
        <f>"J200318K5"</f>
        <v>J200318K5</v>
      </c>
      <c r="O1401" t="s">
        <v>28</v>
      </c>
      <c r="Q1401" t="s">
        <v>29</v>
      </c>
      <c r="R1401" t="s">
        <v>28</v>
      </c>
      <c r="S1401" t="s">
        <v>6375</v>
      </c>
      <c r="T1401" t="s">
        <v>6376</v>
      </c>
      <c r="U1401" t="s">
        <v>60</v>
      </c>
      <c r="V1401" t="s">
        <v>60</v>
      </c>
      <c r="W1401" t="s">
        <v>219</v>
      </c>
      <c r="X1401" t="s">
        <v>34</v>
      </c>
      <c r="Y1401" t="str">
        <f>"774693952   "</f>
        <v xml:space="preserve">774693952   </v>
      </c>
    </row>
    <row r="1402" spans="1:25" x14ac:dyDescent="0.25">
      <c r="A1402" t="s">
        <v>6377</v>
      </c>
      <c r="B1402" t="s">
        <v>6378</v>
      </c>
      <c r="C1402">
        <v>2019</v>
      </c>
      <c r="D1402">
        <v>8001</v>
      </c>
      <c r="E1402">
        <v>1</v>
      </c>
      <c r="F1402" t="s">
        <v>6379</v>
      </c>
      <c r="G1402">
        <v>0</v>
      </c>
      <c r="J1402">
        <v>8.5399999999999991</v>
      </c>
      <c r="L1402">
        <v>43891548</v>
      </c>
      <c r="M1402" s="1">
        <v>43895</v>
      </c>
      <c r="N1402" t="str">
        <f>"J200305K10"</f>
        <v>J200305K10</v>
      </c>
      <c r="O1402" t="s">
        <v>28</v>
      </c>
      <c r="Q1402" t="s">
        <v>29</v>
      </c>
      <c r="R1402" t="s">
        <v>28</v>
      </c>
      <c r="S1402" t="s">
        <v>6379</v>
      </c>
      <c r="T1402" t="s">
        <v>6380</v>
      </c>
      <c r="U1402" t="s">
        <v>60</v>
      </c>
      <c r="V1402" t="s">
        <v>60</v>
      </c>
      <c r="W1402" t="s">
        <v>214</v>
      </c>
      <c r="X1402" t="s">
        <v>34</v>
      </c>
      <c r="Y1402" t="str">
        <f>"774065819   "</f>
        <v xml:space="preserve">774065819   </v>
      </c>
    </row>
    <row r="1403" spans="1:25" x14ac:dyDescent="0.25">
      <c r="A1403" t="s">
        <v>6381</v>
      </c>
      <c r="B1403" t="s">
        <v>6382</v>
      </c>
      <c r="C1403">
        <v>2020</v>
      </c>
      <c r="D1403">
        <v>8001</v>
      </c>
      <c r="E1403">
        <v>2</v>
      </c>
      <c r="F1403" t="s">
        <v>6383</v>
      </c>
      <c r="G1403">
        <v>29833761</v>
      </c>
      <c r="J1403">
        <v>55.13</v>
      </c>
      <c r="L1403">
        <v>47682230</v>
      </c>
      <c r="M1403" s="1">
        <v>44414</v>
      </c>
      <c r="N1403" t="str">
        <f>"RC210810"</f>
        <v>RC210810</v>
      </c>
      <c r="O1403" t="s">
        <v>28</v>
      </c>
      <c r="Q1403" t="s">
        <v>29</v>
      </c>
      <c r="R1403" t="s">
        <v>28</v>
      </c>
      <c r="S1403" t="s">
        <v>6383</v>
      </c>
      <c r="T1403" t="s">
        <v>6384</v>
      </c>
      <c r="W1403" t="s">
        <v>6385</v>
      </c>
      <c r="X1403" t="s">
        <v>162</v>
      </c>
      <c r="Y1403" t="str">
        <f>"073101686"</f>
        <v>073101686</v>
      </c>
    </row>
    <row r="1404" spans="1:25" x14ac:dyDescent="0.25">
      <c r="A1404" t="s">
        <v>6386</v>
      </c>
      <c r="B1404" t="s">
        <v>6387</v>
      </c>
      <c r="C1404">
        <v>2019</v>
      </c>
      <c r="D1404">
        <v>8001</v>
      </c>
      <c r="E1404">
        <v>1</v>
      </c>
      <c r="F1404" t="s">
        <v>6388</v>
      </c>
      <c r="G1404">
        <v>28305665</v>
      </c>
      <c r="J1404">
        <v>14.72</v>
      </c>
      <c r="L1404">
        <v>43875720</v>
      </c>
      <c r="M1404" s="1">
        <v>43894</v>
      </c>
      <c r="N1404" t="str">
        <f>"EK200304"</f>
        <v>EK200304</v>
      </c>
      <c r="O1404" t="s">
        <v>28</v>
      </c>
      <c r="Q1404" t="s">
        <v>29</v>
      </c>
      <c r="R1404" t="s">
        <v>28</v>
      </c>
      <c r="S1404" t="s">
        <v>6389</v>
      </c>
      <c r="T1404" t="s">
        <v>6390</v>
      </c>
      <c r="W1404" t="s">
        <v>40</v>
      </c>
      <c r="X1404" t="s">
        <v>34</v>
      </c>
      <c r="Y1404" t="str">
        <f>"77498"</f>
        <v>77498</v>
      </c>
    </row>
    <row r="1405" spans="1:25" x14ac:dyDescent="0.25">
      <c r="A1405" t="s">
        <v>6391</v>
      </c>
      <c r="B1405" t="s">
        <v>6392</v>
      </c>
      <c r="C1405">
        <v>2020</v>
      </c>
      <c r="D1405">
        <v>8001</v>
      </c>
      <c r="E1405">
        <v>1</v>
      </c>
      <c r="F1405" t="s">
        <v>6393</v>
      </c>
      <c r="G1405">
        <v>29955720</v>
      </c>
      <c r="J1405">
        <v>5.4</v>
      </c>
      <c r="L1405">
        <v>47679404</v>
      </c>
      <c r="M1405" s="1">
        <v>44413</v>
      </c>
      <c r="N1405" t="str">
        <f>"CC210805"</f>
        <v>CC210805</v>
      </c>
      <c r="O1405" t="s">
        <v>28</v>
      </c>
      <c r="Q1405" t="s">
        <v>29</v>
      </c>
      <c r="R1405" t="s">
        <v>28</v>
      </c>
      <c r="S1405" t="s">
        <v>6394</v>
      </c>
      <c r="T1405" t="s">
        <v>6395</v>
      </c>
      <c r="W1405" t="s">
        <v>1160</v>
      </c>
      <c r="X1405" t="s">
        <v>34</v>
      </c>
      <c r="Y1405" t="str">
        <f>"77545"</f>
        <v>77545</v>
      </c>
    </row>
    <row r="1406" spans="1:25" x14ac:dyDescent="0.25">
      <c r="A1406" t="s">
        <v>6396</v>
      </c>
      <c r="B1406" t="s">
        <v>6397</v>
      </c>
      <c r="C1406">
        <v>2021</v>
      </c>
      <c r="D1406">
        <v>8001</v>
      </c>
      <c r="E1406">
        <v>1</v>
      </c>
      <c r="F1406" t="s">
        <v>6398</v>
      </c>
      <c r="G1406">
        <v>0</v>
      </c>
      <c r="J1406">
        <v>36.61</v>
      </c>
      <c r="L1406">
        <v>49598351</v>
      </c>
      <c r="M1406" s="1">
        <v>44588</v>
      </c>
      <c r="N1406" t="str">
        <f>"L220127"</f>
        <v>L220127</v>
      </c>
      <c r="O1406" t="s">
        <v>28</v>
      </c>
      <c r="Q1406" t="s">
        <v>29</v>
      </c>
      <c r="R1406" t="s">
        <v>28</v>
      </c>
      <c r="S1406" t="s">
        <v>6398</v>
      </c>
      <c r="T1406" t="s">
        <v>6399</v>
      </c>
      <c r="U1406" t="s">
        <v>60</v>
      </c>
      <c r="V1406" t="s">
        <v>60</v>
      </c>
      <c r="W1406" t="s">
        <v>1333</v>
      </c>
      <c r="X1406" t="s">
        <v>34</v>
      </c>
      <c r="Y1406" t="str">
        <f>"774591802   "</f>
        <v xml:space="preserve">774591802   </v>
      </c>
    </row>
    <row r="1407" spans="1:25" x14ac:dyDescent="0.25">
      <c r="A1407" t="s">
        <v>6400</v>
      </c>
      <c r="B1407" t="s">
        <v>6401</v>
      </c>
      <c r="C1407">
        <v>2019</v>
      </c>
      <c r="D1407">
        <v>8001</v>
      </c>
      <c r="E1407">
        <v>1</v>
      </c>
      <c r="F1407" t="s">
        <v>6402</v>
      </c>
      <c r="G1407">
        <v>0</v>
      </c>
      <c r="J1407">
        <v>79.5</v>
      </c>
      <c r="L1407">
        <v>42506460</v>
      </c>
      <c r="M1407" s="1">
        <v>43829</v>
      </c>
      <c r="N1407" t="str">
        <f>"J191230AW16"</f>
        <v>J191230AW16</v>
      </c>
      <c r="O1407" t="s">
        <v>28</v>
      </c>
      <c r="Q1407" t="s">
        <v>29</v>
      </c>
      <c r="R1407" t="s">
        <v>28</v>
      </c>
      <c r="S1407" t="s">
        <v>6402</v>
      </c>
      <c r="T1407" t="s">
        <v>6403</v>
      </c>
      <c r="U1407" t="s">
        <v>6404</v>
      </c>
      <c r="V1407">
        <v>400</v>
      </c>
      <c r="W1407" t="s">
        <v>219</v>
      </c>
      <c r="X1407" t="s">
        <v>34</v>
      </c>
      <c r="Y1407" t="str">
        <f>"774783842   "</f>
        <v xml:space="preserve">774783842   </v>
      </c>
    </row>
    <row r="1408" spans="1:25" x14ac:dyDescent="0.25">
      <c r="A1408" t="s">
        <v>6405</v>
      </c>
      <c r="B1408" t="s">
        <v>6406</v>
      </c>
      <c r="C1408">
        <v>2020</v>
      </c>
      <c r="D1408">
        <v>8001</v>
      </c>
      <c r="E1408">
        <v>1</v>
      </c>
      <c r="F1408" t="s">
        <v>6407</v>
      </c>
      <c r="G1408">
        <v>29489439</v>
      </c>
      <c r="J1408">
        <v>67.66</v>
      </c>
      <c r="L1408">
        <v>46782138</v>
      </c>
      <c r="M1408" s="1">
        <v>44231</v>
      </c>
      <c r="N1408" t="str">
        <f>"CC210204"</f>
        <v>CC210204</v>
      </c>
      <c r="O1408" t="s">
        <v>28</v>
      </c>
      <c r="Q1408" t="s">
        <v>29</v>
      </c>
      <c r="R1408" t="s">
        <v>28</v>
      </c>
      <c r="S1408" t="s">
        <v>6408</v>
      </c>
      <c r="T1408" t="s">
        <v>6409</v>
      </c>
      <c r="W1408" t="s">
        <v>6410</v>
      </c>
      <c r="X1408" t="s">
        <v>264</v>
      </c>
      <c r="Y1408" t="str">
        <f>"641050000"</f>
        <v>641050000</v>
      </c>
    </row>
    <row r="1409" spans="1:25" x14ac:dyDescent="0.25">
      <c r="A1409" t="s">
        <v>6411</v>
      </c>
      <c r="B1409" t="s">
        <v>6412</v>
      </c>
      <c r="C1409">
        <v>2020</v>
      </c>
      <c r="D1409">
        <v>8001</v>
      </c>
      <c r="E1409">
        <v>2</v>
      </c>
      <c r="F1409" t="s">
        <v>6413</v>
      </c>
      <c r="G1409">
        <v>27365235</v>
      </c>
      <c r="J1409">
        <v>12.73</v>
      </c>
      <c r="L1409">
        <v>47290977</v>
      </c>
      <c r="M1409" s="1">
        <v>44300</v>
      </c>
      <c r="N1409" t="str">
        <f>"RC210425"</f>
        <v>RC210425</v>
      </c>
      <c r="O1409" t="s">
        <v>28</v>
      </c>
      <c r="Q1409" t="s">
        <v>29</v>
      </c>
      <c r="R1409" t="s">
        <v>28</v>
      </c>
      <c r="S1409" t="s">
        <v>6414</v>
      </c>
      <c r="T1409" t="s">
        <v>6415</v>
      </c>
      <c r="W1409" t="s">
        <v>81</v>
      </c>
      <c r="X1409" t="s">
        <v>34</v>
      </c>
      <c r="Y1409" t="str">
        <f>"774070825"</f>
        <v>774070825</v>
      </c>
    </row>
    <row r="1410" spans="1:25" x14ac:dyDescent="0.25">
      <c r="A1410" t="s">
        <v>6416</v>
      </c>
      <c r="B1410" t="s">
        <v>6417</v>
      </c>
      <c r="C1410">
        <v>2020</v>
      </c>
      <c r="D1410">
        <v>8001</v>
      </c>
      <c r="E1410">
        <v>1</v>
      </c>
      <c r="F1410" t="s">
        <v>6418</v>
      </c>
      <c r="G1410">
        <v>28897467</v>
      </c>
      <c r="J1410">
        <v>27.45</v>
      </c>
      <c r="L1410">
        <v>45218425</v>
      </c>
      <c r="M1410" s="1">
        <v>44175</v>
      </c>
      <c r="N1410" t="str">
        <f>"RC201217"</f>
        <v>RC201217</v>
      </c>
      <c r="O1410" t="s">
        <v>28</v>
      </c>
      <c r="Q1410" t="s">
        <v>29</v>
      </c>
      <c r="R1410" t="s">
        <v>28</v>
      </c>
      <c r="S1410" t="s">
        <v>6419</v>
      </c>
      <c r="T1410" t="s">
        <v>6420</v>
      </c>
      <c r="W1410" t="s">
        <v>40</v>
      </c>
      <c r="X1410" t="s">
        <v>34</v>
      </c>
      <c r="Y1410" t="str">
        <f>"774982316"</f>
        <v>774982316</v>
      </c>
    </row>
    <row r="1411" spans="1:25" x14ac:dyDescent="0.25">
      <c r="A1411" t="s">
        <v>6421</v>
      </c>
      <c r="B1411" t="s">
        <v>6422</v>
      </c>
      <c r="C1411">
        <v>2019</v>
      </c>
      <c r="D1411">
        <v>8001</v>
      </c>
      <c r="E1411">
        <v>1</v>
      </c>
      <c r="F1411" t="s">
        <v>6423</v>
      </c>
      <c r="G1411">
        <v>28310305</v>
      </c>
      <c r="J1411">
        <v>39.270000000000003</v>
      </c>
      <c r="L1411">
        <v>43887126</v>
      </c>
      <c r="M1411" s="1">
        <v>43895</v>
      </c>
      <c r="N1411" t="str">
        <f>"CC200305"</f>
        <v>CC200305</v>
      </c>
      <c r="O1411" t="s">
        <v>28</v>
      </c>
      <c r="Q1411" t="s">
        <v>29</v>
      </c>
      <c r="R1411" t="s">
        <v>28</v>
      </c>
      <c r="S1411" t="s">
        <v>6424</v>
      </c>
      <c r="T1411" t="s">
        <v>6425</v>
      </c>
      <c r="W1411" t="s">
        <v>371</v>
      </c>
      <c r="X1411" t="s">
        <v>34</v>
      </c>
      <c r="Y1411" t="str">
        <f>"77477"</f>
        <v>77477</v>
      </c>
    </row>
    <row r="1412" spans="1:25" x14ac:dyDescent="0.25">
      <c r="A1412" t="s">
        <v>6426</v>
      </c>
      <c r="B1412" t="s">
        <v>6427</v>
      </c>
      <c r="C1412">
        <v>2020</v>
      </c>
      <c r="D1412">
        <v>8001</v>
      </c>
      <c r="E1412">
        <v>1</v>
      </c>
      <c r="F1412" t="s">
        <v>6428</v>
      </c>
      <c r="G1412">
        <v>30087216</v>
      </c>
      <c r="J1412">
        <v>8.48</v>
      </c>
      <c r="L1412">
        <v>47955632</v>
      </c>
      <c r="M1412" s="1">
        <v>44503</v>
      </c>
      <c r="N1412" t="str">
        <f>"EK211103"</f>
        <v>EK211103</v>
      </c>
      <c r="O1412" t="s">
        <v>28</v>
      </c>
      <c r="Q1412" t="s">
        <v>29</v>
      </c>
      <c r="R1412" t="s">
        <v>28</v>
      </c>
      <c r="S1412" t="s">
        <v>6429</v>
      </c>
      <c r="T1412" t="s">
        <v>6430</v>
      </c>
      <c r="W1412" t="s">
        <v>6431</v>
      </c>
      <c r="X1412" t="s">
        <v>6432</v>
      </c>
      <c r="Y1412" t="str">
        <f>"021085004"</f>
        <v>021085004</v>
      </c>
    </row>
    <row r="1413" spans="1:25" x14ac:dyDescent="0.25">
      <c r="A1413" t="s">
        <v>6433</v>
      </c>
      <c r="B1413" t="s">
        <v>6434</v>
      </c>
      <c r="C1413">
        <v>2019</v>
      </c>
      <c r="D1413">
        <v>8001</v>
      </c>
      <c r="E1413">
        <v>4</v>
      </c>
      <c r="F1413" t="s">
        <v>6435</v>
      </c>
      <c r="G1413">
        <v>0</v>
      </c>
      <c r="J1413">
        <v>475.08</v>
      </c>
      <c r="L1413">
        <v>44153004</v>
      </c>
      <c r="M1413" s="1">
        <v>43962</v>
      </c>
      <c r="N1413" t="str">
        <f>"RPS200511U1"</f>
        <v>RPS200511U1</v>
      </c>
      <c r="O1413" t="s">
        <v>28</v>
      </c>
      <c r="Q1413" t="s">
        <v>29</v>
      </c>
      <c r="R1413" t="s">
        <v>28</v>
      </c>
      <c r="S1413" t="s">
        <v>6435</v>
      </c>
      <c r="T1413" t="s">
        <v>6436</v>
      </c>
      <c r="U1413" t="s">
        <v>60</v>
      </c>
      <c r="V1413" t="s">
        <v>60</v>
      </c>
      <c r="W1413" t="s">
        <v>2098</v>
      </c>
      <c r="X1413" t="s">
        <v>317</v>
      </c>
      <c r="Y1413" t="str">
        <f>"941052979   "</f>
        <v xml:space="preserve">941052979   </v>
      </c>
    </row>
    <row r="1414" spans="1:25" x14ac:dyDescent="0.25">
      <c r="A1414" t="s">
        <v>6437</v>
      </c>
      <c r="B1414" t="s">
        <v>6438</v>
      </c>
      <c r="C1414">
        <v>2020</v>
      </c>
      <c r="D1414">
        <v>8001</v>
      </c>
      <c r="E1414">
        <v>1</v>
      </c>
      <c r="F1414" t="s">
        <v>6439</v>
      </c>
      <c r="G1414">
        <v>29489485</v>
      </c>
      <c r="J1414">
        <v>27.75</v>
      </c>
      <c r="L1414">
        <v>46782184</v>
      </c>
      <c r="M1414" s="1">
        <v>44231</v>
      </c>
      <c r="N1414" t="str">
        <f>"CC210204"</f>
        <v>CC210204</v>
      </c>
      <c r="O1414" t="s">
        <v>28</v>
      </c>
      <c r="Q1414" t="s">
        <v>29</v>
      </c>
      <c r="R1414" t="s">
        <v>28</v>
      </c>
      <c r="S1414" t="s">
        <v>6440</v>
      </c>
      <c r="T1414" t="s">
        <v>6441</v>
      </c>
      <c r="W1414" t="s">
        <v>40</v>
      </c>
      <c r="X1414" t="s">
        <v>34</v>
      </c>
      <c r="Y1414" t="str">
        <f>"77479"</f>
        <v>77479</v>
      </c>
    </row>
    <row r="1415" spans="1:25" x14ac:dyDescent="0.25">
      <c r="A1415" t="s">
        <v>6442</v>
      </c>
      <c r="B1415" t="s">
        <v>6443</v>
      </c>
      <c r="C1415">
        <v>2019</v>
      </c>
      <c r="D1415">
        <v>8001</v>
      </c>
      <c r="E1415">
        <v>1</v>
      </c>
      <c r="F1415" t="s">
        <v>6444</v>
      </c>
      <c r="G1415">
        <v>0</v>
      </c>
      <c r="J1415">
        <v>19.760000000000002</v>
      </c>
      <c r="L1415">
        <v>43606613</v>
      </c>
      <c r="M1415" s="1">
        <v>43866</v>
      </c>
      <c r="N1415" t="str">
        <f>"L200205"</f>
        <v>L200205</v>
      </c>
      <c r="O1415" t="s">
        <v>28</v>
      </c>
      <c r="Q1415" t="s">
        <v>29</v>
      </c>
      <c r="R1415" t="s">
        <v>28</v>
      </c>
      <c r="S1415" t="s">
        <v>6444</v>
      </c>
      <c r="T1415" t="s">
        <v>6445</v>
      </c>
      <c r="U1415" t="s">
        <v>60</v>
      </c>
      <c r="V1415" t="s">
        <v>60</v>
      </c>
      <c r="W1415" t="s">
        <v>214</v>
      </c>
      <c r="X1415" t="s">
        <v>34</v>
      </c>
      <c r="Y1415" t="str">
        <f>"774695418   "</f>
        <v xml:space="preserve">774695418   </v>
      </c>
    </row>
    <row r="1416" spans="1:25" x14ac:dyDescent="0.25">
      <c r="A1416" t="s">
        <v>6446</v>
      </c>
      <c r="B1416" t="s">
        <v>6447</v>
      </c>
      <c r="C1416">
        <v>2019</v>
      </c>
      <c r="D1416">
        <v>8001</v>
      </c>
      <c r="E1416">
        <v>2</v>
      </c>
      <c r="F1416" t="s">
        <v>6448</v>
      </c>
      <c r="G1416">
        <v>0</v>
      </c>
      <c r="J1416">
        <v>5.63</v>
      </c>
      <c r="L1416">
        <v>43910228</v>
      </c>
      <c r="M1416" s="1">
        <v>43899</v>
      </c>
      <c r="N1416" t="str">
        <f>"O200309F1"</f>
        <v>O200309F1</v>
      </c>
      <c r="O1416" t="s">
        <v>28</v>
      </c>
      <c r="Q1416" t="s">
        <v>29</v>
      </c>
      <c r="R1416" t="s">
        <v>28</v>
      </c>
      <c r="S1416" t="s">
        <v>6448</v>
      </c>
      <c r="T1416" t="s">
        <v>6449</v>
      </c>
      <c r="U1416" t="s">
        <v>60</v>
      </c>
      <c r="V1416" t="s">
        <v>60</v>
      </c>
      <c r="W1416" t="s">
        <v>98</v>
      </c>
      <c r="X1416" t="s">
        <v>34</v>
      </c>
      <c r="Y1416" t="str">
        <f>"774610329   "</f>
        <v xml:space="preserve">774610329   </v>
      </c>
    </row>
    <row r="1417" spans="1:25" x14ac:dyDescent="0.25">
      <c r="A1417" t="s">
        <v>6450</v>
      </c>
      <c r="B1417" t="s">
        <v>6451</v>
      </c>
      <c r="C1417">
        <v>2020</v>
      </c>
      <c r="D1417">
        <v>8001</v>
      </c>
      <c r="E1417">
        <v>1</v>
      </c>
      <c r="F1417" t="s">
        <v>6452</v>
      </c>
      <c r="G1417">
        <v>28606595</v>
      </c>
      <c r="J1417">
        <v>39.57</v>
      </c>
      <c r="L1417">
        <v>47078224</v>
      </c>
      <c r="M1417" s="1">
        <v>44266</v>
      </c>
      <c r="N1417" t="str">
        <f>"RC210317"</f>
        <v>RC210317</v>
      </c>
      <c r="O1417" t="s">
        <v>28</v>
      </c>
      <c r="Q1417" t="s">
        <v>29</v>
      </c>
      <c r="R1417" t="s">
        <v>28</v>
      </c>
      <c r="S1417" t="s">
        <v>6453</v>
      </c>
      <c r="T1417" t="s">
        <v>6454</v>
      </c>
      <c r="W1417" t="s">
        <v>371</v>
      </c>
      <c r="X1417" t="s">
        <v>34</v>
      </c>
      <c r="Y1417" t="str">
        <f>"774775517"</f>
        <v>774775517</v>
      </c>
    </row>
    <row r="1418" spans="1:25" x14ac:dyDescent="0.25">
      <c r="A1418" t="s">
        <v>6455</v>
      </c>
      <c r="B1418" t="s">
        <v>6456</v>
      </c>
      <c r="C1418">
        <v>2019</v>
      </c>
      <c r="D1418">
        <v>8001</v>
      </c>
      <c r="E1418">
        <v>1</v>
      </c>
      <c r="F1418" t="s">
        <v>6457</v>
      </c>
      <c r="G1418">
        <v>0</v>
      </c>
      <c r="J1418" s="2">
        <v>1000</v>
      </c>
      <c r="L1418">
        <v>43323612</v>
      </c>
      <c r="M1418" s="1">
        <v>43859</v>
      </c>
      <c r="N1418" t="str">
        <f>"L200129"</f>
        <v>L200129</v>
      </c>
      <c r="O1418" t="s">
        <v>28</v>
      </c>
      <c r="Q1418" t="s">
        <v>29</v>
      </c>
      <c r="R1418" t="s">
        <v>28</v>
      </c>
      <c r="S1418" t="s">
        <v>6457</v>
      </c>
      <c r="T1418" t="s">
        <v>6458</v>
      </c>
      <c r="U1418" t="s">
        <v>6459</v>
      </c>
      <c r="V1418" t="s">
        <v>60</v>
      </c>
      <c r="W1418" t="s">
        <v>6460</v>
      </c>
      <c r="X1418" t="s">
        <v>6461</v>
      </c>
      <c r="Y1418" t="str">
        <f>"530515660   "</f>
        <v xml:space="preserve">530515660   </v>
      </c>
    </row>
    <row r="1419" spans="1:25" x14ac:dyDescent="0.25">
      <c r="A1419" t="s">
        <v>6462</v>
      </c>
      <c r="B1419" t="s">
        <v>6463</v>
      </c>
      <c r="C1419">
        <v>2020</v>
      </c>
      <c r="D1419">
        <v>8001</v>
      </c>
      <c r="E1419">
        <v>1</v>
      </c>
      <c r="F1419" t="s">
        <v>6464</v>
      </c>
      <c r="G1419">
        <v>29604541</v>
      </c>
      <c r="J1419">
        <v>20.45</v>
      </c>
      <c r="L1419">
        <v>47034723</v>
      </c>
      <c r="M1419" s="1">
        <v>44259</v>
      </c>
      <c r="N1419" t="str">
        <f>"CC210304"</f>
        <v>CC210304</v>
      </c>
      <c r="O1419" t="s">
        <v>28</v>
      </c>
      <c r="Q1419" t="s">
        <v>29</v>
      </c>
      <c r="R1419" t="s">
        <v>28</v>
      </c>
      <c r="S1419" t="s">
        <v>6465</v>
      </c>
      <c r="T1419" t="s">
        <v>6466</v>
      </c>
      <c r="W1419" t="s">
        <v>81</v>
      </c>
      <c r="X1419" t="s">
        <v>34</v>
      </c>
      <c r="Y1419" t="str">
        <f>"77406"</f>
        <v>77406</v>
      </c>
    </row>
    <row r="1420" spans="1:25" x14ac:dyDescent="0.25">
      <c r="A1420" t="s">
        <v>6467</v>
      </c>
      <c r="B1420" t="s">
        <v>6468</v>
      </c>
      <c r="C1420">
        <v>2020</v>
      </c>
      <c r="D1420">
        <v>8001</v>
      </c>
      <c r="E1420">
        <v>1</v>
      </c>
      <c r="F1420" t="s">
        <v>6469</v>
      </c>
      <c r="G1420">
        <v>29604530</v>
      </c>
      <c r="J1420">
        <v>19.11</v>
      </c>
      <c r="L1420">
        <v>47034712</v>
      </c>
      <c r="M1420" s="1">
        <v>44259</v>
      </c>
      <c r="N1420" t="str">
        <f>"CC210304"</f>
        <v>CC210304</v>
      </c>
      <c r="O1420" t="s">
        <v>28</v>
      </c>
      <c r="Q1420" t="s">
        <v>29</v>
      </c>
      <c r="R1420" t="s">
        <v>28</v>
      </c>
      <c r="S1420" t="s">
        <v>6470</v>
      </c>
      <c r="T1420" t="s">
        <v>6471</v>
      </c>
      <c r="W1420" t="s">
        <v>371</v>
      </c>
      <c r="X1420" t="s">
        <v>34</v>
      </c>
      <c r="Y1420" t="str">
        <f>"77477"</f>
        <v>77477</v>
      </c>
    </row>
    <row r="1421" spans="1:25" x14ac:dyDescent="0.25">
      <c r="A1421" t="s">
        <v>6472</v>
      </c>
      <c r="B1421" t="s">
        <v>6473</v>
      </c>
      <c r="C1421">
        <v>2020</v>
      </c>
      <c r="D1421">
        <v>8001</v>
      </c>
      <c r="E1421">
        <v>3</v>
      </c>
      <c r="F1421" t="s">
        <v>6474</v>
      </c>
      <c r="G1421">
        <v>0</v>
      </c>
      <c r="J1421">
        <v>446.04</v>
      </c>
      <c r="L1421">
        <v>47579693</v>
      </c>
      <c r="M1421" s="1">
        <v>44379</v>
      </c>
      <c r="N1421" t="str">
        <f>"EL210702"</f>
        <v>EL210702</v>
      </c>
      <c r="O1421" t="s">
        <v>28</v>
      </c>
      <c r="Q1421" t="s">
        <v>29</v>
      </c>
      <c r="R1421" t="s">
        <v>28</v>
      </c>
      <c r="S1421" t="s">
        <v>6474</v>
      </c>
      <c r="T1421" t="s">
        <v>6475</v>
      </c>
      <c r="U1421" t="s">
        <v>60</v>
      </c>
      <c r="V1421" t="s">
        <v>60</v>
      </c>
      <c r="W1421" t="s">
        <v>214</v>
      </c>
      <c r="X1421" t="s">
        <v>34</v>
      </c>
      <c r="Y1421" t="str">
        <f>"774067835   "</f>
        <v xml:space="preserve">774067835   </v>
      </c>
    </row>
    <row r="1422" spans="1:25" x14ac:dyDescent="0.25">
      <c r="A1422" t="s">
        <v>6476</v>
      </c>
      <c r="B1422" t="s">
        <v>6477</v>
      </c>
      <c r="C1422">
        <v>2019</v>
      </c>
      <c r="D1422">
        <v>8001</v>
      </c>
      <c r="E1422">
        <v>1</v>
      </c>
      <c r="F1422" t="s">
        <v>6478</v>
      </c>
      <c r="G1422">
        <v>27934329</v>
      </c>
      <c r="J1422">
        <v>36.76</v>
      </c>
      <c r="L1422">
        <v>42924086</v>
      </c>
      <c r="M1422" s="1">
        <v>43846</v>
      </c>
      <c r="N1422" t="str">
        <f>"O200116AB1"</f>
        <v>O200116AB1</v>
      </c>
      <c r="O1422" t="s">
        <v>28</v>
      </c>
      <c r="Q1422" t="s">
        <v>29</v>
      </c>
      <c r="R1422" t="s">
        <v>28</v>
      </c>
      <c r="S1422" t="s">
        <v>6478</v>
      </c>
      <c r="T1422" t="s">
        <v>6479</v>
      </c>
      <c r="U1422" t="s">
        <v>6480</v>
      </c>
      <c r="W1422" t="s">
        <v>6481</v>
      </c>
      <c r="X1422" t="s">
        <v>6482</v>
      </c>
      <c r="Y1422" t="str">
        <f>"40218"</f>
        <v>40218</v>
      </c>
    </row>
    <row r="1423" spans="1:25" x14ac:dyDescent="0.25">
      <c r="A1423" t="s">
        <v>6483</v>
      </c>
      <c r="B1423" t="s">
        <v>6484</v>
      </c>
      <c r="C1423">
        <v>2019</v>
      </c>
      <c r="D1423">
        <v>8001</v>
      </c>
      <c r="E1423">
        <v>1</v>
      </c>
      <c r="F1423" t="s">
        <v>6485</v>
      </c>
      <c r="G1423">
        <v>22825511</v>
      </c>
      <c r="J1423">
        <v>22.23</v>
      </c>
      <c r="L1423">
        <v>42173507</v>
      </c>
      <c r="M1423" s="1">
        <v>43809</v>
      </c>
      <c r="N1423" t="str">
        <f>"J191210AW4"</f>
        <v>J191210AW4</v>
      </c>
      <c r="O1423" t="s">
        <v>28</v>
      </c>
      <c r="Q1423" t="s">
        <v>29</v>
      </c>
      <c r="R1423" t="s">
        <v>28</v>
      </c>
      <c r="S1423" t="s">
        <v>6486</v>
      </c>
      <c r="T1423" t="s">
        <v>6487</v>
      </c>
      <c r="W1423" t="s">
        <v>40</v>
      </c>
      <c r="X1423" t="s">
        <v>34</v>
      </c>
      <c r="Y1423" t="str">
        <f>"77478"</f>
        <v>77478</v>
      </c>
    </row>
    <row r="1424" spans="1:25" x14ac:dyDescent="0.25">
      <c r="A1424" t="s">
        <v>6488</v>
      </c>
      <c r="B1424" t="s">
        <v>6489</v>
      </c>
      <c r="C1424">
        <v>2020</v>
      </c>
      <c r="D1424">
        <v>8001</v>
      </c>
      <c r="E1424">
        <v>3</v>
      </c>
      <c r="F1424" t="s">
        <v>6490</v>
      </c>
      <c r="G1424">
        <v>0</v>
      </c>
      <c r="J1424">
        <v>209.9</v>
      </c>
      <c r="L1424">
        <v>45748435</v>
      </c>
      <c r="M1424" s="1">
        <v>44202</v>
      </c>
      <c r="N1424" t="str">
        <f>"L210106A"</f>
        <v>L210106A</v>
      </c>
      <c r="O1424" t="s">
        <v>28</v>
      </c>
      <c r="Q1424" t="s">
        <v>29</v>
      </c>
      <c r="R1424" t="s">
        <v>28</v>
      </c>
      <c r="S1424" t="s">
        <v>6490</v>
      </c>
      <c r="T1424" t="s">
        <v>6491</v>
      </c>
      <c r="U1424" t="s">
        <v>1361</v>
      </c>
      <c r="V1424" t="s">
        <v>60</v>
      </c>
      <c r="W1424" t="s">
        <v>214</v>
      </c>
      <c r="X1424" t="s">
        <v>34</v>
      </c>
      <c r="Y1424" t="str">
        <f>"774062013   "</f>
        <v xml:space="preserve">774062013   </v>
      </c>
    </row>
    <row r="1425" spans="1:25" x14ac:dyDescent="0.25">
      <c r="A1425" t="s">
        <v>6492</v>
      </c>
      <c r="B1425" t="s">
        <v>6493</v>
      </c>
      <c r="C1425">
        <v>2018</v>
      </c>
      <c r="D1425">
        <v>8001</v>
      </c>
      <c r="E1425">
        <v>3</v>
      </c>
      <c r="F1425" t="s">
        <v>6494</v>
      </c>
      <c r="G1425">
        <v>27341824</v>
      </c>
      <c r="J1425">
        <v>66.23</v>
      </c>
      <c r="L1425">
        <v>41484605</v>
      </c>
      <c r="M1425" s="1">
        <v>43686</v>
      </c>
      <c r="N1425" t="str">
        <f>"R190809BI1"</f>
        <v>R190809BI1</v>
      </c>
      <c r="O1425" t="s">
        <v>28</v>
      </c>
      <c r="Q1425" t="s">
        <v>29</v>
      </c>
      <c r="R1425" t="s">
        <v>28</v>
      </c>
      <c r="S1425" t="s">
        <v>6495</v>
      </c>
      <c r="T1425" t="s">
        <v>6496</v>
      </c>
      <c r="W1425" t="s">
        <v>392</v>
      </c>
      <c r="X1425" t="s">
        <v>34</v>
      </c>
      <c r="Y1425" t="str">
        <f>"77459-4378"</f>
        <v>77459-4378</v>
      </c>
    </row>
    <row r="1426" spans="1:25" x14ac:dyDescent="0.25">
      <c r="A1426" t="s">
        <v>6497</v>
      </c>
      <c r="B1426" t="s">
        <v>6498</v>
      </c>
      <c r="C1426">
        <v>2020</v>
      </c>
      <c r="D1426">
        <v>8001</v>
      </c>
      <c r="E1426">
        <v>1</v>
      </c>
      <c r="F1426" t="s">
        <v>6499</v>
      </c>
      <c r="G1426">
        <v>0</v>
      </c>
      <c r="J1426">
        <v>351.51</v>
      </c>
      <c r="L1426">
        <v>46894518</v>
      </c>
      <c r="M1426" s="1">
        <v>44237</v>
      </c>
      <c r="N1426" t="str">
        <f>"J210210K3"</f>
        <v>J210210K3</v>
      </c>
      <c r="O1426" t="s">
        <v>28</v>
      </c>
      <c r="Q1426" t="s">
        <v>29</v>
      </c>
      <c r="R1426" t="s">
        <v>28</v>
      </c>
      <c r="S1426" t="s">
        <v>6499</v>
      </c>
      <c r="T1426" t="s">
        <v>6500</v>
      </c>
      <c r="U1426" t="s">
        <v>6501</v>
      </c>
      <c r="V1426" t="s">
        <v>60</v>
      </c>
      <c r="W1426" t="s">
        <v>135</v>
      </c>
      <c r="X1426" t="s">
        <v>34</v>
      </c>
      <c r="Y1426" t="str">
        <f>"770941710   "</f>
        <v xml:space="preserve">770941710   </v>
      </c>
    </row>
    <row r="1427" spans="1:25" x14ac:dyDescent="0.25">
      <c r="A1427" t="s">
        <v>6502</v>
      </c>
      <c r="B1427" t="s">
        <v>6503</v>
      </c>
      <c r="C1427">
        <v>2020</v>
      </c>
      <c r="D1427">
        <v>8001</v>
      </c>
      <c r="E1427">
        <v>1</v>
      </c>
      <c r="F1427" t="s">
        <v>6504</v>
      </c>
      <c r="G1427">
        <v>0</v>
      </c>
      <c r="J1427">
        <v>46.09</v>
      </c>
      <c r="L1427">
        <v>46888331</v>
      </c>
      <c r="M1427" s="1">
        <v>44236</v>
      </c>
      <c r="N1427" t="str">
        <f>"L210209"</f>
        <v>L210209</v>
      </c>
      <c r="O1427" t="s">
        <v>28</v>
      </c>
      <c r="Q1427" t="s">
        <v>29</v>
      </c>
      <c r="R1427" t="s">
        <v>28</v>
      </c>
      <c r="S1427" t="s">
        <v>6504</v>
      </c>
      <c r="T1427" t="s">
        <v>6505</v>
      </c>
      <c r="U1427" t="s">
        <v>60</v>
      </c>
      <c r="V1427" t="s">
        <v>60</v>
      </c>
      <c r="W1427" t="s">
        <v>135</v>
      </c>
      <c r="X1427" t="s">
        <v>34</v>
      </c>
      <c r="Y1427" t="str">
        <f>"770533546   "</f>
        <v xml:space="preserve">770533546   </v>
      </c>
    </row>
    <row r="1428" spans="1:25" x14ac:dyDescent="0.25">
      <c r="A1428" t="s">
        <v>6506</v>
      </c>
      <c r="B1428" t="s">
        <v>6507</v>
      </c>
      <c r="C1428">
        <v>2019</v>
      </c>
      <c r="D1428">
        <v>8001</v>
      </c>
      <c r="E1428">
        <v>1</v>
      </c>
      <c r="F1428" t="s">
        <v>6508</v>
      </c>
      <c r="G1428">
        <v>28305491</v>
      </c>
      <c r="J1428">
        <v>31.61</v>
      </c>
      <c r="L1428">
        <v>43875243</v>
      </c>
      <c r="M1428" s="1">
        <v>43894</v>
      </c>
      <c r="N1428" t="str">
        <f>"CC400304"</f>
        <v>CC400304</v>
      </c>
      <c r="O1428" t="s">
        <v>28</v>
      </c>
      <c r="Q1428" t="s">
        <v>29</v>
      </c>
      <c r="R1428" t="s">
        <v>28</v>
      </c>
      <c r="S1428" t="s">
        <v>6509</v>
      </c>
      <c r="T1428" t="s">
        <v>6510</v>
      </c>
      <c r="W1428" t="s">
        <v>40</v>
      </c>
      <c r="X1428" t="s">
        <v>34</v>
      </c>
      <c r="Y1428" t="str">
        <f>"77459"</f>
        <v>77459</v>
      </c>
    </row>
    <row r="1429" spans="1:25" x14ac:dyDescent="0.25">
      <c r="A1429" t="s">
        <v>6511</v>
      </c>
      <c r="B1429" t="s">
        <v>6512</v>
      </c>
      <c r="C1429">
        <v>2020</v>
      </c>
      <c r="D1429">
        <v>8001</v>
      </c>
      <c r="E1429">
        <v>1</v>
      </c>
      <c r="F1429" t="s">
        <v>6513</v>
      </c>
      <c r="G1429">
        <v>29596069</v>
      </c>
      <c r="J1429">
        <v>5.25</v>
      </c>
      <c r="L1429">
        <v>47018838</v>
      </c>
      <c r="M1429" s="1">
        <v>44258</v>
      </c>
      <c r="N1429" t="str">
        <f>"EK210303"</f>
        <v>EK210303</v>
      </c>
      <c r="O1429" t="s">
        <v>28</v>
      </c>
      <c r="Q1429" t="s">
        <v>29</v>
      </c>
      <c r="R1429" t="s">
        <v>28</v>
      </c>
      <c r="S1429" t="s">
        <v>6514</v>
      </c>
      <c r="T1429" t="s">
        <v>6515</v>
      </c>
      <c r="W1429" t="s">
        <v>371</v>
      </c>
      <c r="X1429" t="s">
        <v>34</v>
      </c>
      <c r="Y1429" t="str">
        <f>"77497"</f>
        <v>77497</v>
      </c>
    </row>
    <row r="1430" spans="1:25" x14ac:dyDescent="0.25">
      <c r="A1430" t="s">
        <v>6516</v>
      </c>
      <c r="B1430" t="s">
        <v>6517</v>
      </c>
      <c r="C1430">
        <v>2020</v>
      </c>
      <c r="D1430">
        <v>8001</v>
      </c>
      <c r="E1430">
        <v>1</v>
      </c>
      <c r="F1430" t="s">
        <v>6494</v>
      </c>
      <c r="G1430">
        <v>29604573</v>
      </c>
      <c r="J1430">
        <v>20.99</v>
      </c>
      <c r="L1430">
        <v>47034755</v>
      </c>
      <c r="M1430" s="1">
        <v>44259</v>
      </c>
      <c r="N1430" t="str">
        <f>"CC210304"</f>
        <v>CC210304</v>
      </c>
      <c r="O1430" t="s">
        <v>28</v>
      </c>
      <c r="Q1430" t="s">
        <v>29</v>
      </c>
      <c r="R1430" t="s">
        <v>28</v>
      </c>
      <c r="S1430" t="s">
        <v>6518</v>
      </c>
      <c r="T1430" t="s">
        <v>6519</v>
      </c>
      <c r="W1430" t="s">
        <v>392</v>
      </c>
      <c r="X1430" t="s">
        <v>34</v>
      </c>
      <c r="Y1430" t="str">
        <f>"77459"</f>
        <v>77459</v>
      </c>
    </row>
    <row r="1431" spans="1:25" x14ac:dyDescent="0.25">
      <c r="A1431" t="s">
        <v>6520</v>
      </c>
      <c r="B1431" t="s">
        <v>6521</v>
      </c>
      <c r="C1431">
        <v>2020</v>
      </c>
      <c r="D1431">
        <v>8001</v>
      </c>
      <c r="E1431">
        <v>1</v>
      </c>
      <c r="F1431" t="s">
        <v>6522</v>
      </c>
      <c r="G1431">
        <v>0</v>
      </c>
      <c r="J1431">
        <v>411.39</v>
      </c>
      <c r="L1431">
        <v>45279790</v>
      </c>
      <c r="M1431" s="1">
        <v>44180</v>
      </c>
      <c r="N1431" t="str">
        <f>"O201215BD1"</f>
        <v>O201215BD1</v>
      </c>
      <c r="O1431" t="s">
        <v>28</v>
      </c>
      <c r="Q1431" t="s">
        <v>29</v>
      </c>
      <c r="R1431" t="s">
        <v>28</v>
      </c>
      <c r="S1431" t="s">
        <v>6522</v>
      </c>
      <c r="T1431" t="s">
        <v>6523</v>
      </c>
      <c r="U1431" t="s">
        <v>60</v>
      </c>
      <c r="V1431" t="s">
        <v>60</v>
      </c>
      <c r="W1431" t="s">
        <v>135</v>
      </c>
      <c r="X1431" t="s">
        <v>34</v>
      </c>
      <c r="Y1431" t="str">
        <f>"770994755   "</f>
        <v xml:space="preserve">770994755   </v>
      </c>
    </row>
    <row r="1432" spans="1:25" x14ac:dyDescent="0.25">
      <c r="A1432" t="s">
        <v>6524</v>
      </c>
      <c r="B1432" t="s">
        <v>6525</v>
      </c>
      <c r="C1432">
        <v>2020</v>
      </c>
      <c r="D1432">
        <v>8001</v>
      </c>
      <c r="E1432">
        <v>1</v>
      </c>
      <c r="F1432" t="s">
        <v>6526</v>
      </c>
      <c r="G1432">
        <v>29489568</v>
      </c>
      <c r="J1432">
        <v>13.41</v>
      </c>
      <c r="L1432">
        <v>46782268</v>
      </c>
      <c r="M1432" s="1">
        <v>44231</v>
      </c>
      <c r="N1432" t="str">
        <f>"CC210204"</f>
        <v>CC210204</v>
      </c>
      <c r="O1432" t="s">
        <v>28</v>
      </c>
      <c r="Q1432" t="s">
        <v>29</v>
      </c>
      <c r="R1432" t="s">
        <v>28</v>
      </c>
      <c r="S1432" t="s">
        <v>987</v>
      </c>
      <c r="T1432" t="s">
        <v>988</v>
      </c>
      <c r="W1432" t="s">
        <v>618</v>
      </c>
      <c r="X1432" t="s">
        <v>34</v>
      </c>
      <c r="Y1432" t="str">
        <f>"77461"</f>
        <v>77461</v>
      </c>
    </row>
    <row r="1433" spans="1:25" x14ac:dyDescent="0.25">
      <c r="A1433" t="s">
        <v>6527</v>
      </c>
      <c r="B1433" t="s">
        <v>6528</v>
      </c>
      <c r="C1433">
        <v>2020</v>
      </c>
      <c r="D1433">
        <v>8001</v>
      </c>
      <c r="E1433">
        <v>1</v>
      </c>
      <c r="F1433" t="s">
        <v>6529</v>
      </c>
      <c r="G1433">
        <v>29323214</v>
      </c>
      <c r="J1433">
        <v>75.819999999999993</v>
      </c>
      <c r="L1433">
        <v>46463316</v>
      </c>
      <c r="M1433" s="1">
        <v>44224</v>
      </c>
      <c r="N1433" t="str">
        <f>"O210128AB1"</f>
        <v>O210128AB1</v>
      </c>
      <c r="O1433" t="s">
        <v>28</v>
      </c>
      <c r="Q1433" t="s">
        <v>29</v>
      </c>
      <c r="R1433" t="s">
        <v>28</v>
      </c>
      <c r="S1433" t="s">
        <v>6529</v>
      </c>
      <c r="T1433" t="s">
        <v>6530</v>
      </c>
      <c r="U1433" t="s">
        <v>6531</v>
      </c>
      <c r="W1433" t="s">
        <v>75</v>
      </c>
      <c r="X1433" t="s">
        <v>34</v>
      </c>
      <c r="Y1433" t="str">
        <f>"77024"</f>
        <v>77024</v>
      </c>
    </row>
    <row r="1434" spans="1:25" x14ac:dyDescent="0.25">
      <c r="A1434" t="s">
        <v>6532</v>
      </c>
      <c r="B1434" t="s">
        <v>6533</v>
      </c>
      <c r="C1434">
        <v>2020</v>
      </c>
      <c r="D1434">
        <v>8001</v>
      </c>
      <c r="E1434">
        <v>2</v>
      </c>
      <c r="F1434" t="s">
        <v>6534</v>
      </c>
      <c r="G1434">
        <v>0</v>
      </c>
      <c r="J1434">
        <v>15.07</v>
      </c>
      <c r="L1434">
        <v>47057114</v>
      </c>
      <c r="M1434" s="1">
        <v>44263</v>
      </c>
      <c r="N1434" t="str">
        <f>"RP210308F1"</f>
        <v>RP210308F1</v>
      </c>
      <c r="O1434" t="s">
        <v>28</v>
      </c>
      <c r="Q1434" t="s">
        <v>29</v>
      </c>
      <c r="R1434" t="s">
        <v>28</v>
      </c>
      <c r="S1434" t="s">
        <v>6534</v>
      </c>
      <c r="T1434" t="s">
        <v>6535</v>
      </c>
      <c r="U1434" t="s">
        <v>60</v>
      </c>
      <c r="V1434" t="s">
        <v>60</v>
      </c>
      <c r="W1434" t="s">
        <v>1333</v>
      </c>
      <c r="X1434" t="s">
        <v>34</v>
      </c>
      <c r="Y1434" t="str">
        <f>"774592635   "</f>
        <v xml:space="preserve">774592635   </v>
      </c>
    </row>
    <row r="1435" spans="1:25" x14ac:dyDescent="0.25">
      <c r="A1435" t="s">
        <v>6536</v>
      </c>
      <c r="B1435" t="s">
        <v>6537</v>
      </c>
      <c r="C1435">
        <v>2019</v>
      </c>
      <c r="D1435">
        <v>8001</v>
      </c>
      <c r="E1435">
        <v>2</v>
      </c>
      <c r="F1435" t="s">
        <v>6122</v>
      </c>
      <c r="G1435">
        <v>28063011</v>
      </c>
      <c r="J1435" s="2">
        <v>7520.72</v>
      </c>
      <c r="L1435">
        <v>43330779</v>
      </c>
      <c r="M1435" s="1">
        <v>43859</v>
      </c>
      <c r="N1435" t="str">
        <f>"O200129AX1"</f>
        <v>O200129AX1</v>
      </c>
      <c r="O1435" t="s">
        <v>28</v>
      </c>
      <c r="Q1435" t="s">
        <v>29</v>
      </c>
      <c r="R1435" t="s">
        <v>28</v>
      </c>
      <c r="S1435" t="s">
        <v>6123</v>
      </c>
      <c r="T1435" t="s">
        <v>6124</v>
      </c>
      <c r="U1435" t="s">
        <v>225</v>
      </c>
      <c r="W1435" t="s">
        <v>226</v>
      </c>
      <c r="X1435" t="s">
        <v>227</v>
      </c>
      <c r="Y1435" t="str">
        <f>"852541720"</f>
        <v>852541720</v>
      </c>
    </row>
    <row r="1436" spans="1:25" x14ac:dyDescent="0.25">
      <c r="A1436" t="s">
        <v>6538</v>
      </c>
      <c r="B1436" t="s">
        <v>6539</v>
      </c>
      <c r="C1436">
        <v>2020</v>
      </c>
      <c r="D1436">
        <v>8001</v>
      </c>
      <c r="E1436">
        <v>1</v>
      </c>
      <c r="F1436" t="s">
        <v>6540</v>
      </c>
      <c r="G1436">
        <v>0</v>
      </c>
      <c r="J1436">
        <v>8.77</v>
      </c>
      <c r="L1436">
        <v>45359205</v>
      </c>
      <c r="M1436" s="1">
        <v>44183</v>
      </c>
      <c r="N1436" t="str">
        <f>"L201218"</f>
        <v>L201218</v>
      </c>
      <c r="O1436" t="s">
        <v>28</v>
      </c>
      <c r="Q1436" t="s">
        <v>29</v>
      </c>
      <c r="R1436" t="s">
        <v>28</v>
      </c>
      <c r="S1436" t="s">
        <v>6540</v>
      </c>
      <c r="T1436" t="s">
        <v>6541</v>
      </c>
      <c r="U1436" t="s">
        <v>60</v>
      </c>
      <c r="V1436" t="s">
        <v>60</v>
      </c>
      <c r="W1436" t="s">
        <v>376</v>
      </c>
      <c r="X1436" t="s">
        <v>34</v>
      </c>
      <c r="Y1436" t="str">
        <f>"774773035   "</f>
        <v xml:space="preserve">774773035   </v>
      </c>
    </row>
    <row r="1437" spans="1:25" x14ac:dyDescent="0.25">
      <c r="A1437" t="s">
        <v>6542</v>
      </c>
      <c r="B1437" t="s">
        <v>6543</v>
      </c>
      <c r="C1437">
        <v>2020</v>
      </c>
      <c r="D1437">
        <v>8001</v>
      </c>
      <c r="E1437">
        <v>1</v>
      </c>
      <c r="F1437" t="s">
        <v>6544</v>
      </c>
      <c r="G1437">
        <v>27328985</v>
      </c>
      <c r="J1437">
        <v>17.97</v>
      </c>
      <c r="L1437">
        <v>47413061</v>
      </c>
      <c r="M1437" s="1">
        <v>44334</v>
      </c>
      <c r="N1437" t="str">
        <f>"RC210524"</f>
        <v>RC210524</v>
      </c>
      <c r="O1437" t="s">
        <v>28</v>
      </c>
      <c r="Q1437" t="s">
        <v>29</v>
      </c>
      <c r="R1437" t="s">
        <v>28</v>
      </c>
      <c r="S1437" t="s">
        <v>6545</v>
      </c>
      <c r="T1437" t="s">
        <v>6546</v>
      </c>
      <c r="U1437" t="s">
        <v>6547</v>
      </c>
      <c r="W1437" t="s">
        <v>6548</v>
      </c>
      <c r="X1437" t="s">
        <v>34</v>
      </c>
      <c r="Y1437" t="str">
        <f>"79424"</f>
        <v>79424</v>
      </c>
    </row>
    <row r="1438" spans="1:25" x14ac:dyDescent="0.25">
      <c r="A1438" t="s">
        <v>6549</v>
      </c>
      <c r="B1438" t="s">
        <v>6550</v>
      </c>
      <c r="C1438">
        <v>2020</v>
      </c>
      <c r="D1438">
        <v>8001</v>
      </c>
      <c r="E1438">
        <v>1</v>
      </c>
      <c r="F1438" t="s">
        <v>6551</v>
      </c>
      <c r="G1438">
        <v>0</v>
      </c>
      <c r="J1438">
        <v>87.31</v>
      </c>
      <c r="L1438">
        <v>45475039</v>
      </c>
      <c r="M1438" s="1">
        <v>44193</v>
      </c>
      <c r="N1438" t="str">
        <f>"L201228A"</f>
        <v>L201228A</v>
      </c>
      <c r="O1438" t="s">
        <v>28</v>
      </c>
      <c r="Q1438" t="s">
        <v>29</v>
      </c>
      <c r="R1438" t="s">
        <v>28</v>
      </c>
      <c r="S1438" t="s">
        <v>6551</v>
      </c>
      <c r="T1438" t="s">
        <v>6552</v>
      </c>
      <c r="U1438" t="s">
        <v>6553</v>
      </c>
      <c r="V1438" t="s">
        <v>60</v>
      </c>
      <c r="W1438" t="s">
        <v>376</v>
      </c>
      <c r="X1438" t="s">
        <v>34</v>
      </c>
      <c r="Y1438" t="str">
        <f>"774772836   "</f>
        <v xml:space="preserve">774772836   </v>
      </c>
    </row>
    <row r="1439" spans="1:25" x14ac:dyDescent="0.25">
      <c r="A1439" t="s">
        <v>6554</v>
      </c>
      <c r="B1439" t="s">
        <v>6555</v>
      </c>
      <c r="C1439">
        <v>2018</v>
      </c>
      <c r="D1439">
        <v>8001</v>
      </c>
      <c r="E1439">
        <v>2</v>
      </c>
      <c r="F1439" t="s">
        <v>6556</v>
      </c>
      <c r="G1439">
        <v>22549674</v>
      </c>
      <c r="J1439">
        <v>124.87</v>
      </c>
      <c r="L1439">
        <v>41394509</v>
      </c>
      <c r="M1439" s="1">
        <v>43658</v>
      </c>
      <c r="N1439" t="str">
        <f>"O190712AB1"</f>
        <v>O190712AB1</v>
      </c>
      <c r="O1439" t="s">
        <v>28</v>
      </c>
      <c r="Q1439" t="s">
        <v>29</v>
      </c>
      <c r="R1439" t="s">
        <v>28</v>
      </c>
      <c r="S1439" t="s">
        <v>6557</v>
      </c>
      <c r="T1439" t="s">
        <v>6558</v>
      </c>
      <c r="U1439" t="s">
        <v>6559</v>
      </c>
      <c r="W1439" t="s">
        <v>107</v>
      </c>
      <c r="X1439" t="s">
        <v>34</v>
      </c>
      <c r="Y1439" t="str">
        <f>"774505694"</f>
        <v>774505694</v>
      </c>
    </row>
    <row r="1440" spans="1:25" x14ac:dyDescent="0.25">
      <c r="A1440" t="s">
        <v>6560</v>
      </c>
      <c r="B1440" t="s">
        <v>6561</v>
      </c>
      <c r="C1440">
        <v>2019</v>
      </c>
      <c r="D1440">
        <v>8001</v>
      </c>
      <c r="E1440">
        <v>2</v>
      </c>
      <c r="F1440" t="s">
        <v>6122</v>
      </c>
      <c r="G1440">
        <v>28063011</v>
      </c>
      <c r="J1440" s="2">
        <v>3841.72</v>
      </c>
      <c r="L1440">
        <v>43330779</v>
      </c>
      <c r="M1440" s="1">
        <v>43859</v>
      </c>
      <c r="N1440" t="str">
        <f>"O200129AX1"</f>
        <v>O200129AX1</v>
      </c>
      <c r="O1440" t="s">
        <v>28</v>
      </c>
      <c r="Q1440" t="s">
        <v>29</v>
      </c>
      <c r="R1440" t="s">
        <v>28</v>
      </c>
      <c r="S1440" t="s">
        <v>6123</v>
      </c>
      <c r="T1440" t="s">
        <v>6124</v>
      </c>
      <c r="U1440" t="s">
        <v>225</v>
      </c>
      <c r="W1440" t="s">
        <v>226</v>
      </c>
      <c r="X1440" t="s">
        <v>227</v>
      </c>
      <c r="Y1440" t="str">
        <f>"852541720"</f>
        <v>852541720</v>
      </c>
    </row>
    <row r="1441" spans="1:25" x14ac:dyDescent="0.25">
      <c r="A1441" t="s">
        <v>6562</v>
      </c>
      <c r="B1441" t="s">
        <v>6563</v>
      </c>
      <c r="C1441">
        <v>2019</v>
      </c>
      <c r="D1441">
        <v>8001</v>
      </c>
      <c r="E1441">
        <v>2</v>
      </c>
      <c r="F1441" t="s">
        <v>6122</v>
      </c>
      <c r="G1441">
        <v>28063011</v>
      </c>
      <c r="J1441" s="2">
        <v>3812.43</v>
      </c>
      <c r="L1441">
        <v>43330779</v>
      </c>
      <c r="M1441" s="1">
        <v>43859</v>
      </c>
      <c r="N1441" t="str">
        <f>"O200129AX1"</f>
        <v>O200129AX1</v>
      </c>
      <c r="O1441" t="s">
        <v>28</v>
      </c>
      <c r="Q1441" t="s">
        <v>29</v>
      </c>
      <c r="R1441" t="s">
        <v>28</v>
      </c>
      <c r="S1441" t="s">
        <v>6123</v>
      </c>
      <c r="T1441" t="s">
        <v>6124</v>
      </c>
      <c r="U1441" t="s">
        <v>225</v>
      </c>
      <c r="W1441" t="s">
        <v>226</v>
      </c>
      <c r="X1441" t="s">
        <v>227</v>
      </c>
      <c r="Y1441" t="str">
        <f>"852541720"</f>
        <v>852541720</v>
      </c>
    </row>
    <row r="1442" spans="1:25" x14ac:dyDescent="0.25">
      <c r="A1442" t="s">
        <v>6564</v>
      </c>
      <c r="B1442" t="s">
        <v>6565</v>
      </c>
      <c r="C1442">
        <v>2020</v>
      </c>
      <c r="D1442">
        <v>8001</v>
      </c>
      <c r="E1442">
        <v>1</v>
      </c>
      <c r="F1442" t="s">
        <v>6566</v>
      </c>
      <c r="G1442">
        <v>29489560</v>
      </c>
      <c r="J1442">
        <v>11.89</v>
      </c>
      <c r="L1442">
        <v>46782259</v>
      </c>
      <c r="M1442" s="1">
        <v>44231</v>
      </c>
      <c r="N1442" t="str">
        <f>"CC210204"</f>
        <v>CC210204</v>
      </c>
      <c r="O1442" t="s">
        <v>28</v>
      </c>
      <c r="Q1442" t="s">
        <v>29</v>
      </c>
      <c r="R1442" t="s">
        <v>28</v>
      </c>
      <c r="S1442" t="s">
        <v>6567</v>
      </c>
      <c r="T1442" t="s">
        <v>6568</v>
      </c>
      <c r="W1442" t="s">
        <v>40</v>
      </c>
      <c r="X1442" t="s">
        <v>34</v>
      </c>
      <c r="Y1442" t="str">
        <f>"77498"</f>
        <v>77498</v>
      </c>
    </row>
    <row r="1443" spans="1:25" x14ac:dyDescent="0.25">
      <c r="A1443" t="s">
        <v>6569</v>
      </c>
      <c r="B1443" t="s">
        <v>6570</v>
      </c>
      <c r="C1443">
        <v>2019</v>
      </c>
      <c r="D1443">
        <v>8001</v>
      </c>
      <c r="E1443">
        <v>1</v>
      </c>
      <c r="F1443" t="s">
        <v>6571</v>
      </c>
      <c r="G1443">
        <v>28305714</v>
      </c>
      <c r="J1443">
        <v>18.420000000000002</v>
      </c>
      <c r="L1443">
        <v>43875769</v>
      </c>
      <c r="M1443" s="1">
        <v>43894</v>
      </c>
      <c r="N1443" t="str">
        <f>"EK200304"</f>
        <v>EK200304</v>
      </c>
      <c r="O1443" t="s">
        <v>28</v>
      </c>
      <c r="Q1443" t="s">
        <v>29</v>
      </c>
      <c r="R1443" t="s">
        <v>28</v>
      </c>
      <c r="S1443" t="s">
        <v>6571</v>
      </c>
      <c r="T1443" t="s">
        <v>6572</v>
      </c>
      <c r="W1443" t="s">
        <v>6573</v>
      </c>
      <c r="X1443" t="s">
        <v>317</v>
      </c>
      <c r="Y1443" t="str">
        <f>"90808"</f>
        <v>90808</v>
      </c>
    </row>
    <row r="1444" spans="1:25" x14ac:dyDescent="0.25">
      <c r="A1444" t="s">
        <v>6574</v>
      </c>
      <c r="B1444" t="s">
        <v>6575</v>
      </c>
      <c r="C1444">
        <v>2019</v>
      </c>
      <c r="D1444">
        <v>8001</v>
      </c>
      <c r="E1444">
        <v>2</v>
      </c>
      <c r="F1444" t="s">
        <v>6576</v>
      </c>
      <c r="G1444">
        <v>0</v>
      </c>
      <c r="J1444">
        <v>44.71</v>
      </c>
      <c r="L1444">
        <v>43916216</v>
      </c>
      <c r="M1444" s="1">
        <v>43900</v>
      </c>
      <c r="N1444" t="str">
        <f>"J200310AW9"</f>
        <v>J200310AW9</v>
      </c>
      <c r="O1444" t="s">
        <v>28</v>
      </c>
      <c r="Q1444" t="s">
        <v>29</v>
      </c>
      <c r="R1444" t="s">
        <v>28</v>
      </c>
      <c r="S1444" t="s">
        <v>6576</v>
      </c>
      <c r="T1444" t="s">
        <v>6577</v>
      </c>
      <c r="U1444" t="s">
        <v>6578</v>
      </c>
      <c r="V1444" t="s">
        <v>60</v>
      </c>
      <c r="W1444" t="s">
        <v>219</v>
      </c>
      <c r="X1444" t="s">
        <v>34</v>
      </c>
      <c r="Y1444" t="str">
        <f>"774791643   "</f>
        <v xml:space="preserve">774791643   </v>
      </c>
    </row>
    <row r="1445" spans="1:25" x14ac:dyDescent="0.25">
      <c r="A1445" t="s">
        <v>6579</v>
      </c>
      <c r="B1445" t="s">
        <v>6580</v>
      </c>
      <c r="C1445">
        <v>2019</v>
      </c>
      <c r="D1445">
        <v>8001</v>
      </c>
      <c r="E1445">
        <v>1</v>
      </c>
      <c r="F1445" t="s">
        <v>6544</v>
      </c>
      <c r="G1445">
        <v>27328985</v>
      </c>
      <c r="J1445">
        <v>72.92</v>
      </c>
      <c r="L1445">
        <v>42513240</v>
      </c>
      <c r="M1445" s="1">
        <v>43830</v>
      </c>
      <c r="N1445" t="str">
        <f>"O191231AT1"</f>
        <v>O191231AT1</v>
      </c>
      <c r="O1445" t="s">
        <v>28</v>
      </c>
      <c r="Q1445" t="s">
        <v>29</v>
      </c>
      <c r="R1445" t="s">
        <v>28</v>
      </c>
      <c r="S1445" t="s">
        <v>6545</v>
      </c>
      <c r="T1445" t="s">
        <v>6546</v>
      </c>
      <c r="U1445" t="s">
        <v>6547</v>
      </c>
      <c r="W1445" t="s">
        <v>6548</v>
      </c>
      <c r="X1445" t="s">
        <v>34</v>
      </c>
      <c r="Y1445" t="str">
        <f>"79424"</f>
        <v>79424</v>
      </c>
    </row>
    <row r="1446" spans="1:25" x14ac:dyDescent="0.25">
      <c r="A1446" t="s">
        <v>6581</v>
      </c>
      <c r="B1446" t="s">
        <v>6582</v>
      </c>
      <c r="C1446">
        <v>2020</v>
      </c>
      <c r="D1446">
        <v>8001</v>
      </c>
      <c r="E1446">
        <v>1</v>
      </c>
      <c r="F1446" t="s">
        <v>6583</v>
      </c>
      <c r="G1446">
        <v>20345215</v>
      </c>
      <c r="J1446">
        <v>18.559999999999999</v>
      </c>
      <c r="L1446">
        <v>47681824</v>
      </c>
      <c r="M1446" s="1">
        <v>44413</v>
      </c>
      <c r="N1446" t="str">
        <f>"RC210810"</f>
        <v>RC210810</v>
      </c>
      <c r="O1446" t="s">
        <v>28</v>
      </c>
      <c r="Q1446" t="s">
        <v>29</v>
      </c>
      <c r="R1446" t="s">
        <v>28</v>
      </c>
      <c r="S1446" t="s">
        <v>6584</v>
      </c>
      <c r="T1446" t="s">
        <v>6585</v>
      </c>
      <c r="W1446" t="s">
        <v>75</v>
      </c>
      <c r="X1446" t="s">
        <v>34</v>
      </c>
      <c r="Y1446" t="str">
        <f>"77082"</f>
        <v>77082</v>
      </c>
    </row>
    <row r="1447" spans="1:25" x14ac:dyDescent="0.25">
      <c r="A1447" t="s">
        <v>6586</v>
      </c>
      <c r="B1447" t="s">
        <v>6587</v>
      </c>
      <c r="C1447">
        <v>2020</v>
      </c>
      <c r="D1447">
        <v>8001</v>
      </c>
      <c r="E1447">
        <v>1</v>
      </c>
      <c r="F1447" t="s">
        <v>6588</v>
      </c>
      <c r="G1447">
        <v>29604585</v>
      </c>
      <c r="J1447">
        <v>6.28</v>
      </c>
      <c r="L1447">
        <v>47034767</v>
      </c>
      <c r="M1447" s="1">
        <v>44259</v>
      </c>
      <c r="N1447" t="str">
        <f>"CC210304"</f>
        <v>CC210304</v>
      </c>
      <c r="O1447" t="s">
        <v>28</v>
      </c>
      <c r="Q1447" t="s">
        <v>29</v>
      </c>
      <c r="R1447" t="s">
        <v>28</v>
      </c>
      <c r="S1447" t="s">
        <v>6589</v>
      </c>
      <c r="T1447" t="s">
        <v>6590</v>
      </c>
      <c r="W1447" t="s">
        <v>81</v>
      </c>
      <c r="X1447" t="s">
        <v>34</v>
      </c>
      <c r="Y1447" t="str">
        <f>"77469"</f>
        <v>77469</v>
      </c>
    </row>
    <row r="1448" spans="1:25" x14ac:dyDescent="0.25">
      <c r="A1448" t="s">
        <v>6591</v>
      </c>
      <c r="B1448" t="s">
        <v>6592</v>
      </c>
      <c r="C1448">
        <v>2020</v>
      </c>
      <c r="D1448">
        <v>8001</v>
      </c>
      <c r="E1448">
        <v>1</v>
      </c>
      <c r="F1448" t="s">
        <v>6593</v>
      </c>
      <c r="G1448">
        <v>29604583</v>
      </c>
      <c r="J1448">
        <v>76.540000000000006</v>
      </c>
      <c r="L1448">
        <v>47034765</v>
      </c>
      <c r="M1448" s="1">
        <v>44259</v>
      </c>
      <c r="N1448" t="str">
        <f>"CC210304"</f>
        <v>CC210304</v>
      </c>
      <c r="O1448" t="s">
        <v>28</v>
      </c>
      <c r="Q1448" t="s">
        <v>29</v>
      </c>
      <c r="R1448" t="s">
        <v>28</v>
      </c>
      <c r="S1448" t="s">
        <v>6589</v>
      </c>
      <c r="T1448" t="s">
        <v>6590</v>
      </c>
      <c r="W1448" t="s">
        <v>81</v>
      </c>
      <c r="X1448" t="s">
        <v>34</v>
      </c>
      <c r="Y1448" t="str">
        <f>"77469"</f>
        <v>77469</v>
      </c>
    </row>
    <row r="1449" spans="1:25" x14ac:dyDescent="0.25">
      <c r="A1449" t="s">
        <v>6594</v>
      </c>
      <c r="B1449" t="s">
        <v>6595</v>
      </c>
      <c r="C1449">
        <v>2021</v>
      </c>
      <c r="D1449">
        <v>8001</v>
      </c>
      <c r="E1449">
        <v>1</v>
      </c>
      <c r="F1449" t="s">
        <v>6596</v>
      </c>
      <c r="G1449">
        <v>27861344</v>
      </c>
      <c r="J1449">
        <v>18.899999999999999</v>
      </c>
      <c r="L1449">
        <v>48435349</v>
      </c>
      <c r="M1449" s="1">
        <v>44543</v>
      </c>
      <c r="N1449" t="str">
        <f>"RC220114"</f>
        <v>RC220114</v>
      </c>
      <c r="O1449" t="s">
        <v>28</v>
      </c>
      <c r="Q1449" t="s">
        <v>29</v>
      </c>
      <c r="R1449" t="s">
        <v>28</v>
      </c>
      <c r="S1449" t="s">
        <v>6597</v>
      </c>
      <c r="T1449" t="s">
        <v>6598</v>
      </c>
      <c r="W1449" t="s">
        <v>40</v>
      </c>
      <c r="X1449" t="s">
        <v>34</v>
      </c>
      <c r="Y1449" t="str">
        <f>"774792596"</f>
        <v>774792596</v>
      </c>
    </row>
    <row r="1450" spans="1:25" x14ac:dyDescent="0.25">
      <c r="A1450" t="s">
        <v>6599</v>
      </c>
      <c r="B1450" t="s">
        <v>6600</v>
      </c>
      <c r="C1450">
        <v>2020</v>
      </c>
      <c r="D1450">
        <v>8001</v>
      </c>
      <c r="E1450">
        <v>1</v>
      </c>
      <c r="F1450" t="s">
        <v>6601</v>
      </c>
      <c r="G1450">
        <v>22332855</v>
      </c>
      <c r="J1450">
        <v>9</v>
      </c>
      <c r="L1450">
        <v>46907838</v>
      </c>
      <c r="M1450" s="1">
        <v>44238</v>
      </c>
      <c r="N1450" t="str">
        <f>"O210211AZ1"</f>
        <v>O210211AZ1</v>
      </c>
      <c r="O1450" t="s">
        <v>28</v>
      </c>
      <c r="Q1450" t="s">
        <v>29</v>
      </c>
      <c r="R1450" t="s">
        <v>28</v>
      </c>
      <c r="S1450" t="s">
        <v>6602</v>
      </c>
      <c r="T1450" t="s">
        <v>6603</v>
      </c>
      <c r="W1450" t="s">
        <v>4762</v>
      </c>
      <c r="X1450" t="s">
        <v>34</v>
      </c>
      <c r="Y1450" t="str">
        <f>"750012629"</f>
        <v>750012629</v>
      </c>
    </row>
    <row r="1451" spans="1:25" x14ac:dyDescent="0.25">
      <c r="A1451" t="s">
        <v>6604</v>
      </c>
      <c r="B1451" t="s">
        <v>6605</v>
      </c>
      <c r="C1451">
        <v>2020</v>
      </c>
      <c r="D1451">
        <v>8001</v>
      </c>
      <c r="E1451">
        <v>1</v>
      </c>
      <c r="F1451" t="s">
        <v>1431</v>
      </c>
      <c r="G1451">
        <v>0</v>
      </c>
      <c r="J1451">
        <v>10.68</v>
      </c>
      <c r="L1451">
        <v>47055349</v>
      </c>
      <c r="M1451" s="1">
        <v>44263</v>
      </c>
      <c r="N1451" t="str">
        <f>"L210308"</f>
        <v>L210308</v>
      </c>
      <c r="O1451" t="s">
        <v>28</v>
      </c>
      <c r="Q1451" t="s">
        <v>29</v>
      </c>
      <c r="R1451" t="s">
        <v>28</v>
      </c>
      <c r="S1451" t="s">
        <v>1431</v>
      </c>
      <c r="T1451" t="s">
        <v>6606</v>
      </c>
      <c r="U1451" t="s">
        <v>6607</v>
      </c>
      <c r="V1451" t="s">
        <v>60</v>
      </c>
      <c r="W1451" t="s">
        <v>219</v>
      </c>
      <c r="X1451" t="s">
        <v>34</v>
      </c>
      <c r="Y1451" t="str">
        <f>"774783551   "</f>
        <v xml:space="preserve">774783551   </v>
      </c>
    </row>
    <row r="1452" spans="1:25" x14ac:dyDescent="0.25">
      <c r="A1452" t="s">
        <v>6608</v>
      </c>
      <c r="B1452" t="s">
        <v>6609</v>
      </c>
      <c r="C1452">
        <v>2019</v>
      </c>
      <c r="D1452">
        <v>8001</v>
      </c>
      <c r="E1452">
        <v>3</v>
      </c>
      <c r="F1452" t="s">
        <v>6610</v>
      </c>
      <c r="G1452">
        <v>28306931</v>
      </c>
      <c r="J1452">
        <v>84.11</v>
      </c>
      <c r="L1452">
        <v>43890184</v>
      </c>
      <c r="M1452" s="1">
        <v>43895</v>
      </c>
      <c r="N1452" t="str">
        <f>"J200305K3"</f>
        <v>J200305K3</v>
      </c>
      <c r="O1452" t="s">
        <v>28</v>
      </c>
      <c r="Q1452" t="s">
        <v>29</v>
      </c>
      <c r="R1452" t="s">
        <v>28</v>
      </c>
      <c r="S1452" t="s">
        <v>6611</v>
      </c>
      <c r="T1452" t="s">
        <v>6612</v>
      </c>
      <c r="U1452" t="s">
        <v>6613</v>
      </c>
      <c r="W1452" t="s">
        <v>392</v>
      </c>
      <c r="X1452" t="s">
        <v>34</v>
      </c>
      <c r="Y1452" t="str">
        <f>"774891111"</f>
        <v>774891111</v>
      </c>
    </row>
    <row r="1453" spans="1:25" x14ac:dyDescent="0.25">
      <c r="A1453" t="s">
        <v>6614</v>
      </c>
      <c r="B1453" t="s">
        <v>6615</v>
      </c>
      <c r="C1453">
        <v>2019</v>
      </c>
      <c r="D1453">
        <v>8001</v>
      </c>
      <c r="E1453">
        <v>3</v>
      </c>
      <c r="F1453" t="s">
        <v>6616</v>
      </c>
      <c r="G1453">
        <v>0</v>
      </c>
      <c r="J1453">
        <v>23.03</v>
      </c>
      <c r="L1453">
        <v>43915125</v>
      </c>
      <c r="M1453" s="1">
        <v>43900</v>
      </c>
      <c r="N1453" t="str">
        <f>"J200310AW3"</f>
        <v>J200310AW3</v>
      </c>
      <c r="O1453" t="s">
        <v>28</v>
      </c>
      <c r="Q1453" t="s">
        <v>29</v>
      </c>
      <c r="R1453" t="s">
        <v>28</v>
      </c>
      <c r="S1453" t="s">
        <v>6616</v>
      </c>
      <c r="T1453" t="s">
        <v>6617</v>
      </c>
      <c r="U1453" t="s">
        <v>6618</v>
      </c>
      <c r="V1453" t="s">
        <v>6619</v>
      </c>
      <c r="W1453" t="s">
        <v>219</v>
      </c>
      <c r="X1453" t="s">
        <v>34</v>
      </c>
      <c r="Y1453" t="str">
        <f>"774786212   "</f>
        <v xml:space="preserve">774786212   </v>
      </c>
    </row>
    <row r="1454" spans="1:25" x14ac:dyDescent="0.25">
      <c r="A1454" t="s">
        <v>6620</v>
      </c>
      <c r="B1454" t="s">
        <v>6621</v>
      </c>
      <c r="C1454">
        <v>2020</v>
      </c>
      <c r="D1454">
        <v>8001</v>
      </c>
      <c r="E1454">
        <v>2</v>
      </c>
      <c r="F1454" t="s">
        <v>6622</v>
      </c>
      <c r="G1454">
        <v>27117892</v>
      </c>
      <c r="J1454">
        <v>70.12</v>
      </c>
      <c r="L1454">
        <v>47057705</v>
      </c>
      <c r="M1454" s="1">
        <v>44263</v>
      </c>
      <c r="N1454" t="str">
        <f>"O210308BD1"</f>
        <v>O210308BD1</v>
      </c>
      <c r="O1454" t="s">
        <v>28</v>
      </c>
      <c r="Q1454" t="s">
        <v>29</v>
      </c>
      <c r="R1454" t="s">
        <v>28</v>
      </c>
      <c r="S1454" t="s">
        <v>6623</v>
      </c>
      <c r="T1454" t="s">
        <v>6624</v>
      </c>
      <c r="W1454" t="s">
        <v>75</v>
      </c>
      <c r="X1454" t="s">
        <v>34</v>
      </c>
      <c r="Y1454" t="str">
        <f>"770837217"</f>
        <v>770837217</v>
      </c>
    </row>
    <row r="1455" spans="1:25" x14ac:dyDescent="0.25">
      <c r="A1455" t="s">
        <v>6625</v>
      </c>
      <c r="B1455" t="s">
        <v>6626</v>
      </c>
      <c r="C1455">
        <v>2020</v>
      </c>
      <c r="D1455">
        <v>8001</v>
      </c>
      <c r="E1455">
        <v>1</v>
      </c>
      <c r="F1455" t="s">
        <v>6627</v>
      </c>
      <c r="G1455">
        <v>27085607</v>
      </c>
      <c r="J1455">
        <v>20.66</v>
      </c>
      <c r="L1455">
        <v>47055303</v>
      </c>
      <c r="M1455" s="1">
        <v>44263</v>
      </c>
      <c r="N1455" t="str">
        <f>"RC210317"</f>
        <v>RC210317</v>
      </c>
      <c r="O1455" t="s">
        <v>28</v>
      </c>
      <c r="Q1455" t="s">
        <v>29</v>
      </c>
      <c r="R1455" t="s">
        <v>28</v>
      </c>
      <c r="S1455" t="s">
        <v>6628</v>
      </c>
      <c r="T1455" t="s">
        <v>6629</v>
      </c>
      <c r="W1455" t="s">
        <v>107</v>
      </c>
      <c r="X1455" t="s">
        <v>34</v>
      </c>
      <c r="Y1455" t="str">
        <f>"77494"</f>
        <v>77494</v>
      </c>
    </row>
    <row r="1456" spans="1:25" x14ac:dyDescent="0.25">
      <c r="A1456" t="s">
        <v>6630</v>
      </c>
      <c r="B1456" t="s">
        <v>6631</v>
      </c>
      <c r="C1456">
        <v>2020</v>
      </c>
      <c r="D1456">
        <v>8001</v>
      </c>
      <c r="E1456">
        <v>1</v>
      </c>
      <c r="F1456" t="s">
        <v>6632</v>
      </c>
      <c r="G1456">
        <v>0</v>
      </c>
      <c r="J1456">
        <v>10.39</v>
      </c>
      <c r="L1456">
        <v>47506243</v>
      </c>
      <c r="M1456" s="1">
        <v>44354</v>
      </c>
      <c r="N1456" t="str">
        <f>"J210607BW2"</f>
        <v>J210607BW2</v>
      </c>
      <c r="O1456" t="s">
        <v>28</v>
      </c>
      <c r="Q1456" t="s">
        <v>29</v>
      </c>
      <c r="R1456" t="s">
        <v>28</v>
      </c>
      <c r="S1456" t="s">
        <v>6632</v>
      </c>
      <c r="T1456" t="s">
        <v>6633</v>
      </c>
      <c r="U1456" t="s">
        <v>60</v>
      </c>
      <c r="V1456" t="s">
        <v>60</v>
      </c>
      <c r="W1456" t="s">
        <v>6634</v>
      </c>
      <c r="X1456" t="s">
        <v>34</v>
      </c>
      <c r="Y1456" t="str">
        <f>"774239403   "</f>
        <v xml:space="preserve">774239403   </v>
      </c>
    </row>
    <row r="1457" spans="1:25" x14ac:dyDescent="0.25">
      <c r="A1457" t="s">
        <v>6635</v>
      </c>
      <c r="B1457" t="s">
        <v>6636</v>
      </c>
      <c r="C1457">
        <v>2020</v>
      </c>
      <c r="D1457">
        <v>8001</v>
      </c>
      <c r="E1457">
        <v>1</v>
      </c>
      <c r="F1457" t="s">
        <v>6637</v>
      </c>
      <c r="G1457">
        <v>29017067</v>
      </c>
      <c r="J1457">
        <v>14.77</v>
      </c>
      <c r="L1457">
        <v>45628419</v>
      </c>
      <c r="M1457" s="1">
        <v>44200</v>
      </c>
      <c r="N1457" t="str">
        <f>"O210104AO5"</f>
        <v>O210104AO5</v>
      </c>
      <c r="O1457" t="s">
        <v>28</v>
      </c>
      <c r="Q1457" t="s">
        <v>29</v>
      </c>
      <c r="R1457" t="s">
        <v>28</v>
      </c>
      <c r="S1457" t="s">
        <v>6638</v>
      </c>
      <c r="T1457" t="s">
        <v>6639</v>
      </c>
      <c r="U1457" t="s">
        <v>3299</v>
      </c>
      <c r="W1457" t="s">
        <v>1160</v>
      </c>
      <c r="X1457" t="s">
        <v>34</v>
      </c>
      <c r="Y1457" t="str">
        <f>"775452093"</f>
        <v>775452093</v>
      </c>
    </row>
    <row r="1458" spans="1:25" x14ac:dyDescent="0.25">
      <c r="A1458" t="s">
        <v>6640</v>
      </c>
      <c r="B1458" t="s">
        <v>6641</v>
      </c>
      <c r="C1458">
        <v>2020</v>
      </c>
      <c r="D1458">
        <v>8001</v>
      </c>
      <c r="E1458">
        <v>2</v>
      </c>
      <c r="F1458" t="s">
        <v>1201</v>
      </c>
      <c r="G1458">
        <v>26699210</v>
      </c>
      <c r="J1458">
        <v>261.33</v>
      </c>
      <c r="L1458">
        <v>47188432</v>
      </c>
      <c r="M1458" s="1">
        <v>44284</v>
      </c>
      <c r="N1458" t="str">
        <f>"RC210414"</f>
        <v>RC210414</v>
      </c>
      <c r="O1458" t="s">
        <v>28</v>
      </c>
      <c r="Q1458" t="s">
        <v>29</v>
      </c>
      <c r="R1458" t="s">
        <v>28</v>
      </c>
      <c r="S1458" t="s">
        <v>6642</v>
      </c>
      <c r="T1458" t="s">
        <v>1202</v>
      </c>
      <c r="W1458" t="s">
        <v>40</v>
      </c>
      <c r="X1458" t="s">
        <v>34</v>
      </c>
      <c r="Y1458" t="str">
        <f>"77479"</f>
        <v>77479</v>
      </c>
    </row>
    <row r="1459" spans="1:25" x14ac:dyDescent="0.25">
      <c r="A1459" t="s">
        <v>6643</v>
      </c>
      <c r="B1459" t="s">
        <v>6644</v>
      </c>
      <c r="C1459">
        <v>2020</v>
      </c>
      <c r="D1459">
        <v>8001</v>
      </c>
      <c r="E1459">
        <v>5</v>
      </c>
      <c r="F1459" t="s">
        <v>6645</v>
      </c>
      <c r="G1459">
        <v>29958469</v>
      </c>
      <c r="J1459">
        <v>604.45000000000005</v>
      </c>
      <c r="L1459">
        <v>47621332</v>
      </c>
      <c r="M1459" s="1">
        <v>44397</v>
      </c>
      <c r="N1459" t="str">
        <f>"RC210809"</f>
        <v>RC210809</v>
      </c>
      <c r="O1459" t="s">
        <v>28</v>
      </c>
      <c r="Q1459" t="s">
        <v>29</v>
      </c>
      <c r="R1459" t="s">
        <v>28</v>
      </c>
      <c r="S1459" t="s">
        <v>6646</v>
      </c>
      <c r="T1459" t="s">
        <v>6647</v>
      </c>
      <c r="W1459" t="s">
        <v>40</v>
      </c>
      <c r="X1459" t="s">
        <v>34</v>
      </c>
      <c r="Y1459" t="str">
        <f>"77498"</f>
        <v>77498</v>
      </c>
    </row>
    <row r="1460" spans="1:25" x14ac:dyDescent="0.25">
      <c r="A1460" t="s">
        <v>6648</v>
      </c>
      <c r="B1460" t="s">
        <v>6649</v>
      </c>
      <c r="C1460">
        <v>2020</v>
      </c>
      <c r="D1460">
        <v>8001</v>
      </c>
      <c r="E1460">
        <v>2</v>
      </c>
      <c r="F1460" t="s">
        <v>6650</v>
      </c>
      <c r="G1460">
        <v>0</v>
      </c>
      <c r="J1460">
        <v>114.52</v>
      </c>
      <c r="L1460">
        <v>45974498</v>
      </c>
      <c r="M1460" s="1">
        <v>44210</v>
      </c>
      <c r="N1460" t="str">
        <f>"L210114"</f>
        <v>L210114</v>
      </c>
      <c r="O1460" t="s">
        <v>28</v>
      </c>
      <c r="Q1460" t="s">
        <v>29</v>
      </c>
      <c r="R1460" t="s">
        <v>28</v>
      </c>
      <c r="S1460" t="s">
        <v>6650</v>
      </c>
      <c r="T1460" t="s">
        <v>6651</v>
      </c>
      <c r="U1460" t="s">
        <v>60</v>
      </c>
      <c r="V1460" t="s">
        <v>60</v>
      </c>
      <c r="W1460" t="s">
        <v>219</v>
      </c>
      <c r="X1460" t="s">
        <v>34</v>
      </c>
      <c r="Y1460" t="str">
        <f>"774784527   "</f>
        <v xml:space="preserve">774784527   </v>
      </c>
    </row>
    <row r="1461" spans="1:25" x14ac:dyDescent="0.25">
      <c r="A1461" t="s">
        <v>6652</v>
      </c>
      <c r="B1461" t="s">
        <v>6653</v>
      </c>
      <c r="C1461">
        <v>2020</v>
      </c>
      <c r="D1461">
        <v>8001</v>
      </c>
      <c r="E1461">
        <v>1</v>
      </c>
      <c r="F1461" t="s">
        <v>6654</v>
      </c>
      <c r="G1461">
        <v>29120602</v>
      </c>
      <c r="J1461">
        <v>72.73</v>
      </c>
      <c r="L1461">
        <v>45492393</v>
      </c>
      <c r="M1461" s="1">
        <v>44194</v>
      </c>
      <c r="N1461" t="str">
        <f>"RC210115"</f>
        <v>RC210115</v>
      </c>
      <c r="O1461" t="s">
        <v>28</v>
      </c>
      <c r="Q1461" t="s">
        <v>29</v>
      </c>
      <c r="R1461" t="s">
        <v>28</v>
      </c>
      <c r="S1461" t="s">
        <v>6655</v>
      </c>
      <c r="T1461" t="s">
        <v>6656</v>
      </c>
      <c r="W1461" t="s">
        <v>112</v>
      </c>
      <c r="X1461" t="s">
        <v>34</v>
      </c>
      <c r="Y1461" t="str">
        <f>"774783688"</f>
        <v>774783688</v>
      </c>
    </row>
    <row r="1462" spans="1:25" x14ac:dyDescent="0.25">
      <c r="A1462" t="s">
        <v>6657</v>
      </c>
      <c r="B1462" t="s">
        <v>6658</v>
      </c>
      <c r="C1462">
        <v>2021</v>
      </c>
      <c r="D1462">
        <v>8001</v>
      </c>
      <c r="E1462">
        <v>1</v>
      </c>
      <c r="F1462" t="s">
        <v>6659</v>
      </c>
      <c r="G1462">
        <v>30123930</v>
      </c>
      <c r="J1462">
        <v>7.13</v>
      </c>
      <c r="L1462">
        <v>48058049</v>
      </c>
      <c r="M1462" s="1">
        <v>44544</v>
      </c>
      <c r="N1462" t="str">
        <f>"T211214BI2"</f>
        <v>T211214BI2</v>
      </c>
      <c r="O1462" t="s">
        <v>28</v>
      </c>
      <c r="Q1462" t="s">
        <v>29</v>
      </c>
      <c r="R1462" t="s">
        <v>28</v>
      </c>
      <c r="S1462" t="s">
        <v>6660</v>
      </c>
      <c r="T1462" t="s">
        <v>6661</v>
      </c>
      <c r="W1462" t="s">
        <v>392</v>
      </c>
      <c r="X1462" t="s">
        <v>34</v>
      </c>
      <c r="Y1462" t="str">
        <f>"77459"</f>
        <v>77459</v>
      </c>
    </row>
    <row r="1463" spans="1:25" x14ac:dyDescent="0.25">
      <c r="A1463" t="s">
        <v>6662</v>
      </c>
      <c r="B1463" t="s">
        <v>6663</v>
      </c>
      <c r="C1463">
        <v>2019</v>
      </c>
      <c r="D1463">
        <v>8001</v>
      </c>
      <c r="E1463">
        <v>3</v>
      </c>
      <c r="F1463" t="s">
        <v>6664</v>
      </c>
      <c r="G1463">
        <v>0</v>
      </c>
      <c r="J1463">
        <v>24.98</v>
      </c>
      <c r="L1463">
        <v>43922768</v>
      </c>
      <c r="M1463" s="1">
        <v>43901</v>
      </c>
      <c r="N1463" t="str">
        <f>"J200311AW5"</f>
        <v>J200311AW5</v>
      </c>
      <c r="O1463" t="s">
        <v>28</v>
      </c>
      <c r="Q1463" t="s">
        <v>29</v>
      </c>
      <c r="R1463" t="s">
        <v>28</v>
      </c>
      <c r="S1463" t="s">
        <v>6664</v>
      </c>
      <c r="T1463" t="s">
        <v>6665</v>
      </c>
      <c r="U1463" t="s">
        <v>60</v>
      </c>
      <c r="V1463" t="s">
        <v>60</v>
      </c>
      <c r="W1463" t="s">
        <v>219</v>
      </c>
      <c r="X1463" t="s">
        <v>34</v>
      </c>
      <c r="Y1463" t="str">
        <f>"774784088   "</f>
        <v xml:space="preserve">774784088   </v>
      </c>
    </row>
    <row r="1464" spans="1:25" x14ac:dyDescent="0.25">
      <c r="A1464" t="s">
        <v>6666</v>
      </c>
      <c r="B1464" t="s">
        <v>6667</v>
      </c>
      <c r="C1464">
        <v>2020</v>
      </c>
      <c r="D1464">
        <v>8001</v>
      </c>
      <c r="E1464">
        <v>1</v>
      </c>
      <c r="F1464" t="s">
        <v>6668</v>
      </c>
      <c r="G1464">
        <v>29461855</v>
      </c>
      <c r="J1464">
        <v>402.1</v>
      </c>
      <c r="L1464">
        <v>46728855</v>
      </c>
      <c r="M1464" s="1">
        <v>44230</v>
      </c>
      <c r="N1464" t="str">
        <f>"EK210203"</f>
        <v>EK210203</v>
      </c>
      <c r="O1464" t="s">
        <v>28</v>
      </c>
      <c r="Q1464" t="s">
        <v>29</v>
      </c>
      <c r="R1464" t="s">
        <v>28</v>
      </c>
      <c r="S1464" t="s">
        <v>6668</v>
      </c>
      <c r="T1464" t="s">
        <v>6669</v>
      </c>
      <c r="W1464" t="s">
        <v>107</v>
      </c>
      <c r="X1464" t="s">
        <v>34</v>
      </c>
      <c r="Y1464" t="str">
        <f>"77494"</f>
        <v>77494</v>
      </c>
    </row>
    <row r="1465" spans="1:25" x14ac:dyDescent="0.25">
      <c r="A1465" t="s">
        <v>6670</v>
      </c>
      <c r="B1465" t="s">
        <v>6671</v>
      </c>
      <c r="C1465">
        <v>2020</v>
      </c>
      <c r="D1465">
        <v>8001</v>
      </c>
      <c r="E1465">
        <v>1</v>
      </c>
      <c r="F1465" t="s">
        <v>6672</v>
      </c>
      <c r="G1465">
        <v>0</v>
      </c>
      <c r="J1465">
        <v>7.23</v>
      </c>
      <c r="L1465">
        <v>46861462</v>
      </c>
      <c r="M1465" s="1">
        <v>44235</v>
      </c>
      <c r="N1465" t="str">
        <f>"L210208"</f>
        <v>L210208</v>
      </c>
      <c r="O1465" t="s">
        <v>28</v>
      </c>
      <c r="Q1465" t="s">
        <v>29</v>
      </c>
      <c r="R1465" t="s">
        <v>28</v>
      </c>
      <c r="S1465" t="s">
        <v>6672</v>
      </c>
      <c r="T1465" t="s">
        <v>6673</v>
      </c>
      <c r="U1465" t="s">
        <v>60</v>
      </c>
      <c r="V1465" t="s">
        <v>60</v>
      </c>
      <c r="W1465" t="s">
        <v>376</v>
      </c>
      <c r="X1465" t="s">
        <v>34</v>
      </c>
      <c r="Y1465" t="str">
        <f>"774774036   "</f>
        <v xml:space="preserve">774774036   </v>
      </c>
    </row>
    <row r="1466" spans="1:25" x14ac:dyDescent="0.25">
      <c r="A1466" t="s">
        <v>6674</v>
      </c>
      <c r="B1466" t="s">
        <v>6675</v>
      </c>
      <c r="C1466">
        <v>2020</v>
      </c>
      <c r="D1466">
        <v>8001</v>
      </c>
      <c r="E1466">
        <v>1</v>
      </c>
      <c r="F1466" t="s">
        <v>6676</v>
      </c>
      <c r="G1466">
        <v>29960599</v>
      </c>
      <c r="J1466">
        <v>10.9</v>
      </c>
      <c r="L1466">
        <v>47666685</v>
      </c>
      <c r="M1466" s="1">
        <v>44410</v>
      </c>
      <c r="N1466" t="str">
        <f>"RC210810"</f>
        <v>RC210810</v>
      </c>
      <c r="O1466" t="s">
        <v>28</v>
      </c>
      <c r="Q1466" t="s">
        <v>29</v>
      </c>
      <c r="R1466" t="s">
        <v>28</v>
      </c>
      <c r="S1466" t="s">
        <v>6677</v>
      </c>
      <c r="T1466" t="s">
        <v>6678</v>
      </c>
      <c r="W1466" t="s">
        <v>371</v>
      </c>
      <c r="X1466" t="s">
        <v>34</v>
      </c>
      <c r="Y1466" t="str">
        <f>"774772150"</f>
        <v>774772150</v>
      </c>
    </row>
    <row r="1467" spans="1:25" x14ac:dyDescent="0.25">
      <c r="A1467" t="s">
        <v>6679</v>
      </c>
      <c r="B1467" t="s">
        <v>6680</v>
      </c>
      <c r="C1467">
        <v>2020</v>
      </c>
      <c r="D1467">
        <v>8001</v>
      </c>
      <c r="E1467">
        <v>1</v>
      </c>
      <c r="F1467" t="s">
        <v>6681</v>
      </c>
      <c r="G1467">
        <v>29626964</v>
      </c>
      <c r="J1467">
        <v>77.77</v>
      </c>
      <c r="L1467">
        <v>47001503</v>
      </c>
      <c r="M1467" s="1">
        <v>44256</v>
      </c>
      <c r="N1467" t="str">
        <f>"RC210310"</f>
        <v>RC210310</v>
      </c>
      <c r="O1467" t="s">
        <v>28</v>
      </c>
      <c r="Q1467" t="s">
        <v>29</v>
      </c>
      <c r="R1467" t="s">
        <v>28</v>
      </c>
      <c r="S1467" t="s">
        <v>6682</v>
      </c>
      <c r="T1467" t="s">
        <v>6683</v>
      </c>
      <c r="W1467" t="s">
        <v>233</v>
      </c>
      <c r="X1467" t="s">
        <v>34</v>
      </c>
      <c r="Y1467" t="str">
        <f>"76092"</f>
        <v>76092</v>
      </c>
    </row>
    <row r="1468" spans="1:25" x14ac:dyDescent="0.25">
      <c r="A1468" t="s">
        <v>6684</v>
      </c>
      <c r="B1468" t="s">
        <v>6685</v>
      </c>
      <c r="C1468">
        <v>2020</v>
      </c>
      <c r="D1468">
        <v>8001</v>
      </c>
      <c r="E1468">
        <v>1</v>
      </c>
      <c r="F1468" t="s">
        <v>6686</v>
      </c>
      <c r="G1468">
        <v>0</v>
      </c>
      <c r="J1468">
        <v>70.22</v>
      </c>
      <c r="L1468">
        <v>45413408</v>
      </c>
      <c r="M1468" s="1">
        <v>44187</v>
      </c>
      <c r="N1468" t="str">
        <f>"L201222"</f>
        <v>L201222</v>
      </c>
      <c r="O1468" t="s">
        <v>28</v>
      </c>
      <c r="Q1468" t="s">
        <v>29</v>
      </c>
      <c r="R1468" t="s">
        <v>28</v>
      </c>
      <c r="S1468" t="s">
        <v>6686</v>
      </c>
      <c r="T1468" t="s">
        <v>6687</v>
      </c>
      <c r="U1468" t="s">
        <v>60</v>
      </c>
      <c r="V1468" t="s">
        <v>60</v>
      </c>
      <c r="W1468" t="s">
        <v>219</v>
      </c>
      <c r="X1468" t="s">
        <v>34</v>
      </c>
      <c r="Y1468" t="str">
        <f>"774986338   "</f>
        <v xml:space="preserve">774986338   </v>
      </c>
    </row>
    <row r="1469" spans="1:25" x14ac:dyDescent="0.25">
      <c r="A1469" t="s">
        <v>6688</v>
      </c>
      <c r="B1469" t="s">
        <v>6689</v>
      </c>
      <c r="C1469">
        <v>2020</v>
      </c>
      <c r="D1469">
        <v>8001</v>
      </c>
      <c r="E1469">
        <v>1</v>
      </c>
      <c r="F1469" t="s">
        <v>6690</v>
      </c>
      <c r="G1469">
        <v>0</v>
      </c>
      <c r="J1469">
        <v>70.38</v>
      </c>
      <c r="L1469">
        <v>45374388</v>
      </c>
      <c r="M1469" s="1">
        <v>44186</v>
      </c>
      <c r="N1469" t="str">
        <f>"J201221BW4"</f>
        <v>J201221BW4</v>
      </c>
      <c r="O1469" t="s">
        <v>28</v>
      </c>
      <c r="Q1469" t="s">
        <v>29</v>
      </c>
      <c r="R1469" t="s">
        <v>28</v>
      </c>
      <c r="S1469" t="s">
        <v>6690</v>
      </c>
      <c r="T1469" t="s">
        <v>6691</v>
      </c>
      <c r="U1469" t="s">
        <v>6692</v>
      </c>
      <c r="V1469" t="s">
        <v>60</v>
      </c>
      <c r="W1469" t="s">
        <v>6693</v>
      </c>
      <c r="X1469" t="s">
        <v>34</v>
      </c>
      <c r="Y1469" t="str">
        <f>"773513232   "</f>
        <v xml:space="preserve">773513232   </v>
      </c>
    </row>
    <row r="1470" spans="1:25" x14ac:dyDescent="0.25">
      <c r="A1470" t="s">
        <v>6694</v>
      </c>
      <c r="B1470" t="s">
        <v>6695</v>
      </c>
      <c r="C1470">
        <v>2019</v>
      </c>
      <c r="D1470">
        <v>8001</v>
      </c>
      <c r="E1470">
        <v>2</v>
      </c>
      <c r="F1470" t="s">
        <v>6696</v>
      </c>
      <c r="G1470">
        <v>28310731</v>
      </c>
      <c r="J1470">
        <v>45.38</v>
      </c>
      <c r="L1470">
        <v>43920142</v>
      </c>
      <c r="M1470" s="1">
        <v>43901</v>
      </c>
      <c r="N1470" t="str">
        <f>"R200311AJ1"</f>
        <v>R200311AJ1</v>
      </c>
      <c r="O1470" t="s">
        <v>28</v>
      </c>
      <c r="Q1470" t="s">
        <v>29</v>
      </c>
      <c r="R1470" t="s">
        <v>28</v>
      </c>
      <c r="S1470" t="s">
        <v>6697</v>
      </c>
      <c r="T1470" t="s">
        <v>6698</v>
      </c>
      <c r="W1470" t="s">
        <v>2902</v>
      </c>
      <c r="X1470" t="s">
        <v>317</v>
      </c>
      <c r="Y1470" t="str">
        <f>"91301"</f>
        <v>91301</v>
      </c>
    </row>
    <row r="1471" spans="1:25" x14ac:dyDescent="0.25">
      <c r="A1471" t="s">
        <v>6699</v>
      </c>
      <c r="B1471" t="s">
        <v>6700</v>
      </c>
      <c r="C1471">
        <v>2020</v>
      </c>
      <c r="D1471">
        <v>8001</v>
      </c>
      <c r="E1471">
        <v>1</v>
      </c>
      <c r="F1471" t="s">
        <v>6701</v>
      </c>
      <c r="G1471">
        <v>29604547</v>
      </c>
      <c r="J1471">
        <v>6.37</v>
      </c>
      <c r="L1471">
        <v>47034729</v>
      </c>
      <c r="M1471" s="1">
        <v>44259</v>
      </c>
      <c r="N1471" t="str">
        <f>"CC210304"</f>
        <v>CC210304</v>
      </c>
      <c r="O1471" t="s">
        <v>28</v>
      </c>
      <c r="Q1471" t="s">
        <v>29</v>
      </c>
      <c r="R1471" t="s">
        <v>28</v>
      </c>
      <c r="S1471" t="s">
        <v>6702</v>
      </c>
      <c r="T1471" t="s">
        <v>6703</v>
      </c>
      <c r="W1471" t="s">
        <v>40</v>
      </c>
      <c r="X1471" t="s">
        <v>34</v>
      </c>
      <c r="Y1471" t="str">
        <f>"77478"</f>
        <v>77478</v>
      </c>
    </row>
    <row r="1472" spans="1:25" x14ac:dyDescent="0.25">
      <c r="A1472" t="s">
        <v>6704</v>
      </c>
      <c r="B1472" t="s">
        <v>6705</v>
      </c>
      <c r="C1472">
        <v>2020</v>
      </c>
      <c r="D1472">
        <v>8001</v>
      </c>
      <c r="E1472">
        <v>2</v>
      </c>
      <c r="F1472" t="s">
        <v>6706</v>
      </c>
      <c r="G1472">
        <v>29739233</v>
      </c>
      <c r="J1472">
        <v>15.89</v>
      </c>
      <c r="L1472">
        <v>47282713</v>
      </c>
      <c r="M1472" s="1">
        <v>44298</v>
      </c>
      <c r="N1472" t="str">
        <f>"O210412F1"</f>
        <v>O210412F1</v>
      </c>
      <c r="O1472" t="s">
        <v>28</v>
      </c>
      <c r="Q1472" t="s">
        <v>29</v>
      </c>
      <c r="R1472" t="s">
        <v>28</v>
      </c>
      <c r="S1472" t="s">
        <v>6707</v>
      </c>
      <c r="T1472" t="s">
        <v>6708</v>
      </c>
      <c r="W1472" t="s">
        <v>899</v>
      </c>
      <c r="X1472" t="s">
        <v>900</v>
      </c>
      <c r="Y1472" t="str">
        <f>"606313515"</f>
        <v>606313515</v>
      </c>
    </row>
    <row r="1473" spans="1:25" x14ac:dyDescent="0.25">
      <c r="A1473" t="s">
        <v>6709</v>
      </c>
      <c r="B1473" t="s">
        <v>6710</v>
      </c>
      <c r="C1473">
        <v>2020</v>
      </c>
      <c r="D1473">
        <v>8001</v>
      </c>
      <c r="E1473">
        <v>2</v>
      </c>
      <c r="F1473" t="s">
        <v>6711</v>
      </c>
      <c r="G1473">
        <v>0</v>
      </c>
      <c r="J1473">
        <v>8.0399999999999991</v>
      </c>
      <c r="L1473">
        <v>46965527</v>
      </c>
      <c r="M1473" s="1">
        <v>44251</v>
      </c>
      <c r="N1473" t="str">
        <f>"O210224AR1"</f>
        <v>O210224AR1</v>
      </c>
      <c r="O1473" t="s">
        <v>28</v>
      </c>
      <c r="Q1473" t="s">
        <v>29</v>
      </c>
      <c r="R1473" t="s">
        <v>28</v>
      </c>
      <c r="S1473" t="s">
        <v>6711</v>
      </c>
      <c r="T1473" t="s">
        <v>6712</v>
      </c>
      <c r="U1473" t="s">
        <v>6713</v>
      </c>
      <c r="V1473" t="s">
        <v>60</v>
      </c>
      <c r="W1473" t="s">
        <v>649</v>
      </c>
      <c r="X1473" t="s">
        <v>34</v>
      </c>
      <c r="Y1473" t="str">
        <f>"774712833   "</f>
        <v xml:space="preserve">774712833   </v>
      </c>
    </row>
    <row r="1474" spans="1:25" x14ac:dyDescent="0.25">
      <c r="A1474" t="s">
        <v>6714</v>
      </c>
      <c r="B1474" t="s">
        <v>6715</v>
      </c>
      <c r="C1474">
        <v>2019</v>
      </c>
      <c r="D1474">
        <v>8001</v>
      </c>
      <c r="E1474">
        <v>1</v>
      </c>
      <c r="F1474" t="s">
        <v>6716</v>
      </c>
      <c r="G1474">
        <v>0</v>
      </c>
      <c r="J1474">
        <v>8.67</v>
      </c>
      <c r="L1474">
        <v>42057746</v>
      </c>
      <c r="M1474" s="1">
        <v>43801</v>
      </c>
      <c r="N1474" t="str">
        <f>"L191202"</f>
        <v>L191202</v>
      </c>
      <c r="O1474" t="s">
        <v>28</v>
      </c>
      <c r="Q1474" t="s">
        <v>29</v>
      </c>
      <c r="R1474" t="s">
        <v>28</v>
      </c>
      <c r="S1474" t="s">
        <v>6716</v>
      </c>
      <c r="T1474" t="s">
        <v>6717</v>
      </c>
      <c r="U1474" t="s">
        <v>60</v>
      </c>
      <c r="V1474" t="s">
        <v>60</v>
      </c>
      <c r="W1474" t="s">
        <v>2502</v>
      </c>
      <c r="X1474" t="s">
        <v>34</v>
      </c>
      <c r="Y1474" t="str">
        <f>"775451507   "</f>
        <v xml:space="preserve">775451507   </v>
      </c>
    </row>
    <row r="1475" spans="1:25" x14ac:dyDescent="0.25">
      <c r="A1475" t="s">
        <v>6718</v>
      </c>
      <c r="B1475" t="s">
        <v>6719</v>
      </c>
      <c r="C1475">
        <v>2019</v>
      </c>
      <c r="D1475">
        <v>8001</v>
      </c>
      <c r="E1475">
        <v>2</v>
      </c>
      <c r="F1475" t="s">
        <v>6720</v>
      </c>
      <c r="G1475">
        <v>28305500</v>
      </c>
      <c r="J1475">
        <v>6.29</v>
      </c>
      <c r="L1475">
        <v>43875252</v>
      </c>
      <c r="M1475" s="1">
        <v>43894</v>
      </c>
      <c r="N1475" t="str">
        <f>"CC400304"</f>
        <v>CC400304</v>
      </c>
      <c r="O1475" t="s">
        <v>28</v>
      </c>
      <c r="Q1475" t="s">
        <v>29</v>
      </c>
      <c r="R1475" t="s">
        <v>28</v>
      </c>
      <c r="S1475" t="s">
        <v>6721</v>
      </c>
      <c r="T1475" t="s">
        <v>6722</v>
      </c>
      <c r="W1475" t="s">
        <v>40</v>
      </c>
      <c r="X1475" t="s">
        <v>34</v>
      </c>
      <c r="Y1475" t="str">
        <f>"77479"</f>
        <v>77479</v>
      </c>
    </row>
    <row r="1476" spans="1:25" x14ac:dyDescent="0.25">
      <c r="A1476" t="s">
        <v>6723</v>
      </c>
      <c r="B1476" t="s">
        <v>6724</v>
      </c>
      <c r="C1476">
        <v>2018</v>
      </c>
      <c r="D1476">
        <v>8001</v>
      </c>
      <c r="E1476">
        <v>1</v>
      </c>
      <c r="F1476" t="s">
        <v>6725</v>
      </c>
      <c r="G1476">
        <v>27328750</v>
      </c>
      <c r="J1476">
        <v>23.29</v>
      </c>
      <c r="L1476">
        <v>41063791</v>
      </c>
      <c r="M1476" s="1">
        <v>43558</v>
      </c>
      <c r="N1476" t="str">
        <f>"EK190403"</f>
        <v>EK190403</v>
      </c>
      <c r="O1476" t="s">
        <v>28</v>
      </c>
      <c r="Q1476" t="s">
        <v>29</v>
      </c>
      <c r="R1476" t="s">
        <v>28</v>
      </c>
      <c r="S1476" t="s">
        <v>6726</v>
      </c>
      <c r="T1476" t="s">
        <v>6727</v>
      </c>
      <c r="W1476" t="s">
        <v>107</v>
      </c>
      <c r="X1476" t="s">
        <v>34</v>
      </c>
      <c r="Y1476" t="str">
        <f>"77494"</f>
        <v>77494</v>
      </c>
    </row>
    <row r="1477" spans="1:25" x14ac:dyDescent="0.25">
      <c r="A1477" t="s">
        <v>6728</v>
      </c>
      <c r="B1477" t="s">
        <v>6729</v>
      </c>
      <c r="C1477">
        <v>2020</v>
      </c>
      <c r="D1477">
        <v>8001</v>
      </c>
      <c r="E1477">
        <v>1</v>
      </c>
      <c r="F1477" t="s">
        <v>6730</v>
      </c>
      <c r="G1477">
        <v>29604576</v>
      </c>
      <c r="J1477">
        <v>16.899999999999999</v>
      </c>
      <c r="L1477">
        <v>47034758</v>
      </c>
      <c r="M1477" s="1">
        <v>44259</v>
      </c>
      <c r="N1477" t="str">
        <f>"CC210304"</f>
        <v>CC210304</v>
      </c>
      <c r="O1477" t="s">
        <v>28</v>
      </c>
      <c r="Q1477" t="s">
        <v>29</v>
      </c>
      <c r="R1477" t="s">
        <v>28</v>
      </c>
      <c r="S1477" t="s">
        <v>6731</v>
      </c>
      <c r="T1477" t="s">
        <v>6732</v>
      </c>
      <c r="W1477" t="s">
        <v>40</v>
      </c>
      <c r="X1477" t="s">
        <v>34</v>
      </c>
      <c r="Y1477" t="str">
        <f>"77479"</f>
        <v>77479</v>
      </c>
    </row>
    <row r="1478" spans="1:25" x14ac:dyDescent="0.25">
      <c r="A1478" t="s">
        <v>6733</v>
      </c>
      <c r="B1478" t="s">
        <v>6734</v>
      </c>
      <c r="C1478">
        <v>2020</v>
      </c>
      <c r="D1478">
        <v>8001</v>
      </c>
      <c r="E1478">
        <v>1</v>
      </c>
      <c r="F1478" t="s">
        <v>6735</v>
      </c>
      <c r="G1478">
        <v>28897852</v>
      </c>
      <c r="J1478">
        <v>11.42</v>
      </c>
      <c r="L1478">
        <v>45194523</v>
      </c>
      <c r="M1478" s="1">
        <v>44174</v>
      </c>
      <c r="N1478" t="str">
        <f>"RC201217"</f>
        <v>RC201217</v>
      </c>
      <c r="O1478" t="s">
        <v>28</v>
      </c>
      <c r="Q1478" t="s">
        <v>29</v>
      </c>
      <c r="R1478" t="s">
        <v>28</v>
      </c>
      <c r="S1478" t="s">
        <v>6736</v>
      </c>
      <c r="T1478" t="s">
        <v>6737</v>
      </c>
      <c r="W1478" t="s">
        <v>75</v>
      </c>
      <c r="X1478" t="s">
        <v>34</v>
      </c>
      <c r="Y1478" t="str">
        <f>"770595012"</f>
        <v>770595012</v>
      </c>
    </row>
    <row r="1479" spans="1:25" x14ac:dyDescent="0.25">
      <c r="A1479" t="s">
        <v>6738</v>
      </c>
      <c r="B1479" t="s">
        <v>6739</v>
      </c>
      <c r="C1479">
        <v>2020</v>
      </c>
      <c r="D1479">
        <v>8001</v>
      </c>
      <c r="E1479">
        <v>1</v>
      </c>
      <c r="F1479" t="s">
        <v>6740</v>
      </c>
      <c r="G1479">
        <v>0</v>
      </c>
      <c r="J1479">
        <v>5.96</v>
      </c>
      <c r="L1479">
        <v>46890697</v>
      </c>
      <c r="M1479" s="1">
        <v>44236</v>
      </c>
      <c r="N1479" t="str">
        <f>"J210209K8"</f>
        <v>J210209K8</v>
      </c>
      <c r="O1479" t="s">
        <v>28</v>
      </c>
      <c r="Q1479" t="s">
        <v>29</v>
      </c>
      <c r="R1479" t="s">
        <v>28</v>
      </c>
      <c r="S1479" t="s">
        <v>6740</v>
      </c>
      <c r="T1479" t="s">
        <v>6741</v>
      </c>
      <c r="U1479" t="s">
        <v>6742</v>
      </c>
      <c r="V1479" t="s">
        <v>60</v>
      </c>
      <c r="W1479" t="s">
        <v>6743</v>
      </c>
      <c r="X1479" t="s">
        <v>5576</v>
      </c>
      <c r="Y1479" t="str">
        <f>"370677285   "</f>
        <v xml:space="preserve">370677285   </v>
      </c>
    </row>
    <row r="1480" spans="1:25" x14ac:dyDescent="0.25">
      <c r="A1480" t="s">
        <v>6744</v>
      </c>
      <c r="B1480" t="s">
        <v>6745</v>
      </c>
      <c r="C1480">
        <v>2021</v>
      </c>
      <c r="D1480">
        <v>8001</v>
      </c>
      <c r="E1480">
        <v>1</v>
      </c>
      <c r="F1480" t="s">
        <v>6746</v>
      </c>
      <c r="G1480">
        <v>31000912</v>
      </c>
      <c r="J1480">
        <v>55.97</v>
      </c>
      <c r="L1480">
        <v>48892448</v>
      </c>
      <c r="M1480" s="1">
        <v>44565</v>
      </c>
      <c r="N1480" t="str">
        <f>"RC220209"</f>
        <v>RC220209</v>
      </c>
      <c r="O1480" t="s">
        <v>28</v>
      </c>
      <c r="Q1480" t="s">
        <v>29</v>
      </c>
      <c r="R1480" t="s">
        <v>28</v>
      </c>
      <c r="S1480" t="s">
        <v>6746</v>
      </c>
      <c r="T1480" t="s">
        <v>6747</v>
      </c>
      <c r="U1480" t="s">
        <v>6748</v>
      </c>
      <c r="W1480" t="s">
        <v>81</v>
      </c>
      <c r="X1480" t="s">
        <v>34</v>
      </c>
      <c r="Y1480" t="str">
        <f>"774064340"</f>
        <v>774064340</v>
      </c>
    </row>
    <row r="1481" spans="1:25" x14ac:dyDescent="0.25">
      <c r="A1481" t="s">
        <v>6749</v>
      </c>
      <c r="B1481" t="s">
        <v>6750</v>
      </c>
      <c r="C1481">
        <v>2020</v>
      </c>
      <c r="D1481">
        <v>8001</v>
      </c>
      <c r="E1481">
        <v>1</v>
      </c>
      <c r="F1481" t="s">
        <v>6751</v>
      </c>
      <c r="G1481">
        <v>29461755</v>
      </c>
      <c r="J1481">
        <v>90.1</v>
      </c>
      <c r="L1481">
        <v>46728755</v>
      </c>
      <c r="M1481" s="1">
        <v>44230</v>
      </c>
      <c r="N1481" t="str">
        <f>"EK210203"</f>
        <v>EK210203</v>
      </c>
      <c r="O1481" t="s">
        <v>28</v>
      </c>
      <c r="Q1481" t="s">
        <v>29</v>
      </c>
      <c r="R1481" t="s">
        <v>28</v>
      </c>
      <c r="S1481" t="s">
        <v>6752</v>
      </c>
      <c r="T1481" t="s">
        <v>6753</v>
      </c>
      <c r="W1481" t="s">
        <v>6754</v>
      </c>
      <c r="X1481" t="s">
        <v>227</v>
      </c>
      <c r="Y1481" t="str">
        <f>"85072"</f>
        <v>85072</v>
      </c>
    </row>
    <row r="1482" spans="1:25" x14ac:dyDescent="0.25">
      <c r="A1482" t="s">
        <v>6755</v>
      </c>
      <c r="B1482" t="s">
        <v>6756</v>
      </c>
      <c r="C1482">
        <v>2019</v>
      </c>
      <c r="D1482">
        <v>8001</v>
      </c>
      <c r="E1482">
        <v>2</v>
      </c>
      <c r="F1482" t="s">
        <v>6757</v>
      </c>
      <c r="G1482">
        <v>25434326</v>
      </c>
      <c r="J1482">
        <v>75.53</v>
      </c>
      <c r="L1482">
        <v>42228284</v>
      </c>
      <c r="M1482" s="1">
        <v>43811</v>
      </c>
      <c r="N1482" t="str">
        <f>"J191212K5"</f>
        <v>J191212K5</v>
      </c>
      <c r="O1482" t="s">
        <v>28</v>
      </c>
      <c r="Q1482" t="s">
        <v>29</v>
      </c>
      <c r="R1482" t="s">
        <v>28</v>
      </c>
      <c r="S1482" t="s">
        <v>6758</v>
      </c>
      <c r="T1482" t="s">
        <v>6759</v>
      </c>
      <c r="W1482" t="s">
        <v>392</v>
      </c>
      <c r="X1482" t="s">
        <v>34</v>
      </c>
      <c r="Y1482" t="str">
        <f>"774591809"</f>
        <v>774591809</v>
      </c>
    </row>
    <row r="1483" spans="1:25" x14ac:dyDescent="0.25">
      <c r="A1483" t="s">
        <v>6755</v>
      </c>
      <c r="B1483" t="s">
        <v>6756</v>
      </c>
      <c r="C1483">
        <v>2020</v>
      </c>
      <c r="D1483">
        <v>8001</v>
      </c>
      <c r="E1483">
        <v>1</v>
      </c>
      <c r="F1483" t="s">
        <v>6757</v>
      </c>
      <c r="G1483">
        <v>29604553</v>
      </c>
      <c r="J1483">
        <v>10.3</v>
      </c>
      <c r="L1483">
        <v>47034735</v>
      </c>
      <c r="M1483" s="1">
        <v>44259</v>
      </c>
      <c r="N1483" t="str">
        <f>"CC210304"</f>
        <v>CC210304</v>
      </c>
      <c r="O1483" t="s">
        <v>28</v>
      </c>
      <c r="Q1483" t="s">
        <v>29</v>
      </c>
      <c r="R1483" t="s">
        <v>28</v>
      </c>
      <c r="S1483" t="s">
        <v>6760</v>
      </c>
      <c r="T1483" t="s">
        <v>6761</v>
      </c>
      <c r="W1483" t="s">
        <v>75</v>
      </c>
      <c r="X1483" t="s">
        <v>34</v>
      </c>
      <c r="Y1483" t="str">
        <f>"77088"</f>
        <v>77088</v>
      </c>
    </row>
    <row r="1484" spans="1:25" x14ac:dyDescent="0.25">
      <c r="A1484" t="s">
        <v>6762</v>
      </c>
      <c r="B1484" t="s">
        <v>6763</v>
      </c>
      <c r="C1484">
        <v>2020</v>
      </c>
      <c r="D1484">
        <v>8001</v>
      </c>
      <c r="E1484">
        <v>1</v>
      </c>
      <c r="F1484" t="s">
        <v>6764</v>
      </c>
      <c r="G1484">
        <v>1858826</v>
      </c>
      <c r="J1484">
        <v>23.64</v>
      </c>
      <c r="L1484">
        <v>45573190</v>
      </c>
      <c r="M1484" s="1">
        <v>44679</v>
      </c>
      <c r="N1484" t="str">
        <f>"T220428U1"</f>
        <v>T220428U1</v>
      </c>
      <c r="O1484" t="s">
        <v>28</v>
      </c>
      <c r="Q1484" t="s">
        <v>29</v>
      </c>
      <c r="R1484" t="s">
        <v>28</v>
      </c>
      <c r="S1484" t="s">
        <v>6765</v>
      </c>
      <c r="T1484" t="s">
        <v>6766</v>
      </c>
      <c r="U1484" t="s">
        <v>6767</v>
      </c>
      <c r="W1484" t="s">
        <v>40</v>
      </c>
      <c r="X1484" t="s">
        <v>34</v>
      </c>
      <c r="Y1484" t="str">
        <f>"77478"</f>
        <v>77478</v>
      </c>
    </row>
    <row r="1485" spans="1:25" x14ac:dyDescent="0.25">
      <c r="A1485" t="s">
        <v>6768</v>
      </c>
      <c r="B1485" t="s">
        <v>6769</v>
      </c>
      <c r="C1485">
        <v>2020</v>
      </c>
      <c r="D1485">
        <v>8001</v>
      </c>
      <c r="E1485">
        <v>1</v>
      </c>
      <c r="F1485" t="s">
        <v>6770</v>
      </c>
      <c r="G1485">
        <v>29461879</v>
      </c>
      <c r="J1485">
        <v>38.67</v>
      </c>
      <c r="L1485">
        <v>46728879</v>
      </c>
      <c r="M1485" s="1">
        <v>44230</v>
      </c>
      <c r="N1485" t="str">
        <f>"EK210203"</f>
        <v>EK210203</v>
      </c>
      <c r="O1485" t="s">
        <v>28</v>
      </c>
      <c r="Q1485" t="s">
        <v>29</v>
      </c>
      <c r="R1485" t="s">
        <v>28</v>
      </c>
      <c r="S1485" t="s">
        <v>6770</v>
      </c>
      <c r="T1485" t="s">
        <v>6771</v>
      </c>
      <c r="W1485" t="s">
        <v>75</v>
      </c>
      <c r="X1485" t="s">
        <v>34</v>
      </c>
      <c r="Y1485" t="str">
        <f>"77271"</f>
        <v>77271</v>
      </c>
    </row>
    <row r="1486" spans="1:25" x14ac:dyDescent="0.25">
      <c r="A1486" t="s">
        <v>6772</v>
      </c>
      <c r="B1486" t="s">
        <v>6773</v>
      </c>
      <c r="C1486">
        <v>2020</v>
      </c>
      <c r="D1486">
        <v>8001</v>
      </c>
      <c r="E1486">
        <v>1</v>
      </c>
      <c r="F1486" t="s">
        <v>6774</v>
      </c>
      <c r="G1486">
        <v>0</v>
      </c>
      <c r="J1486">
        <v>5.92</v>
      </c>
      <c r="L1486">
        <v>45091570</v>
      </c>
      <c r="M1486" s="1">
        <v>44168</v>
      </c>
      <c r="N1486" t="str">
        <f>"L201203"</f>
        <v>L201203</v>
      </c>
      <c r="O1486" t="s">
        <v>28</v>
      </c>
      <c r="Q1486" t="s">
        <v>29</v>
      </c>
      <c r="R1486" t="s">
        <v>28</v>
      </c>
      <c r="S1486" t="s">
        <v>6774</v>
      </c>
      <c r="T1486" t="s">
        <v>6775</v>
      </c>
      <c r="U1486" t="s">
        <v>6776</v>
      </c>
      <c r="V1486" t="s">
        <v>60</v>
      </c>
      <c r="W1486" t="s">
        <v>376</v>
      </c>
      <c r="X1486" t="s">
        <v>34</v>
      </c>
      <c r="Y1486" t="str">
        <f>"77477       "</f>
        <v xml:space="preserve">77477       </v>
      </c>
    </row>
    <row r="1487" spans="1:25" x14ac:dyDescent="0.25">
      <c r="A1487" t="s">
        <v>6777</v>
      </c>
      <c r="B1487" t="s">
        <v>6778</v>
      </c>
      <c r="C1487">
        <v>2020</v>
      </c>
      <c r="D1487">
        <v>8001</v>
      </c>
      <c r="E1487">
        <v>1</v>
      </c>
      <c r="F1487" t="s">
        <v>6779</v>
      </c>
      <c r="G1487">
        <v>29461891</v>
      </c>
      <c r="J1487">
        <v>8.5500000000000007</v>
      </c>
      <c r="L1487">
        <v>46728891</v>
      </c>
      <c r="M1487" s="1">
        <v>44230</v>
      </c>
      <c r="N1487" t="str">
        <f>"EK210203"</f>
        <v>EK210203</v>
      </c>
      <c r="O1487" t="s">
        <v>28</v>
      </c>
      <c r="Q1487" t="s">
        <v>29</v>
      </c>
      <c r="R1487" t="s">
        <v>28</v>
      </c>
      <c r="S1487" t="s">
        <v>6357</v>
      </c>
      <c r="T1487" t="s">
        <v>6358</v>
      </c>
      <c r="W1487" t="s">
        <v>727</v>
      </c>
      <c r="X1487" t="s">
        <v>34</v>
      </c>
      <c r="Y1487" t="str">
        <f>"77583"</f>
        <v>77583</v>
      </c>
    </row>
    <row r="1488" spans="1:25" x14ac:dyDescent="0.25">
      <c r="A1488" t="s">
        <v>6780</v>
      </c>
      <c r="B1488" t="s">
        <v>6781</v>
      </c>
      <c r="C1488">
        <v>2019</v>
      </c>
      <c r="D1488">
        <v>8001</v>
      </c>
      <c r="E1488">
        <v>1</v>
      </c>
      <c r="F1488" t="s">
        <v>6782</v>
      </c>
      <c r="G1488">
        <v>28310277</v>
      </c>
      <c r="J1488">
        <v>5.44</v>
      </c>
      <c r="L1488">
        <v>43887098</v>
      </c>
      <c r="M1488" s="1">
        <v>43895</v>
      </c>
      <c r="N1488" t="str">
        <f>"CC200305"</f>
        <v>CC200305</v>
      </c>
      <c r="O1488" t="s">
        <v>28</v>
      </c>
      <c r="Q1488" t="s">
        <v>29</v>
      </c>
      <c r="R1488" t="s">
        <v>28</v>
      </c>
      <c r="S1488" t="s">
        <v>6783</v>
      </c>
      <c r="T1488" t="s">
        <v>6784</v>
      </c>
      <c r="W1488" t="s">
        <v>40</v>
      </c>
      <c r="X1488" t="s">
        <v>34</v>
      </c>
      <c r="Y1488" t="str">
        <f>"77478"</f>
        <v>77478</v>
      </c>
    </row>
    <row r="1489" spans="1:25" x14ac:dyDescent="0.25">
      <c r="A1489" t="s">
        <v>6785</v>
      </c>
      <c r="B1489" t="s">
        <v>6786</v>
      </c>
      <c r="C1489">
        <v>2021</v>
      </c>
      <c r="D1489">
        <v>8001</v>
      </c>
      <c r="E1489">
        <v>1</v>
      </c>
      <c r="F1489" t="s">
        <v>6787</v>
      </c>
      <c r="G1489">
        <v>27762635</v>
      </c>
      <c r="J1489">
        <v>282.98</v>
      </c>
      <c r="L1489">
        <v>49452042</v>
      </c>
      <c r="M1489" s="1">
        <v>44585</v>
      </c>
      <c r="N1489" t="str">
        <f>"RC220309"</f>
        <v>RC220309</v>
      </c>
      <c r="O1489" t="s">
        <v>28</v>
      </c>
      <c r="Q1489" t="s">
        <v>29</v>
      </c>
      <c r="R1489" t="s">
        <v>28</v>
      </c>
      <c r="S1489" t="s">
        <v>6788</v>
      </c>
      <c r="T1489" t="s">
        <v>6789</v>
      </c>
      <c r="W1489" t="s">
        <v>371</v>
      </c>
      <c r="X1489" t="s">
        <v>34</v>
      </c>
      <c r="Y1489" t="str">
        <f>"77477"</f>
        <v>77477</v>
      </c>
    </row>
    <row r="1490" spans="1:25" x14ac:dyDescent="0.25">
      <c r="A1490" t="s">
        <v>6790</v>
      </c>
      <c r="B1490" t="s">
        <v>6791</v>
      </c>
      <c r="C1490">
        <v>2019</v>
      </c>
      <c r="D1490">
        <v>8001</v>
      </c>
      <c r="E1490">
        <v>1</v>
      </c>
      <c r="F1490" t="s">
        <v>6792</v>
      </c>
      <c r="G1490">
        <v>28310270</v>
      </c>
      <c r="J1490">
        <v>85.97</v>
      </c>
      <c r="L1490">
        <v>43887091</v>
      </c>
      <c r="M1490" s="1">
        <v>43895</v>
      </c>
      <c r="N1490" t="str">
        <f>"CC200305"</f>
        <v>CC200305</v>
      </c>
      <c r="O1490" t="s">
        <v>28</v>
      </c>
      <c r="Q1490" t="s">
        <v>29</v>
      </c>
      <c r="R1490" t="s">
        <v>28</v>
      </c>
      <c r="S1490" t="s">
        <v>6793</v>
      </c>
      <c r="T1490" t="s">
        <v>6794</v>
      </c>
      <c r="W1490" t="s">
        <v>392</v>
      </c>
      <c r="X1490" t="s">
        <v>34</v>
      </c>
      <c r="Y1490" t="str">
        <f>"77459"</f>
        <v>77459</v>
      </c>
    </row>
    <row r="1491" spans="1:25" x14ac:dyDescent="0.25">
      <c r="A1491" t="s">
        <v>6795</v>
      </c>
      <c r="B1491" t="s">
        <v>6796</v>
      </c>
      <c r="C1491">
        <v>2020</v>
      </c>
      <c r="D1491">
        <v>8001</v>
      </c>
      <c r="E1491">
        <v>1</v>
      </c>
      <c r="F1491" t="s">
        <v>6797</v>
      </c>
      <c r="G1491">
        <v>29461774</v>
      </c>
      <c r="J1491">
        <v>54.17</v>
      </c>
      <c r="L1491">
        <v>46728774</v>
      </c>
      <c r="M1491" s="1">
        <v>44230</v>
      </c>
      <c r="N1491" t="str">
        <f>"EK210203"</f>
        <v>EK210203</v>
      </c>
      <c r="O1491" t="s">
        <v>28</v>
      </c>
      <c r="Q1491" t="s">
        <v>29</v>
      </c>
      <c r="R1491" t="s">
        <v>28</v>
      </c>
      <c r="S1491" t="s">
        <v>6798</v>
      </c>
      <c r="T1491" t="s">
        <v>6799</v>
      </c>
      <c r="W1491" t="s">
        <v>40</v>
      </c>
      <c r="X1491" t="s">
        <v>34</v>
      </c>
      <c r="Y1491" t="str">
        <f>"77478"</f>
        <v>77478</v>
      </c>
    </row>
    <row r="1492" spans="1:25" x14ac:dyDescent="0.25">
      <c r="A1492" t="s">
        <v>6800</v>
      </c>
      <c r="B1492" t="s">
        <v>6801</v>
      </c>
      <c r="C1492">
        <v>2020</v>
      </c>
      <c r="D1492">
        <v>8001</v>
      </c>
      <c r="E1492">
        <v>1</v>
      </c>
      <c r="F1492" t="s">
        <v>6802</v>
      </c>
      <c r="G1492">
        <v>29461831</v>
      </c>
      <c r="J1492">
        <v>637.23</v>
      </c>
      <c r="L1492">
        <v>46728831</v>
      </c>
      <c r="M1492" s="1">
        <v>44230</v>
      </c>
      <c r="N1492" t="str">
        <f>"EK210203"</f>
        <v>EK210203</v>
      </c>
      <c r="O1492" t="s">
        <v>28</v>
      </c>
      <c r="Q1492" t="s">
        <v>29</v>
      </c>
      <c r="R1492" t="s">
        <v>28</v>
      </c>
      <c r="S1492" t="s">
        <v>6802</v>
      </c>
      <c r="T1492" t="s">
        <v>6803</v>
      </c>
      <c r="W1492" t="s">
        <v>392</v>
      </c>
      <c r="X1492" t="s">
        <v>34</v>
      </c>
      <c r="Y1492" t="str">
        <f>"77459"</f>
        <v>77459</v>
      </c>
    </row>
    <row r="1493" spans="1:25" x14ac:dyDescent="0.25">
      <c r="A1493" t="s">
        <v>6804</v>
      </c>
      <c r="B1493" t="s">
        <v>6805</v>
      </c>
      <c r="C1493">
        <v>2020</v>
      </c>
      <c r="D1493">
        <v>8001</v>
      </c>
      <c r="E1493">
        <v>1</v>
      </c>
      <c r="F1493" t="s">
        <v>6806</v>
      </c>
      <c r="G1493">
        <v>0</v>
      </c>
      <c r="J1493">
        <v>18.899999999999999</v>
      </c>
      <c r="L1493">
        <v>45263689</v>
      </c>
      <c r="M1493" s="1">
        <v>44179</v>
      </c>
      <c r="N1493" t="str">
        <f>"L201214"</f>
        <v>L201214</v>
      </c>
      <c r="O1493" t="s">
        <v>28</v>
      </c>
      <c r="Q1493" t="s">
        <v>29</v>
      </c>
      <c r="R1493" t="s">
        <v>28</v>
      </c>
      <c r="S1493" t="s">
        <v>6806</v>
      </c>
      <c r="T1493" t="s">
        <v>6807</v>
      </c>
      <c r="U1493" t="s">
        <v>6808</v>
      </c>
      <c r="V1493" t="s">
        <v>6809</v>
      </c>
      <c r="W1493" t="s">
        <v>219</v>
      </c>
      <c r="X1493" t="s">
        <v>34</v>
      </c>
      <c r="Y1493" t="str">
        <f>"774783551   "</f>
        <v xml:space="preserve">774783551   </v>
      </c>
    </row>
    <row r="1494" spans="1:25" x14ac:dyDescent="0.25">
      <c r="A1494" t="s">
        <v>6810</v>
      </c>
      <c r="B1494" t="s">
        <v>6811</v>
      </c>
      <c r="C1494">
        <v>2019</v>
      </c>
      <c r="D1494">
        <v>8001</v>
      </c>
      <c r="E1494">
        <v>2</v>
      </c>
      <c r="F1494" t="s">
        <v>6812</v>
      </c>
      <c r="G1494">
        <v>0</v>
      </c>
      <c r="J1494">
        <v>5.48</v>
      </c>
      <c r="L1494">
        <v>43854314</v>
      </c>
      <c r="M1494" s="1">
        <v>43892</v>
      </c>
      <c r="N1494" t="str">
        <f>"O200302BG6"</f>
        <v>O200302BG6</v>
      </c>
      <c r="O1494" t="s">
        <v>28</v>
      </c>
      <c r="Q1494" t="s">
        <v>29</v>
      </c>
      <c r="R1494" t="s">
        <v>28</v>
      </c>
      <c r="S1494" t="s">
        <v>6812</v>
      </c>
      <c r="T1494" t="s">
        <v>6813</v>
      </c>
      <c r="U1494" t="s">
        <v>60</v>
      </c>
      <c r="V1494" t="s">
        <v>60</v>
      </c>
      <c r="W1494" t="s">
        <v>219</v>
      </c>
      <c r="X1494" t="s">
        <v>34</v>
      </c>
      <c r="Y1494" t="str">
        <f>"774781836   "</f>
        <v xml:space="preserve">774781836   </v>
      </c>
    </row>
    <row r="1495" spans="1:25" x14ac:dyDescent="0.25">
      <c r="A1495" t="s">
        <v>6814</v>
      </c>
      <c r="B1495" t="s">
        <v>6815</v>
      </c>
      <c r="C1495">
        <v>2021</v>
      </c>
      <c r="D1495">
        <v>8001</v>
      </c>
      <c r="E1495">
        <v>1</v>
      </c>
      <c r="F1495" t="s">
        <v>6816</v>
      </c>
      <c r="G1495">
        <v>0</v>
      </c>
      <c r="J1495">
        <v>8.31</v>
      </c>
      <c r="L1495">
        <v>49959959</v>
      </c>
      <c r="M1495" s="1">
        <v>44595</v>
      </c>
      <c r="N1495" t="str">
        <f>"J220203K5"</f>
        <v>J220203K5</v>
      </c>
      <c r="O1495" t="s">
        <v>28</v>
      </c>
      <c r="Q1495" t="s">
        <v>29</v>
      </c>
      <c r="R1495" t="s">
        <v>28</v>
      </c>
      <c r="S1495" t="s">
        <v>6816</v>
      </c>
      <c r="T1495" t="s">
        <v>6817</v>
      </c>
      <c r="U1495" t="s">
        <v>60</v>
      </c>
      <c r="V1495" t="s">
        <v>60</v>
      </c>
      <c r="W1495" t="s">
        <v>6818</v>
      </c>
      <c r="X1495" t="s">
        <v>557</v>
      </c>
      <c r="Y1495" t="str">
        <f>"064611673   "</f>
        <v xml:space="preserve">064611673   </v>
      </c>
    </row>
    <row r="1496" spans="1:25" x14ac:dyDescent="0.25">
      <c r="A1496" t="s">
        <v>6819</v>
      </c>
      <c r="B1496" t="s">
        <v>6820</v>
      </c>
      <c r="C1496">
        <v>2019</v>
      </c>
      <c r="D1496">
        <v>8001</v>
      </c>
      <c r="E1496">
        <v>2</v>
      </c>
      <c r="F1496" t="s">
        <v>6821</v>
      </c>
      <c r="G1496">
        <v>28305661</v>
      </c>
      <c r="J1496">
        <v>32.479999999999997</v>
      </c>
      <c r="L1496">
        <v>43875716</v>
      </c>
      <c r="M1496" s="1">
        <v>43894</v>
      </c>
      <c r="N1496" t="str">
        <f>"EK200304"</f>
        <v>EK200304</v>
      </c>
      <c r="O1496" t="s">
        <v>28</v>
      </c>
      <c r="Q1496" t="s">
        <v>29</v>
      </c>
      <c r="R1496" t="s">
        <v>28</v>
      </c>
      <c r="S1496" t="s">
        <v>6821</v>
      </c>
      <c r="T1496" t="s">
        <v>6822</v>
      </c>
      <c r="W1496" t="s">
        <v>936</v>
      </c>
      <c r="X1496" t="s">
        <v>34</v>
      </c>
      <c r="Y1496" t="str">
        <f>"77381"</f>
        <v>77381</v>
      </c>
    </row>
    <row r="1497" spans="1:25" x14ac:dyDescent="0.25">
      <c r="A1497" t="s">
        <v>6823</v>
      </c>
      <c r="B1497" t="s">
        <v>6824</v>
      </c>
      <c r="C1497">
        <v>2019</v>
      </c>
      <c r="D1497">
        <v>8001</v>
      </c>
      <c r="E1497">
        <v>1</v>
      </c>
      <c r="F1497" t="s">
        <v>6825</v>
      </c>
      <c r="G1497">
        <v>28569615</v>
      </c>
      <c r="J1497">
        <v>47.37</v>
      </c>
      <c r="L1497">
        <v>44386552</v>
      </c>
      <c r="M1497" s="1">
        <v>44022</v>
      </c>
      <c r="N1497" t="str">
        <f>"J200710K5"</f>
        <v>J200710K5</v>
      </c>
      <c r="O1497" t="s">
        <v>28</v>
      </c>
      <c r="Q1497" t="s">
        <v>29</v>
      </c>
      <c r="R1497" t="s">
        <v>28</v>
      </c>
      <c r="S1497" t="s">
        <v>6826</v>
      </c>
      <c r="T1497" t="s">
        <v>6827</v>
      </c>
      <c r="W1497" t="s">
        <v>6828</v>
      </c>
      <c r="X1497" t="s">
        <v>1107</v>
      </c>
      <c r="Y1497" t="str">
        <f>"30339"</f>
        <v>30339</v>
      </c>
    </row>
    <row r="1498" spans="1:25" x14ac:dyDescent="0.25">
      <c r="A1498" t="s">
        <v>6829</v>
      </c>
      <c r="B1498" t="s">
        <v>6830</v>
      </c>
      <c r="C1498">
        <v>2020</v>
      </c>
      <c r="D1498">
        <v>8001</v>
      </c>
      <c r="E1498">
        <v>1</v>
      </c>
      <c r="F1498" t="s">
        <v>6831</v>
      </c>
      <c r="G1498">
        <v>0</v>
      </c>
      <c r="J1498">
        <v>265.26</v>
      </c>
      <c r="L1498">
        <v>45263859</v>
      </c>
      <c r="M1498" s="1">
        <v>44179</v>
      </c>
      <c r="N1498" t="str">
        <f>"L201214"</f>
        <v>L201214</v>
      </c>
      <c r="O1498" t="s">
        <v>28</v>
      </c>
      <c r="Q1498" t="s">
        <v>29</v>
      </c>
      <c r="R1498" t="s">
        <v>28</v>
      </c>
      <c r="S1498" t="s">
        <v>6831</v>
      </c>
      <c r="T1498" t="s">
        <v>6832</v>
      </c>
      <c r="U1498" t="s">
        <v>60</v>
      </c>
      <c r="V1498" t="s">
        <v>60</v>
      </c>
      <c r="W1498" t="s">
        <v>219</v>
      </c>
      <c r="X1498" t="s">
        <v>34</v>
      </c>
      <c r="Y1498" t="str">
        <f>"774786240   "</f>
        <v xml:space="preserve">774786240   </v>
      </c>
    </row>
    <row r="1499" spans="1:25" x14ac:dyDescent="0.25">
      <c r="A1499" t="s">
        <v>6833</v>
      </c>
      <c r="B1499" t="s">
        <v>6834</v>
      </c>
      <c r="C1499">
        <v>2020</v>
      </c>
      <c r="D1499">
        <v>8001</v>
      </c>
      <c r="E1499">
        <v>1</v>
      </c>
      <c r="F1499" t="s">
        <v>6835</v>
      </c>
      <c r="G1499">
        <v>0</v>
      </c>
      <c r="J1499">
        <v>26.99</v>
      </c>
      <c r="L1499">
        <v>46861413</v>
      </c>
      <c r="M1499" s="1">
        <v>44235</v>
      </c>
      <c r="N1499" t="str">
        <f>"L210208"</f>
        <v>L210208</v>
      </c>
      <c r="O1499" t="s">
        <v>28</v>
      </c>
      <c r="Q1499" t="s">
        <v>29</v>
      </c>
      <c r="R1499" t="s">
        <v>28</v>
      </c>
      <c r="S1499" t="s">
        <v>6835</v>
      </c>
      <c r="T1499" t="s">
        <v>6836</v>
      </c>
      <c r="U1499" t="s">
        <v>60</v>
      </c>
      <c r="V1499" t="s">
        <v>60</v>
      </c>
      <c r="W1499" t="s">
        <v>1137</v>
      </c>
      <c r="X1499" t="s">
        <v>34</v>
      </c>
      <c r="Y1499" t="str">
        <f>"774508296   "</f>
        <v xml:space="preserve">774508296   </v>
      </c>
    </row>
    <row r="1500" spans="1:25" x14ac:dyDescent="0.25">
      <c r="A1500" t="s">
        <v>6837</v>
      </c>
      <c r="B1500" t="s">
        <v>6838</v>
      </c>
      <c r="C1500">
        <v>2019</v>
      </c>
      <c r="D1500">
        <v>8001</v>
      </c>
      <c r="E1500">
        <v>1</v>
      </c>
      <c r="F1500" t="s">
        <v>6839</v>
      </c>
      <c r="G1500">
        <v>28305476</v>
      </c>
      <c r="J1500">
        <v>9.56</v>
      </c>
      <c r="L1500">
        <v>43875228</v>
      </c>
      <c r="M1500" s="1">
        <v>43894</v>
      </c>
      <c r="N1500" t="str">
        <f>"CC400304"</f>
        <v>CC400304</v>
      </c>
      <c r="O1500" t="s">
        <v>28</v>
      </c>
      <c r="Q1500" t="s">
        <v>29</v>
      </c>
      <c r="R1500" t="s">
        <v>28</v>
      </c>
      <c r="S1500" t="s">
        <v>6840</v>
      </c>
      <c r="T1500" t="s">
        <v>6841</v>
      </c>
      <c r="W1500" t="s">
        <v>81</v>
      </c>
      <c r="X1500" t="s">
        <v>34</v>
      </c>
      <c r="Y1500" t="str">
        <f>"77407"</f>
        <v>77407</v>
      </c>
    </row>
    <row r="1501" spans="1:25" x14ac:dyDescent="0.25">
      <c r="A1501" t="s">
        <v>6842</v>
      </c>
      <c r="B1501" t="s">
        <v>6843</v>
      </c>
      <c r="C1501">
        <v>2019</v>
      </c>
      <c r="D1501">
        <v>8001</v>
      </c>
      <c r="E1501">
        <v>1</v>
      </c>
      <c r="F1501" t="s">
        <v>6839</v>
      </c>
      <c r="G1501">
        <v>28305477</v>
      </c>
      <c r="J1501">
        <v>8.69</v>
      </c>
      <c r="L1501">
        <v>43875229</v>
      </c>
      <c r="M1501" s="1">
        <v>43894</v>
      </c>
      <c r="N1501" t="str">
        <f>"CC400304"</f>
        <v>CC400304</v>
      </c>
      <c r="O1501" t="s">
        <v>28</v>
      </c>
      <c r="Q1501" t="s">
        <v>29</v>
      </c>
      <c r="R1501" t="s">
        <v>28</v>
      </c>
      <c r="S1501" t="s">
        <v>6840</v>
      </c>
      <c r="T1501" t="s">
        <v>6841</v>
      </c>
      <c r="W1501" t="s">
        <v>81</v>
      </c>
      <c r="X1501" t="s">
        <v>34</v>
      </c>
      <c r="Y1501" t="str">
        <f>"77407"</f>
        <v>77407</v>
      </c>
    </row>
    <row r="1502" spans="1:25" x14ac:dyDescent="0.25">
      <c r="A1502" t="s">
        <v>6844</v>
      </c>
      <c r="B1502" t="s">
        <v>6845</v>
      </c>
      <c r="C1502">
        <v>2020</v>
      </c>
      <c r="D1502">
        <v>8001</v>
      </c>
      <c r="E1502">
        <v>1</v>
      </c>
      <c r="F1502" t="s">
        <v>6846</v>
      </c>
      <c r="G1502">
        <v>0</v>
      </c>
      <c r="J1502">
        <v>21.11</v>
      </c>
      <c r="L1502">
        <v>45509983</v>
      </c>
      <c r="M1502" s="1">
        <v>44194</v>
      </c>
      <c r="N1502" t="str">
        <f>"J201229AE1"</f>
        <v>J201229AE1</v>
      </c>
      <c r="O1502" t="s">
        <v>28</v>
      </c>
      <c r="Q1502" t="s">
        <v>29</v>
      </c>
      <c r="R1502" t="s">
        <v>28</v>
      </c>
      <c r="S1502" t="s">
        <v>6846</v>
      </c>
      <c r="T1502" t="s">
        <v>6847</v>
      </c>
      <c r="U1502" t="s">
        <v>60</v>
      </c>
      <c r="V1502" t="s">
        <v>60</v>
      </c>
      <c r="W1502" t="s">
        <v>214</v>
      </c>
      <c r="X1502" t="s">
        <v>34</v>
      </c>
      <c r="Y1502" t="str">
        <f>"774069180   "</f>
        <v xml:space="preserve">774069180   </v>
      </c>
    </row>
    <row r="1503" spans="1:25" x14ac:dyDescent="0.25">
      <c r="A1503" t="s">
        <v>6848</v>
      </c>
      <c r="B1503" t="s">
        <v>6849</v>
      </c>
      <c r="C1503">
        <v>2020</v>
      </c>
      <c r="D1503">
        <v>8001</v>
      </c>
      <c r="E1503">
        <v>1</v>
      </c>
      <c r="F1503" t="s">
        <v>6850</v>
      </c>
      <c r="G1503">
        <v>0</v>
      </c>
      <c r="J1503">
        <v>116.75</v>
      </c>
      <c r="L1503">
        <v>46861509</v>
      </c>
      <c r="M1503" s="1">
        <v>44235</v>
      </c>
      <c r="N1503" t="str">
        <f>"L210208"</f>
        <v>L210208</v>
      </c>
      <c r="O1503" t="s">
        <v>28</v>
      </c>
      <c r="Q1503" t="s">
        <v>29</v>
      </c>
      <c r="R1503" t="s">
        <v>28</v>
      </c>
      <c r="S1503" t="s">
        <v>6850</v>
      </c>
      <c r="T1503" t="s">
        <v>6851</v>
      </c>
      <c r="U1503" t="s">
        <v>60</v>
      </c>
      <c r="V1503" t="s">
        <v>60</v>
      </c>
      <c r="W1503" t="s">
        <v>219</v>
      </c>
      <c r="X1503" t="s">
        <v>34</v>
      </c>
      <c r="Y1503" t="str">
        <f>"774982383   "</f>
        <v xml:space="preserve">774982383   </v>
      </c>
    </row>
    <row r="1504" spans="1:25" x14ac:dyDescent="0.25">
      <c r="A1504" t="s">
        <v>6852</v>
      </c>
      <c r="B1504" t="s">
        <v>6853</v>
      </c>
      <c r="C1504">
        <v>2020</v>
      </c>
      <c r="D1504">
        <v>8001</v>
      </c>
      <c r="E1504">
        <v>1</v>
      </c>
      <c r="F1504" t="s">
        <v>6854</v>
      </c>
      <c r="G1504">
        <v>0</v>
      </c>
      <c r="J1504">
        <v>9.36</v>
      </c>
      <c r="L1504">
        <v>47602890</v>
      </c>
      <c r="M1504" s="1">
        <v>44390</v>
      </c>
      <c r="N1504" t="str">
        <f>"J210713K3"</f>
        <v>J210713K3</v>
      </c>
      <c r="O1504" t="s">
        <v>28</v>
      </c>
      <c r="Q1504" t="s">
        <v>29</v>
      </c>
      <c r="R1504" t="s">
        <v>28</v>
      </c>
      <c r="S1504" t="s">
        <v>6854</v>
      </c>
      <c r="T1504" t="s">
        <v>6855</v>
      </c>
      <c r="U1504" t="s">
        <v>60</v>
      </c>
      <c r="V1504" t="s">
        <v>60</v>
      </c>
      <c r="W1504" t="s">
        <v>6856</v>
      </c>
      <c r="X1504" t="s">
        <v>5576</v>
      </c>
      <c r="Y1504" t="str">
        <f>"372081702   "</f>
        <v xml:space="preserve">372081702   </v>
      </c>
    </row>
    <row r="1505" spans="1:25" x14ac:dyDescent="0.25">
      <c r="A1505" t="s">
        <v>6857</v>
      </c>
      <c r="B1505" t="s">
        <v>6858</v>
      </c>
      <c r="C1505">
        <v>2021</v>
      </c>
      <c r="D1505">
        <v>8001</v>
      </c>
      <c r="E1505">
        <v>1</v>
      </c>
      <c r="F1505" t="s">
        <v>6859</v>
      </c>
      <c r="G1505">
        <v>0</v>
      </c>
      <c r="J1505">
        <v>21.4</v>
      </c>
      <c r="L1505">
        <v>48680431</v>
      </c>
      <c r="M1505" s="1">
        <v>44557</v>
      </c>
      <c r="N1505" t="str">
        <f>"L211227B"</f>
        <v>L211227B</v>
      </c>
      <c r="O1505" t="s">
        <v>28</v>
      </c>
      <c r="Q1505" t="s">
        <v>29</v>
      </c>
      <c r="R1505" t="s">
        <v>28</v>
      </c>
      <c r="S1505" t="s">
        <v>6859</v>
      </c>
      <c r="T1505" t="s">
        <v>6860</v>
      </c>
      <c r="U1505" t="s">
        <v>6861</v>
      </c>
      <c r="V1505" t="s">
        <v>60</v>
      </c>
      <c r="W1505" t="s">
        <v>135</v>
      </c>
      <c r="X1505" t="s">
        <v>34</v>
      </c>
      <c r="Y1505" t="str">
        <f>"770533546   "</f>
        <v xml:space="preserve">770533546   </v>
      </c>
    </row>
    <row r="1506" spans="1:25" x14ac:dyDescent="0.25">
      <c r="A1506" t="s">
        <v>6862</v>
      </c>
      <c r="B1506" t="s">
        <v>6863</v>
      </c>
      <c r="C1506">
        <v>2020</v>
      </c>
      <c r="D1506">
        <v>8001</v>
      </c>
      <c r="E1506">
        <v>1</v>
      </c>
      <c r="F1506" t="s">
        <v>6864</v>
      </c>
      <c r="G1506">
        <v>29461704</v>
      </c>
      <c r="J1506">
        <v>25.33</v>
      </c>
      <c r="L1506">
        <v>46728704</v>
      </c>
      <c r="M1506" s="1">
        <v>44230</v>
      </c>
      <c r="N1506" t="str">
        <f>"EK210203"</f>
        <v>EK210203</v>
      </c>
      <c r="O1506" t="s">
        <v>28</v>
      </c>
      <c r="Q1506" t="s">
        <v>29</v>
      </c>
      <c r="R1506" t="s">
        <v>28</v>
      </c>
      <c r="S1506" t="s">
        <v>6864</v>
      </c>
      <c r="T1506" t="s">
        <v>6865</v>
      </c>
      <c r="W1506" t="s">
        <v>371</v>
      </c>
      <c r="X1506" t="s">
        <v>34</v>
      </c>
      <c r="Y1506" t="str">
        <f>"77477"</f>
        <v>77477</v>
      </c>
    </row>
    <row r="1507" spans="1:25" x14ac:dyDescent="0.25">
      <c r="A1507" t="s">
        <v>6866</v>
      </c>
      <c r="B1507" t="s">
        <v>6867</v>
      </c>
      <c r="C1507">
        <v>2019</v>
      </c>
      <c r="D1507">
        <v>8001</v>
      </c>
      <c r="E1507">
        <v>1</v>
      </c>
      <c r="F1507" t="s">
        <v>6868</v>
      </c>
      <c r="G1507">
        <v>0</v>
      </c>
      <c r="J1507">
        <v>687.02</v>
      </c>
      <c r="L1507">
        <v>42336127</v>
      </c>
      <c r="M1507" s="1">
        <v>43818</v>
      </c>
      <c r="N1507" t="str">
        <f>"L191219"</f>
        <v>L191219</v>
      </c>
      <c r="O1507" t="s">
        <v>28</v>
      </c>
      <c r="Q1507" t="s">
        <v>29</v>
      </c>
      <c r="R1507" t="s">
        <v>28</v>
      </c>
      <c r="S1507" t="s">
        <v>6868</v>
      </c>
      <c r="T1507" t="s">
        <v>6869</v>
      </c>
      <c r="U1507" t="s">
        <v>60</v>
      </c>
      <c r="V1507" t="s">
        <v>60</v>
      </c>
      <c r="W1507" t="s">
        <v>6870</v>
      </c>
      <c r="X1507" t="s">
        <v>317</v>
      </c>
      <c r="Y1507" t="str">
        <f>"943011204   "</f>
        <v xml:space="preserve">943011204   </v>
      </c>
    </row>
    <row r="1508" spans="1:25" x14ac:dyDescent="0.25">
      <c r="A1508" t="s">
        <v>6871</v>
      </c>
      <c r="B1508" t="s">
        <v>6872</v>
      </c>
      <c r="C1508">
        <v>2020</v>
      </c>
      <c r="D1508">
        <v>8001</v>
      </c>
      <c r="E1508">
        <v>1</v>
      </c>
      <c r="F1508" t="s">
        <v>6873</v>
      </c>
      <c r="G1508">
        <v>0</v>
      </c>
      <c r="J1508">
        <v>19.690000000000001</v>
      </c>
      <c r="L1508">
        <v>47767997</v>
      </c>
      <c r="M1508" s="1">
        <v>44469</v>
      </c>
      <c r="N1508" t="str">
        <f>"L210930"</f>
        <v>L210930</v>
      </c>
      <c r="O1508" t="s">
        <v>28</v>
      </c>
      <c r="Q1508" t="s">
        <v>29</v>
      </c>
      <c r="R1508" t="s">
        <v>28</v>
      </c>
      <c r="S1508" t="s">
        <v>6873</v>
      </c>
      <c r="T1508" t="s">
        <v>6874</v>
      </c>
      <c r="U1508" t="s">
        <v>6875</v>
      </c>
      <c r="V1508" t="s">
        <v>60</v>
      </c>
      <c r="W1508" t="s">
        <v>219</v>
      </c>
      <c r="X1508" t="s">
        <v>34</v>
      </c>
      <c r="Y1508" t="str">
        <f>"774784081   "</f>
        <v xml:space="preserve">774784081   </v>
      </c>
    </row>
    <row r="1509" spans="1:25" x14ac:dyDescent="0.25">
      <c r="A1509" t="s">
        <v>6876</v>
      </c>
      <c r="B1509" t="s">
        <v>6877</v>
      </c>
      <c r="C1509">
        <v>2020</v>
      </c>
      <c r="D1509">
        <v>8001</v>
      </c>
      <c r="E1509">
        <v>1</v>
      </c>
      <c r="F1509" t="s">
        <v>6878</v>
      </c>
      <c r="G1509">
        <v>0</v>
      </c>
      <c r="J1509">
        <v>19.66</v>
      </c>
      <c r="L1509">
        <v>46861498</v>
      </c>
      <c r="M1509" s="1">
        <v>44235</v>
      </c>
      <c r="N1509" t="str">
        <f>"L210208"</f>
        <v>L210208</v>
      </c>
      <c r="O1509" t="s">
        <v>28</v>
      </c>
      <c r="Q1509" t="s">
        <v>29</v>
      </c>
      <c r="R1509" t="s">
        <v>28</v>
      </c>
      <c r="S1509" t="s">
        <v>6878</v>
      </c>
      <c r="T1509" t="s">
        <v>6879</v>
      </c>
      <c r="U1509" t="s">
        <v>60</v>
      </c>
      <c r="V1509" t="s">
        <v>60</v>
      </c>
      <c r="W1509" t="s">
        <v>219</v>
      </c>
      <c r="X1509" t="s">
        <v>34</v>
      </c>
      <c r="Y1509" t="str">
        <f>"77479       "</f>
        <v xml:space="preserve">77479       </v>
      </c>
    </row>
    <row r="1510" spans="1:25" x14ac:dyDescent="0.25">
      <c r="A1510" t="s">
        <v>6880</v>
      </c>
      <c r="B1510" t="s">
        <v>6881</v>
      </c>
      <c r="C1510">
        <v>2020</v>
      </c>
      <c r="D1510">
        <v>8001</v>
      </c>
      <c r="E1510">
        <v>1</v>
      </c>
      <c r="F1510" t="s">
        <v>6882</v>
      </c>
      <c r="G1510">
        <v>29489516</v>
      </c>
      <c r="J1510">
        <v>7.57</v>
      </c>
      <c r="L1510">
        <v>46782215</v>
      </c>
      <c r="M1510" s="1">
        <v>44231</v>
      </c>
      <c r="N1510" t="str">
        <f>"CC210204"</f>
        <v>CC210204</v>
      </c>
      <c r="O1510" t="s">
        <v>28</v>
      </c>
      <c r="Q1510" t="s">
        <v>29</v>
      </c>
      <c r="R1510" t="s">
        <v>28</v>
      </c>
      <c r="S1510" t="s">
        <v>6883</v>
      </c>
      <c r="T1510" t="s">
        <v>6884</v>
      </c>
      <c r="W1510" t="s">
        <v>6885</v>
      </c>
      <c r="X1510" t="s">
        <v>34</v>
      </c>
      <c r="Y1510" t="str">
        <f>"75078"</f>
        <v>75078</v>
      </c>
    </row>
    <row r="1511" spans="1:25" x14ac:dyDescent="0.25">
      <c r="A1511" t="s">
        <v>6886</v>
      </c>
      <c r="B1511" t="s">
        <v>6887</v>
      </c>
      <c r="C1511">
        <v>2019</v>
      </c>
      <c r="D1511">
        <v>8001</v>
      </c>
      <c r="E1511">
        <v>3</v>
      </c>
      <c r="F1511" t="s">
        <v>6888</v>
      </c>
      <c r="G1511">
        <v>0</v>
      </c>
      <c r="J1511">
        <v>11.71</v>
      </c>
      <c r="L1511">
        <v>43915124</v>
      </c>
      <c r="M1511" s="1">
        <v>43900</v>
      </c>
      <c r="N1511" t="str">
        <f>"J200310AW3"</f>
        <v>J200310AW3</v>
      </c>
      <c r="O1511" t="s">
        <v>28</v>
      </c>
      <c r="Q1511" t="s">
        <v>29</v>
      </c>
      <c r="R1511" t="s">
        <v>28</v>
      </c>
      <c r="S1511" t="s">
        <v>6888</v>
      </c>
      <c r="T1511" t="s">
        <v>6889</v>
      </c>
      <c r="U1511" t="s">
        <v>60</v>
      </c>
      <c r="V1511" t="s">
        <v>60</v>
      </c>
      <c r="W1511" t="s">
        <v>219</v>
      </c>
      <c r="X1511" t="s">
        <v>34</v>
      </c>
      <c r="Y1511" t="str">
        <f>"774784084   "</f>
        <v xml:space="preserve">774784084   </v>
      </c>
    </row>
    <row r="1512" spans="1:25" x14ac:dyDescent="0.25">
      <c r="A1512" t="s">
        <v>6890</v>
      </c>
      <c r="B1512" t="s">
        <v>6891</v>
      </c>
      <c r="C1512">
        <v>2020</v>
      </c>
      <c r="D1512">
        <v>8001</v>
      </c>
      <c r="E1512">
        <v>1</v>
      </c>
      <c r="F1512" t="s">
        <v>6892</v>
      </c>
      <c r="G1512">
        <v>0</v>
      </c>
      <c r="J1512">
        <v>20.54</v>
      </c>
      <c r="L1512">
        <v>45523841</v>
      </c>
      <c r="M1512" s="1">
        <v>44194</v>
      </c>
      <c r="N1512" t="str">
        <f>"L201229A"</f>
        <v>L201229A</v>
      </c>
      <c r="O1512" t="s">
        <v>28</v>
      </c>
      <c r="Q1512" t="s">
        <v>29</v>
      </c>
      <c r="R1512" t="s">
        <v>28</v>
      </c>
      <c r="S1512" t="s">
        <v>6892</v>
      </c>
      <c r="T1512" t="s">
        <v>6893</v>
      </c>
      <c r="U1512" t="s">
        <v>60</v>
      </c>
      <c r="V1512" t="s">
        <v>60</v>
      </c>
      <c r="W1512" t="s">
        <v>219</v>
      </c>
      <c r="X1512" t="s">
        <v>34</v>
      </c>
      <c r="Y1512" t="str">
        <f>"774785017   "</f>
        <v xml:space="preserve">774785017   </v>
      </c>
    </row>
    <row r="1513" spans="1:25" x14ac:dyDescent="0.25">
      <c r="A1513" t="s">
        <v>6894</v>
      </c>
      <c r="B1513" t="s">
        <v>6895</v>
      </c>
      <c r="C1513">
        <v>2019</v>
      </c>
      <c r="D1513">
        <v>8001</v>
      </c>
      <c r="E1513">
        <v>1</v>
      </c>
      <c r="F1513" t="s">
        <v>6896</v>
      </c>
      <c r="G1513">
        <v>28310315</v>
      </c>
      <c r="J1513">
        <v>12.19</v>
      </c>
      <c r="L1513">
        <v>43887136</v>
      </c>
      <c r="M1513" s="1">
        <v>43895</v>
      </c>
      <c r="N1513" t="str">
        <f>"CC200305"</f>
        <v>CC200305</v>
      </c>
      <c r="O1513" t="s">
        <v>28</v>
      </c>
      <c r="Q1513" t="s">
        <v>29</v>
      </c>
      <c r="R1513" t="s">
        <v>28</v>
      </c>
      <c r="S1513" t="s">
        <v>6897</v>
      </c>
      <c r="T1513" t="s">
        <v>6898</v>
      </c>
      <c r="W1513" t="s">
        <v>107</v>
      </c>
      <c r="X1513" t="s">
        <v>34</v>
      </c>
      <c r="Y1513" t="str">
        <f>"77494"</f>
        <v>77494</v>
      </c>
    </row>
    <row r="1514" spans="1:25" x14ac:dyDescent="0.25">
      <c r="A1514" t="s">
        <v>6899</v>
      </c>
      <c r="B1514" t="s">
        <v>6900</v>
      </c>
      <c r="C1514">
        <v>2021</v>
      </c>
      <c r="D1514">
        <v>8001</v>
      </c>
      <c r="E1514">
        <v>1</v>
      </c>
      <c r="F1514" t="s">
        <v>6901</v>
      </c>
      <c r="G1514">
        <v>0</v>
      </c>
      <c r="J1514">
        <v>6.1</v>
      </c>
      <c r="L1514">
        <v>48434838</v>
      </c>
      <c r="M1514" s="1">
        <v>44543</v>
      </c>
      <c r="N1514" t="str">
        <f>"L211213"</f>
        <v>L211213</v>
      </c>
      <c r="O1514" t="s">
        <v>28</v>
      </c>
      <c r="Q1514" t="s">
        <v>29</v>
      </c>
      <c r="R1514" t="s">
        <v>28</v>
      </c>
      <c r="S1514" t="s">
        <v>6901</v>
      </c>
      <c r="T1514" t="s">
        <v>6902</v>
      </c>
      <c r="U1514" t="s">
        <v>60</v>
      </c>
      <c r="V1514" t="s">
        <v>60</v>
      </c>
      <c r="W1514" t="s">
        <v>219</v>
      </c>
      <c r="X1514" t="s">
        <v>34</v>
      </c>
      <c r="Y1514" t="str">
        <f>"774796538   "</f>
        <v xml:space="preserve">774796538   </v>
      </c>
    </row>
    <row r="1515" spans="1:25" x14ac:dyDescent="0.25">
      <c r="A1515" t="s">
        <v>6903</v>
      </c>
      <c r="B1515" t="s">
        <v>6904</v>
      </c>
      <c r="C1515">
        <v>2020</v>
      </c>
      <c r="D1515">
        <v>8001</v>
      </c>
      <c r="E1515">
        <v>1</v>
      </c>
      <c r="F1515" t="s">
        <v>6905</v>
      </c>
      <c r="G1515">
        <v>0</v>
      </c>
      <c r="J1515">
        <v>6.15</v>
      </c>
      <c r="L1515">
        <v>45975591</v>
      </c>
      <c r="M1515" s="1">
        <v>44210</v>
      </c>
      <c r="N1515" t="str">
        <f>"L210114"</f>
        <v>L210114</v>
      </c>
      <c r="O1515" t="s">
        <v>28</v>
      </c>
      <c r="Q1515" t="s">
        <v>29</v>
      </c>
      <c r="R1515" t="s">
        <v>28</v>
      </c>
      <c r="S1515" t="s">
        <v>6905</v>
      </c>
      <c r="T1515" t="s">
        <v>6906</v>
      </c>
      <c r="U1515" t="s">
        <v>6907</v>
      </c>
      <c r="V1515" t="s">
        <v>60</v>
      </c>
      <c r="W1515" t="s">
        <v>1137</v>
      </c>
      <c r="X1515" t="s">
        <v>34</v>
      </c>
      <c r="Y1515" t="str">
        <f>"774946328   "</f>
        <v xml:space="preserve">774946328   </v>
      </c>
    </row>
    <row r="1516" spans="1:25" x14ac:dyDescent="0.25">
      <c r="A1516" t="s">
        <v>6908</v>
      </c>
      <c r="B1516" t="s">
        <v>6909</v>
      </c>
      <c r="C1516">
        <v>2021</v>
      </c>
      <c r="D1516">
        <v>8001</v>
      </c>
      <c r="E1516">
        <v>2</v>
      </c>
      <c r="F1516" t="s">
        <v>6910</v>
      </c>
      <c r="G1516">
        <v>27518499</v>
      </c>
      <c r="J1516">
        <v>44.85</v>
      </c>
      <c r="L1516">
        <v>49861352</v>
      </c>
      <c r="M1516" s="1">
        <v>44593</v>
      </c>
      <c r="N1516" t="str">
        <f>"RC220309"</f>
        <v>RC220309</v>
      </c>
      <c r="O1516" t="s">
        <v>28</v>
      </c>
      <c r="Q1516" t="s">
        <v>29</v>
      </c>
      <c r="R1516" t="s">
        <v>28</v>
      </c>
      <c r="S1516" t="s">
        <v>6910</v>
      </c>
      <c r="T1516" t="s">
        <v>6911</v>
      </c>
      <c r="U1516" t="s">
        <v>6912</v>
      </c>
      <c r="W1516" t="s">
        <v>40</v>
      </c>
      <c r="X1516" t="s">
        <v>34</v>
      </c>
      <c r="Y1516" t="str">
        <f>"774792321"</f>
        <v>774792321</v>
      </c>
    </row>
    <row r="1517" spans="1:25" x14ac:dyDescent="0.25">
      <c r="A1517" t="s">
        <v>6913</v>
      </c>
      <c r="B1517" t="s">
        <v>6914</v>
      </c>
      <c r="C1517">
        <v>2020</v>
      </c>
      <c r="D1517">
        <v>8001</v>
      </c>
      <c r="E1517">
        <v>1</v>
      </c>
      <c r="F1517" t="s">
        <v>6356</v>
      </c>
      <c r="G1517">
        <v>29461889</v>
      </c>
      <c r="J1517">
        <v>20.5</v>
      </c>
      <c r="L1517">
        <v>46728889</v>
      </c>
      <c r="M1517" s="1">
        <v>44230</v>
      </c>
      <c r="N1517" t="str">
        <f>"EK210203"</f>
        <v>EK210203</v>
      </c>
      <c r="O1517" t="s">
        <v>28</v>
      </c>
      <c r="Q1517" t="s">
        <v>29</v>
      </c>
      <c r="R1517" t="s">
        <v>28</v>
      </c>
      <c r="S1517" t="s">
        <v>6357</v>
      </c>
      <c r="T1517" t="s">
        <v>6358</v>
      </c>
      <c r="W1517" t="s">
        <v>727</v>
      </c>
      <c r="X1517" t="s">
        <v>34</v>
      </c>
      <c r="Y1517" t="str">
        <f>"77583"</f>
        <v>77583</v>
      </c>
    </row>
    <row r="1518" spans="1:25" x14ac:dyDescent="0.25">
      <c r="A1518" t="s">
        <v>6915</v>
      </c>
      <c r="B1518" t="s">
        <v>6916</v>
      </c>
      <c r="C1518">
        <v>2020</v>
      </c>
      <c r="D1518">
        <v>8001</v>
      </c>
      <c r="E1518">
        <v>1</v>
      </c>
      <c r="F1518" t="s">
        <v>6917</v>
      </c>
      <c r="G1518">
        <v>29489478</v>
      </c>
      <c r="J1518">
        <v>88.84</v>
      </c>
      <c r="L1518">
        <v>46782177</v>
      </c>
      <c r="M1518" s="1">
        <v>44231</v>
      </c>
      <c r="N1518" t="str">
        <f>"CC210204"</f>
        <v>CC210204</v>
      </c>
      <c r="O1518" t="s">
        <v>28</v>
      </c>
      <c r="Q1518" t="s">
        <v>29</v>
      </c>
      <c r="R1518" t="s">
        <v>28</v>
      </c>
      <c r="S1518" t="s">
        <v>6918</v>
      </c>
      <c r="T1518" t="s">
        <v>6919</v>
      </c>
      <c r="W1518" t="s">
        <v>5575</v>
      </c>
      <c r="X1518" t="s">
        <v>5576</v>
      </c>
      <c r="Y1518" t="str">
        <f>"37211"</f>
        <v>37211</v>
      </c>
    </row>
    <row r="1519" spans="1:25" x14ac:dyDescent="0.25">
      <c r="A1519" t="s">
        <v>6920</v>
      </c>
      <c r="B1519" t="s">
        <v>6921</v>
      </c>
      <c r="C1519">
        <v>2020</v>
      </c>
      <c r="D1519">
        <v>8001</v>
      </c>
      <c r="E1519">
        <v>1</v>
      </c>
      <c r="F1519" t="s">
        <v>6917</v>
      </c>
      <c r="G1519">
        <v>29489479</v>
      </c>
      <c r="J1519">
        <v>95.9</v>
      </c>
      <c r="L1519">
        <v>46782178</v>
      </c>
      <c r="M1519" s="1">
        <v>44231</v>
      </c>
      <c r="N1519" t="str">
        <f>"CC210204"</f>
        <v>CC210204</v>
      </c>
      <c r="O1519" t="s">
        <v>28</v>
      </c>
      <c r="Q1519" t="s">
        <v>29</v>
      </c>
      <c r="R1519" t="s">
        <v>28</v>
      </c>
      <c r="S1519" t="s">
        <v>6918</v>
      </c>
      <c r="T1519" t="s">
        <v>6919</v>
      </c>
      <c r="W1519" t="s">
        <v>5575</v>
      </c>
      <c r="X1519" t="s">
        <v>5576</v>
      </c>
      <c r="Y1519" t="str">
        <f>"37211"</f>
        <v>37211</v>
      </c>
    </row>
    <row r="1520" spans="1:25" x14ac:dyDescent="0.25">
      <c r="A1520" t="s">
        <v>6922</v>
      </c>
      <c r="B1520" t="s">
        <v>6923</v>
      </c>
      <c r="C1520">
        <v>2020</v>
      </c>
      <c r="D1520">
        <v>8001</v>
      </c>
      <c r="E1520">
        <v>1</v>
      </c>
      <c r="F1520" t="s">
        <v>6924</v>
      </c>
      <c r="G1520">
        <v>0</v>
      </c>
      <c r="J1520">
        <v>40</v>
      </c>
      <c r="L1520">
        <v>46685985</v>
      </c>
      <c r="M1520" s="1">
        <v>44229</v>
      </c>
      <c r="N1520" t="str">
        <f>"J210202BW11"</f>
        <v>J210202BW11</v>
      </c>
      <c r="O1520" t="s">
        <v>28</v>
      </c>
      <c r="Q1520" t="s">
        <v>29</v>
      </c>
      <c r="R1520" t="s">
        <v>28</v>
      </c>
      <c r="S1520" t="s">
        <v>6924</v>
      </c>
      <c r="T1520" t="s">
        <v>6925</v>
      </c>
      <c r="U1520" t="s">
        <v>60</v>
      </c>
      <c r="V1520" t="s">
        <v>60</v>
      </c>
      <c r="W1520" t="s">
        <v>1137</v>
      </c>
      <c r="X1520" t="s">
        <v>34</v>
      </c>
      <c r="Y1520" t="str">
        <f>"774941047   "</f>
        <v xml:space="preserve">774941047   </v>
      </c>
    </row>
    <row r="1521" spans="1:25" x14ac:dyDescent="0.25">
      <c r="A1521" t="s">
        <v>6926</v>
      </c>
      <c r="B1521" t="s">
        <v>6927</v>
      </c>
      <c r="C1521">
        <v>2020</v>
      </c>
      <c r="D1521">
        <v>8001</v>
      </c>
      <c r="E1521">
        <v>1</v>
      </c>
      <c r="F1521" t="s">
        <v>6928</v>
      </c>
      <c r="G1521">
        <v>0</v>
      </c>
      <c r="J1521">
        <v>31.11</v>
      </c>
      <c r="L1521">
        <v>47251248</v>
      </c>
      <c r="M1521" s="1">
        <v>44292</v>
      </c>
      <c r="N1521" t="str">
        <f>"J210406K1"</f>
        <v>J210406K1</v>
      </c>
      <c r="O1521" t="s">
        <v>28</v>
      </c>
      <c r="Q1521" t="s">
        <v>29</v>
      </c>
      <c r="R1521" t="s">
        <v>28</v>
      </c>
      <c r="S1521" t="s">
        <v>6928</v>
      </c>
      <c r="T1521" t="s">
        <v>6929</v>
      </c>
      <c r="U1521" t="s">
        <v>60</v>
      </c>
      <c r="V1521" t="s">
        <v>60</v>
      </c>
      <c r="W1521" t="s">
        <v>6930</v>
      </c>
      <c r="X1521" t="s">
        <v>900</v>
      </c>
      <c r="Y1521" t="str">
        <f>"601696308   "</f>
        <v xml:space="preserve">601696308   </v>
      </c>
    </row>
    <row r="1522" spans="1:25" x14ac:dyDescent="0.25">
      <c r="A1522" t="s">
        <v>6931</v>
      </c>
      <c r="B1522" t="s">
        <v>6932</v>
      </c>
      <c r="C1522">
        <v>2020</v>
      </c>
      <c r="D1522">
        <v>8001</v>
      </c>
      <c r="E1522">
        <v>2</v>
      </c>
      <c r="F1522" t="s">
        <v>6933</v>
      </c>
      <c r="G1522">
        <v>29305871</v>
      </c>
      <c r="J1522">
        <v>222.84</v>
      </c>
      <c r="L1522">
        <v>45947241</v>
      </c>
      <c r="M1522" s="1">
        <v>44209</v>
      </c>
      <c r="N1522" t="str">
        <f>"RC210128"</f>
        <v>RC210128</v>
      </c>
      <c r="O1522" t="s">
        <v>28</v>
      </c>
      <c r="Q1522" t="s">
        <v>29</v>
      </c>
      <c r="R1522" t="s">
        <v>28</v>
      </c>
      <c r="S1522" t="s">
        <v>6934</v>
      </c>
      <c r="T1522" t="s">
        <v>6935</v>
      </c>
      <c r="U1522" t="s">
        <v>6936</v>
      </c>
      <c r="W1522" t="s">
        <v>6937</v>
      </c>
      <c r="X1522" t="s">
        <v>3042</v>
      </c>
      <c r="Y1522" t="str">
        <f>"73102"</f>
        <v>73102</v>
      </c>
    </row>
    <row r="1523" spans="1:25" x14ac:dyDescent="0.25">
      <c r="A1523" t="s">
        <v>6938</v>
      </c>
      <c r="B1523" t="s">
        <v>6939</v>
      </c>
      <c r="C1523">
        <v>2018</v>
      </c>
      <c r="D1523">
        <v>8001</v>
      </c>
      <c r="E1523">
        <v>2</v>
      </c>
      <c r="F1523" t="s">
        <v>6940</v>
      </c>
      <c r="G1523">
        <v>27457568</v>
      </c>
      <c r="J1523">
        <v>13.29</v>
      </c>
      <c r="L1523">
        <v>41351890</v>
      </c>
      <c r="M1523" s="1">
        <v>43766</v>
      </c>
      <c r="N1523" t="str">
        <f>"T191028F1"</f>
        <v>T191028F1</v>
      </c>
      <c r="O1523" t="s">
        <v>260</v>
      </c>
      <c r="Q1523" t="s">
        <v>29</v>
      </c>
      <c r="R1523" t="s">
        <v>28</v>
      </c>
      <c r="S1523" t="s">
        <v>6940</v>
      </c>
      <c r="T1523" t="s">
        <v>6941</v>
      </c>
      <c r="W1523" t="s">
        <v>6942</v>
      </c>
      <c r="X1523" t="s">
        <v>6432</v>
      </c>
      <c r="Y1523" t="str">
        <f>"018035233"</f>
        <v>018035233</v>
      </c>
    </row>
    <row r="1524" spans="1:25" x14ac:dyDescent="0.25">
      <c r="A1524" t="s">
        <v>6943</v>
      </c>
      <c r="B1524" t="s">
        <v>6944</v>
      </c>
      <c r="C1524">
        <v>2021</v>
      </c>
      <c r="D1524">
        <v>8001</v>
      </c>
      <c r="E1524">
        <v>2</v>
      </c>
      <c r="F1524" t="s">
        <v>6945</v>
      </c>
      <c r="G1524">
        <v>31035758</v>
      </c>
      <c r="J1524">
        <v>31.73</v>
      </c>
      <c r="L1524">
        <v>49289263</v>
      </c>
      <c r="M1524" s="1">
        <v>44580</v>
      </c>
      <c r="N1524" t="str">
        <f>"RC220221"</f>
        <v>RC220221</v>
      </c>
      <c r="O1524" t="s">
        <v>28</v>
      </c>
      <c r="Q1524" t="s">
        <v>29</v>
      </c>
      <c r="R1524" t="s">
        <v>28</v>
      </c>
      <c r="S1524" t="s">
        <v>6946</v>
      </c>
      <c r="T1524" t="s">
        <v>6947</v>
      </c>
      <c r="W1524" t="s">
        <v>40</v>
      </c>
      <c r="X1524" t="s">
        <v>34</v>
      </c>
      <c r="Y1524" t="str">
        <f>"774980501"</f>
        <v>774980501</v>
      </c>
    </row>
    <row r="1525" spans="1:25" x14ac:dyDescent="0.25">
      <c r="A1525" t="s">
        <v>6943</v>
      </c>
      <c r="B1525" t="s">
        <v>6944</v>
      </c>
      <c r="C1525">
        <v>2021</v>
      </c>
      <c r="D1525">
        <v>8001</v>
      </c>
      <c r="E1525">
        <v>2</v>
      </c>
      <c r="F1525" t="s">
        <v>6945</v>
      </c>
      <c r="G1525">
        <v>0</v>
      </c>
      <c r="J1525">
        <v>25.74</v>
      </c>
      <c r="L1525">
        <v>49657806</v>
      </c>
      <c r="M1525" s="1">
        <v>44589</v>
      </c>
      <c r="N1525" t="str">
        <f>"L220128"</f>
        <v>L220128</v>
      </c>
      <c r="O1525" t="s">
        <v>28</v>
      </c>
      <c r="Q1525" t="s">
        <v>29</v>
      </c>
      <c r="R1525" t="s">
        <v>28</v>
      </c>
      <c r="S1525" t="s">
        <v>6945</v>
      </c>
      <c r="T1525" t="s">
        <v>6948</v>
      </c>
      <c r="U1525" t="s">
        <v>60</v>
      </c>
      <c r="V1525" t="s">
        <v>60</v>
      </c>
      <c r="W1525" t="s">
        <v>6818</v>
      </c>
      <c r="X1525" t="s">
        <v>557</v>
      </c>
      <c r="Y1525" t="str">
        <f>"064619105   "</f>
        <v xml:space="preserve">064619105   </v>
      </c>
    </row>
    <row r="1526" spans="1:25" x14ac:dyDescent="0.25">
      <c r="A1526" t="s">
        <v>6949</v>
      </c>
      <c r="B1526" t="s">
        <v>6950</v>
      </c>
      <c r="C1526">
        <v>2020</v>
      </c>
      <c r="D1526">
        <v>8001</v>
      </c>
      <c r="E1526">
        <v>1</v>
      </c>
      <c r="F1526" t="s">
        <v>6951</v>
      </c>
      <c r="G1526">
        <v>29766169</v>
      </c>
      <c r="J1526">
        <v>166.82</v>
      </c>
      <c r="L1526">
        <v>47290628</v>
      </c>
      <c r="M1526" s="1">
        <v>44300</v>
      </c>
      <c r="N1526" t="str">
        <f>"RC210425"</f>
        <v>RC210425</v>
      </c>
      <c r="O1526" t="s">
        <v>28</v>
      </c>
      <c r="Q1526" t="s">
        <v>29</v>
      </c>
      <c r="R1526" t="s">
        <v>28</v>
      </c>
      <c r="S1526" t="s">
        <v>6951</v>
      </c>
      <c r="T1526" t="s">
        <v>6952</v>
      </c>
      <c r="W1526" t="s">
        <v>6754</v>
      </c>
      <c r="X1526" t="s">
        <v>227</v>
      </c>
      <c r="Y1526" t="str">
        <f>"85008"</f>
        <v>85008</v>
      </c>
    </row>
    <row r="1527" spans="1:25" x14ac:dyDescent="0.25">
      <c r="A1527" t="s">
        <v>6953</v>
      </c>
      <c r="B1527" t="s">
        <v>6954</v>
      </c>
      <c r="C1527">
        <v>2018</v>
      </c>
      <c r="D1527">
        <v>8001</v>
      </c>
      <c r="E1527">
        <v>2</v>
      </c>
      <c r="F1527" t="s">
        <v>6955</v>
      </c>
      <c r="G1527">
        <v>27350514</v>
      </c>
      <c r="J1527">
        <v>702.49</v>
      </c>
      <c r="L1527">
        <v>41111178</v>
      </c>
      <c r="M1527" s="1">
        <v>43571</v>
      </c>
      <c r="N1527" t="str">
        <f>"O190416AB1"</f>
        <v>O190416AB1</v>
      </c>
      <c r="O1527" t="s">
        <v>28</v>
      </c>
      <c r="Q1527" t="s">
        <v>29</v>
      </c>
      <c r="R1527" t="s">
        <v>28</v>
      </c>
      <c r="S1527" t="s">
        <v>6956</v>
      </c>
      <c r="T1527" t="s">
        <v>6957</v>
      </c>
      <c r="W1527" t="s">
        <v>6958</v>
      </c>
      <c r="X1527" t="s">
        <v>1248</v>
      </c>
      <c r="Y1527" t="str">
        <f>"34997"</f>
        <v>34997</v>
      </c>
    </row>
    <row r="1528" spans="1:25" x14ac:dyDescent="0.25">
      <c r="A1528" t="s">
        <v>6959</v>
      </c>
      <c r="B1528" t="s">
        <v>6960</v>
      </c>
      <c r="C1528">
        <v>2019</v>
      </c>
      <c r="D1528">
        <v>8001</v>
      </c>
      <c r="E1528">
        <v>1</v>
      </c>
      <c r="F1528" t="s">
        <v>6961</v>
      </c>
      <c r="G1528">
        <v>0</v>
      </c>
      <c r="J1528" s="2">
        <v>4138.3500000000004</v>
      </c>
      <c r="L1528">
        <v>43726611</v>
      </c>
      <c r="M1528" s="1">
        <v>43874</v>
      </c>
      <c r="N1528" t="str">
        <f>"J200213AW1"</f>
        <v>J200213AW1</v>
      </c>
      <c r="O1528" t="s">
        <v>28</v>
      </c>
      <c r="Q1528" t="s">
        <v>29</v>
      </c>
      <c r="R1528" t="s">
        <v>28</v>
      </c>
      <c r="S1528" t="s">
        <v>6961</v>
      </c>
      <c r="T1528" t="s">
        <v>6962</v>
      </c>
      <c r="U1528" t="s">
        <v>60</v>
      </c>
      <c r="V1528" t="s">
        <v>60</v>
      </c>
      <c r="W1528" t="s">
        <v>6274</v>
      </c>
      <c r="X1528" t="s">
        <v>34</v>
      </c>
      <c r="Y1528" t="str">
        <f>"782173726   "</f>
        <v xml:space="preserve">782173726   </v>
      </c>
    </row>
    <row r="1529" spans="1:25" x14ac:dyDescent="0.25">
      <c r="A1529" t="s">
        <v>6963</v>
      </c>
      <c r="B1529" t="s">
        <v>6964</v>
      </c>
      <c r="C1529">
        <v>2021</v>
      </c>
      <c r="D1529">
        <v>8001</v>
      </c>
      <c r="E1529">
        <v>2</v>
      </c>
      <c r="F1529" t="s">
        <v>6945</v>
      </c>
      <c r="G1529">
        <v>0</v>
      </c>
      <c r="J1529">
        <v>43.05</v>
      </c>
      <c r="L1529">
        <v>49657790</v>
      </c>
      <c r="M1529" s="1">
        <v>44589</v>
      </c>
      <c r="N1529" t="str">
        <f>"L220128"</f>
        <v>L220128</v>
      </c>
      <c r="O1529" t="s">
        <v>28</v>
      </c>
      <c r="Q1529" t="s">
        <v>29</v>
      </c>
      <c r="R1529" t="s">
        <v>28</v>
      </c>
      <c r="S1529" t="s">
        <v>6945</v>
      </c>
      <c r="T1529" t="s">
        <v>6948</v>
      </c>
      <c r="U1529" t="s">
        <v>60</v>
      </c>
      <c r="V1529" t="s">
        <v>60</v>
      </c>
      <c r="W1529" t="s">
        <v>6818</v>
      </c>
      <c r="X1529" t="s">
        <v>557</v>
      </c>
      <c r="Y1529" t="str">
        <f>"064619105   "</f>
        <v xml:space="preserve">064619105   </v>
      </c>
    </row>
    <row r="1530" spans="1:25" x14ac:dyDescent="0.25">
      <c r="A1530" t="s">
        <v>6965</v>
      </c>
      <c r="B1530" t="s">
        <v>6966</v>
      </c>
      <c r="C1530">
        <v>2019</v>
      </c>
      <c r="D1530">
        <v>8001</v>
      </c>
      <c r="E1530">
        <v>1</v>
      </c>
      <c r="F1530" t="s">
        <v>6967</v>
      </c>
      <c r="G1530">
        <v>0</v>
      </c>
      <c r="J1530">
        <v>724.88</v>
      </c>
      <c r="L1530">
        <v>43726604</v>
      </c>
      <c r="M1530" s="1">
        <v>43874</v>
      </c>
      <c r="N1530" t="str">
        <f>"J200213AW1"</f>
        <v>J200213AW1</v>
      </c>
      <c r="O1530" t="s">
        <v>28</v>
      </c>
      <c r="Q1530" t="s">
        <v>29</v>
      </c>
      <c r="R1530" t="s">
        <v>28</v>
      </c>
      <c r="S1530" t="s">
        <v>6967</v>
      </c>
      <c r="T1530" t="s">
        <v>6968</v>
      </c>
      <c r="U1530" t="s">
        <v>60</v>
      </c>
      <c r="V1530" t="s">
        <v>60</v>
      </c>
      <c r="W1530" t="s">
        <v>6969</v>
      </c>
      <c r="X1530" t="s">
        <v>245</v>
      </c>
      <c r="Y1530" t="str">
        <f>"49001       "</f>
        <v xml:space="preserve">49001       </v>
      </c>
    </row>
    <row r="1531" spans="1:25" x14ac:dyDescent="0.25">
      <c r="A1531" t="s">
        <v>6970</v>
      </c>
      <c r="B1531" t="s">
        <v>6971</v>
      </c>
      <c r="C1531">
        <v>2021</v>
      </c>
      <c r="D1531">
        <v>8001</v>
      </c>
      <c r="E1531">
        <v>1</v>
      </c>
      <c r="F1531" t="s">
        <v>6972</v>
      </c>
      <c r="G1531">
        <v>31094643</v>
      </c>
      <c r="J1531">
        <v>29.14</v>
      </c>
      <c r="L1531">
        <v>49494979</v>
      </c>
      <c r="M1531" s="1">
        <v>44586</v>
      </c>
      <c r="N1531" t="str">
        <f>"RC220309"</f>
        <v>RC220309</v>
      </c>
      <c r="O1531" t="s">
        <v>28</v>
      </c>
      <c r="Q1531" t="s">
        <v>29</v>
      </c>
      <c r="R1531" t="s">
        <v>28</v>
      </c>
      <c r="S1531" t="s">
        <v>6972</v>
      </c>
      <c r="T1531" t="s">
        <v>6973</v>
      </c>
      <c r="W1531" t="s">
        <v>2089</v>
      </c>
      <c r="X1531" t="s">
        <v>1831</v>
      </c>
      <c r="Y1531" t="str">
        <f>"14580"</f>
        <v>14580</v>
      </c>
    </row>
    <row r="1532" spans="1:25" x14ac:dyDescent="0.25">
      <c r="A1532" t="s">
        <v>6974</v>
      </c>
      <c r="B1532" t="s">
        <v>6975</v>
      </c>
      <c r="C1532">
        <v>2021</v>
      </c>
      <c r="D1532">
        <v>8001</v>
      </c>
      <c r="E1532">
        <v>2</v>
      </c>
      <c r="F1532" t="s">
        <v>6976</v>
      </c>
      <c r="G1532">
        <v>25497590</v>
      </c>
      <c r="J1532">
        <v>91</v>
      </c>
      <c r="L1532">
        <v>49294941</v>
      </c>
      <c r="M1532" s="1">
        <v>44580</v>
      </c>
      <c r="N1532" t="str">
        <f>"P220119F1"</f>
        <v>P220119F1</v>
      </c>
      <c r="O1532" t="s">
        <v>28</v>
      </c>
      <c r="Q1532" t="s">
        <v>29</v>
      </c>
      <c r="R1532" t="s">
        <v>28</v>
      </c>
      <c r="S1532" t="s">
        <v>6977</v>
      </c>
      <c r="T1532" t="s">
        <v>6978</v>
      </c>
      <c r="W1532" t="s">
        <v>2713</v>
      </c>
      <c r="X1532" t="s">
        <v>1107</v>
      </c>
      <c r="Y1532" t="str">
        <f>"300094738"</f>
        <v>300094738</v>
      </c>
    </row>
    <row r="1533" spans="1:25" x14ac:dyDescent="0.25">
      <c r="A1533" t="s">
        <v>6979</v>
      </c>
      <c r="B1533" t="s">
        <v>6980</v>
      </c>
      <c r="C1533">
        <v>2020</v>
      </c>
      <c r="D1533">
        <v>8001</v>
      </c>
      <c r="E1533">
        <v>2</v>
      </c>
      <c r="F1533" t="s">
        <v>6981</v>
      </c>
      <c r="G1533">
        <v>29120614</v>
      </c>
      <c r="J1533">
        <v>571.91999999999996</v>
      </c>
      <c r="L1533">
        <v>45905169</v>
      </c>
      <c r="M1533" s="1">
        <v>44208</v>
      </c>
      <c r="N1533" t="str">
        <f>"P210112E1"</f>
        <v>P210112E1</v>
      </c>
      <c r="O1533" t="s">
        <v>28</v>
      </c>
      <c r="Q1533" t="s">
        <v>29</v>
      </c>
      <c r="R1533" t="s">
        <v>28</v>
      </c>
      <c r="S1533" t="s">
        <v>6982</v>
      </c>
      <c r="T1533" t="s">
        <v>6983</v>
      </c>
      <c r="W1533" t="s">
        <v>5575</v>
      </c>
      <c r="X1533" t="s">
        <v>5576</v>
      </c>
      <c r="Y1533" t="str">
        <f>"372029936"</f>
        <v>372029936</v>
      </c>
    </row>
    <row r="1534" spans="1:25" x14ac:dyDescent="0.25">
      <c r="A1534" t="s">
        <v>6984</v>
      </c>
      <c r="B1534" t="s">
        <v>6985</v>
      </c>
      <c r="C1534">
        <v>2021</v>
      </c>
      <c r="D1534">
        <v>8001</v>
      </c>
      <c r="E1534">
        <v>2</v>
      </c>
      <c r="F1534" t="s">
        <v>6986</v>
      </c>
      <c r="G1534">
        <v>31026441</v>
      </c>
      <c r="J1534">
        <v>194.8</v>
      </c>
      <c r="L1534">
        <v>50179876</v>
      </c>
      <c r="M1534" s="1">
        <v>44608</v>
      </c>
      <c r="N1534" t="str">
        <f>"O220216I1"</f>
        <v>O220216I1</v>
      </c>
      <c r="O1534" t="s">
        <v>28</v>
      </c>
      <c r="Q1534" t="s">
        <v>29</v>
      </c>
      <c r="R1534" t="s">
        <v>28</v>
      </c>
      <c r="S1534" t="s">
        <v>6987</v>
      </c>
      <c r="T1534" t="s">
        <v>6988</v>
      </c>
      <c r="W1534" t="s">
        <v>81</v>
      </c>
      <c r="X1534" t="s">
        <v>34</v>
      </c>
      <c r="Y1534" t="str">
        <f>"774697492"</f>
        <v>774697492</v>
      </c>
    </row>
    <row r="1535" spans="1:25" x14ac:dyDescent="0.25">
      <c r="A1535" t="s">
        <v>6989</v>
      </c>
      <c r="B1535" t="s">
        <v>6990</v>
      </c>
      <c r="C1535">
        <v>2019</v>
      </c>
      <c r="D1535">
        <v>8001</v>
      </c>
      <c r="E1535">
        <v>2</v>
      </c>
      <c r="F1535" t="s">
        <v>6991</v>
      </c>
      <c r="G1535">
        <v>0</v>
      </c>
      <c r="J1535">
        <v>26.89</v>
      </c>
      <c r="L1535">
        <v>43931573</v>
      </c>
      <c r="M1535" s="1">
        <v>43902</v>
      </c>
      <c r="N1535" t="str">
        <f>"J200312AW2"</f>
        <v>J200312AW2</v>
      </c>
      <c r="O1535" t="s">
        <v>28</v>
      </c>
      <c r="Q1535" t="s">
        <v>29</v>
      </c>
      <c r="R1535" t="s">
        <v>28</v>
      </c>
      <c r="S1535" t="s">
        <v>6991</v>
      </c>
      <c r="T1535" t="s">
        <v>6992</v>
      </c>
      <c r="U1535" t="s">
        <v>60</v>
      </c>
      <c r="V1535" t="s">
        <v>60</v>
      </c>
      <c r="W1535" t="s">
        <v>4815</v>
      </c>
      <c r="X1535" t="s">
        <v>34</v>
      </c>
      <c r="Y1535" t="str">
        <f>"775818935   "</f>
        <v xml:space="preserve">775818935   </v>
      </c>
    </row>
    <row r="1536" spans="1:25" x14ac:dyDescent="0.25">
      <c r="A1536" t="s">
        <v>6993</v>
      </c>
      <c r="B1536" t="s">
        <v>6994</v>
      </c>
      <c r="C1536">
        <v>2020</v>
      </c>
      <c r="D1536">
        <v>8001</v>
      </c>
      <c r="E1536">
        <v>1</v>
      </c>
      <c r="F1536" t="s">
        <v>6995</v>
      </c>
      <c r="G1536">
        <v>28447442</v>
      </c>
      <c r="J1536">
        <v>12.63</v>
      </c>
      <c r="L1536">
        <v>44149074</v>
      </c>
      <c r="M1536" s="1">
        <v>44147</v>
      </c>
      <c r="N1536" t="str">
        <f>"TE201112"</f>
        <v>TE201112</v>
      </c>
      <c r="O1536" t="s">
        <v>28</v>
      </c>
      <c r="Q1536" t="s">
        <v>29</v>
      </c>
      <c r="R1536" t="s">
        <v>28</v>
      </c>
      <c r="S1536" t="s">
        <v>6996</v>
      </c>
      <c r="T1536" t="s">
        <v>6997</v>
      </c>
      <c r="W1536" t="s">
        <v>81</v>
      </c>
      <c r="X1536" t="s">
        <v>34</v>
      </c>
      <c r="Y1536" t="str">
        <f>"77407"</f>
        <v>77407</v>
      </c>
    </row>
    <row r="1537" spans="1:25" x14ac:dyDescent="0.25">
      <c r="A1537" t="s">
        <v>6998</v>
      </c>
      <c r="B1537" t="s">
        <v>6999</v>
      </c>
      <c r="C1537">
        <v>2019</v>
      </c>
      <c r="D1537">
        <v>8001</v>
      </c>
      <c r="E1537">
        <v>1</v>
      </c>
      <c r="F1537" t="s">
        <v>7000</v>
      </c>
      <c r="G1537">
        <v>0</v>
      </c>
      <c r="J1537">
        <v>27.66</v>
      </c>
      <c r="L1537">
        <v>44325865</v>
      </c>
      <c r="M1537" s="1">
        <v>44004</v>
      </c>
      <c r="N1537" t="str">
        <f>"O200622AB1"</f>
        <v>O200622AB1</v>
      </c>
      <c r="O1537" t="s">
        <v>28</v>
      </c>
      <c r="Q1537" t="s">
        <v>29</v>
      </c>
      <c r="R1537" t="s">
        <v>28</v>
      </c>
      <c r="S1537" t="s">
        <v>7000</v>
      </c>
      <c r="T1537" t="s">
        <v>7001</v>
      </c>
      <c r="U1537" t="s">
        <v>7002</v>
      </c>
      <c r="V1537" t="s">
        <v>60</v>
      </c>
      <c r="W1537" t="s">
        <v>376</v>
      </c>
      <c r="X1537" t="s">
        <v>34</v>
      </c>
      <c r="Y1537" t="str">
        <f>"774776832   "</f>
        <v xml:space="preserve">774776832   </v>
      </c>
    </row>
    <row r="1538" spans="1:25" x14ac:dyDescent="0.25">
      <c r="A1538" t="s">
        <v>7003</v>
      </c>
      <c r="B1538" t="s">
        <v>7004</v>
      </c>
      <c r="C1538">
        <v>2019</v>
      </c>
      <c r="D1538">
        <v>8001</v>
      </c>
      <c r="E1538">
        <v>1</v>
      </c>
      <c r="F1538" t="s">
        <v>7005</v>
      </c>
      <c r="G1538">
        <v>1703548</v>
      </c>
      <c r="J1538">
        <v>0.42</v>
      </c>
      <c r="L1538">
        <v>42564806</v>
      </c>
      <c r="M1538" s="1">
        <v>43840</v>
      </c>
      <c r="N1538" t="str">
        <f>"T200110AE1"</f>
        <v>T200110AE1</v>
      </c>
      <c r="O1538" t="s">
        <v>260</v>
      </c>
      <c r="Q1538" t="s">
        <v>29</v>
      </c>
      <c r="R1538" t="s">
        <v>260</v>
      </c>
      <c r="S1538" t="s">
        <v>7006</v>
      </c>
      <c r="T1538" t="s">
        <v>7007</v>
      </c>
      <c r="W1538" t="s">
        <v>1150</v>
      </c>
      <c r="X1538" t="s">
        <v>34</v>
      </c>
      <c r="Y1538" t="str">
        <f>"77583"</f>
        <v>77583</v>
      </c>
    </row>
    <row r="1539" spans="1:25" x14ac:dyDescent="0.25">
      <c r="A1539" t="s">
        <v>7008</v>
      </c>
      <c r="B1539" t="s">
        <v>7009</v>
      </c>
      <c r="C1539">
        <v>2021</v>
      </c>
      <c r="D1539">
        <v>8001</v>
      </c>
      <c r="E1539">
        <v>1</v>
      </c>
      <c r="F1539" t="s">
        <v>7010</v>
      </c>
      <c r="G1539">
        <v>0</v>
      </c>
      <c r="J1539">
        <v>10.220000000000001</v>
      </c>
      <c r="L1539">
        <v>47584973</v>
      </c>
      <c r="M1539" s="1">
        <v>44516</v>
      </c>
      <c r="N1539" t="str">
        <f>"TE211116"</f>
        <v>TE211116</v>
      </c>
      <c r="O1539" t="s">
        <v>28</v>
      </c>
      <c r="Q1539" t="s">
        <v>29</v>
      </c>
      <c r="R1539" t="s">
        <v>28</v>
      </c>
      <c r="S1539" t="s">
        <v>7011</v>
      </c>
      <c r="T1539" t="s">
        <v>7012</v>
      </c>
      <c r="U1539" t="s">
        <v>7013</v>
      </c>
      <c r="V1539" t="s">
        <v>60</v>
      </c>
      <c r="W1539" t="s">
        <v>376</v>
      </c>
      <c r="X1539" t="s">
        <v>34</v>
      </c>
      <c r="Y1539" t="str">
        <f>"774775225   "</f>
        <v xml:space="preserve">774775225   </v>
      </c>
    </row>
    <row r="1540" spans="1:25" x14ac:dyDescent="0.25">
      <c r="A1540" t="s">
        <v>7014</v>
      </c>
      <c r="B1540" t="s">
        <v>7015</v>
      </c>
      <c r="C1540">
        <v>2019</v>
      </c>
      <c r="D1540">
        <v>8001</v>
      </c>
      <c r="E1540">
        <v>1</v>
      </c>
      <c r="F1540" t="s">
        <v>7016</v>
      </c>
      <c r="G1540">
        <v>27528816</v>
      </c>
      <c r="J1540">
        <v>9.84</v>
      </c>
      <c r="L1540">
        <v>41508315</v>
      </c>
      <c r="M1540" s="1">
        <v>43766</v>
      </c>
      <c r="N1540" t="str">
        <f>"TE191028"</f>
        <v>TE191028</v>
      </c>
      <c r="O1540" t="s">
        <v>28</v>
      </c>
      <c r="Q1540" t="s">
        <v>29</v>
      </c>
      <c r="R1540" t="s">
        <v>28</v>
      </c>
      <c r="S1540" t="s">
        <v>7017</v>
      </c>
      <c r="T1540" t="s">
        <v>7018</v>
      </c>
      <c r="W1540" t="s">
        <v>3611</v>
      </c>
      <c r="X1540" t="s">
        <v>34</v>
      </c>
      <c r="Y1540" t="str">
        <f>"774771529"</f>
        <v>774771529</v>
      </c>
    </row>
    <row r="1541" spans="1:25" x14ac:dyDescent="0.25">
      <c r="A1541" t="s">
        <v>7019</v>
      </c>
      <c r="B1541" t="s">
        <v>7020</v>
      </c>
      <c r="C1541">
        <v>2019</v>
      </c>
      <c r="D1541">
        <v>8001</v>
      </c>
      <c r="E1541">
        <v>1</v>
      </c>
      <c r="F1541" t="s">
        <v>7021</v>
      </c>
      <c r="G1541">
        <v>0</v>
      </c>
      <c r="J1541">
        <v>8.92</v>
      </c>
      <c r="L1541">
        <v>41423663</v>
      </c>
      <c r="M1541" s="1">
        <v>43766</v>
      </c>
      <c r="N1541" t="str">
        <f>"TE191028"</f>
        <v>TE191028</v>
      </c>
      <c r="O1541" t="s">
        <v>28</v>
      </c>
      <c r="Q1541" t="s">
        <v>29</v>
      </c>
      <c r="R1541" t="s">
        <v>28</v>
      </c>
      <c r="S1541" t="s">
        <v>7022</v>
      </c>
      <c r="T1541" t="s">
        <v>7023</v>
      </c>
      <c r="U1541">
        <v>24</v>
      </c>
      <c r="V1541" t="s">
        <v>60</v>
      </c>
      <c r="W1541" t="s">
        <v>214</v>
      </c>
      <c r="X1541" t="s">
        <v>34</v>
      </c>
      <c r="Y1541" t="str">
        <f>"77406       "</f>
        <v xml:space="preserve">77406       </v>
      </c>
    </row>
    <row r="1542" spans="1:25" x14ac:dyDescent="0.25">
      <c r="A1542" t="s">
        <v>7024</v>
      </c>
      <c r="B1542" t="s">
        <v>7025</v>
      </c>
      <c r="C1542">
        <v>2021</v>
      </c>
      <c r="D1542">
        <v>8001</v>
      </c>
      <c r="E1542">
        <v>1</v>
      </c>
      <c r="F1542" t="s">
        <v>7026</v>
      </c>
      <c r="G1542">
        <v>30025749</v>
      </c>
      <c r="J1542">
        <v>8.0299999999999994</v>
      </c>
      <c r="L1542">
        <v>47793503</v>
      </c>
      <c r="M1542" s="1">
        <v>44516</v>
      </c>
      <c r="N1542" t="str">
        <f>"TE211116"</f>
        <v>TE211116</v>
      </c>
      <c r="O1542" t="s">
        <v>28</v>
      </c>
      <c r="Q1542" t="s">
        <v>29</v>
      </c>
      <c r="R1542" t="s">
        <v>28</v>
      </c>
      <c r="S1542" t="s">
        <v>7027</v>
      </c>
      <c r="T1542" t="s">
        <v>7028</v>
      </c>
      <c r="W1542" t="s">
        <v>81</v>
      </c>
      <c r="X1542" t="s">
        <v>34</v>
      </c>
      <c r="Y1542" t="str">
        <f>"774691755"</f>
        <v>774691755</v>
      </c>
    </row>
    <row r="1543" spans="1:25" x14ac:dyDescent="0.25">
      <c r="A1543" t="s">
        <v>7029</v>
      </c>
      <c r="B1543" t="s">
        <v>7030</v>
      </c>
      <c r="C1543">
        <v>2020</v>
      </c>
      <c r="D1543">
        <v>8001</v>
      </c>
      <c r="E1543">
        <v>1</v>
      </c>
      <c r="F1543" t="s">
        <v>7031</v>
      </c>
      <c r="G1543">
        <v>28690619</v>
      </c>
      <c r="J1543">
        <v>7.3</v>
      </c>
      <c r="L1543">
        <v>44600204</v>
      </c>
      <c r="M1543" s="1">
        <v>44147</v>
      </c>
      <c r="N1543" t="str">
        <f>"TE201112"</f>
        <v>TE201112</v>
      </c>
      <c r="O1543" t="s">
        <v>28</v>
      </c>
      <c r="Q1543" t="s">
        <v>29</v>
      </c>
      <c r="R1543" t="s">
        <v>28</v>
      </c>
      <c r="S1543" t="s">
        <v>7032</v>
      </c>
      <c r="T1543" t="s">
        <v>7033</v>
      </c>
      <c r="W1543" t="s">
        <v>81</v>
      </c>
      <c r="X1543" t="s">
        <v>34</v>
      </c>
      <c r="Y1543" t="str">
        <f>"774691766"</f>
        <v>774691766</v>
      </c>
    </row>
    <row r="1544" spans="1:25" x14ac:dyDescent="0.25">
      <c r="A1544" t="s">
        <v>7034</v>
      </c>
      <c r="B1544" t="s">
        <v>7035</v>
      </c>
      <c r="C1544">
        <v>2020</v>
      </c>
      <c r="D1544">
        <v>8001</v>
      </c>
      <c r="E1544">
        <v>1</v>
      </c>
      <c r="F1544" t="s">
        <v>7036</v>
      </c>
      <c r="G1544">
        <v>29461835</v>
      </c>
      <c r="J1544">
        <v>5.98</v>
      </c>
      <c r="L1544">
        <v>46728835</v>
      </c>
      <c r="M1544" s="1">
        <v>44230</v>
      </c>
      <c r="N1544" t="str">
        <f>"EK210203"</f>
        <v>EK210203</v>
      </c>
      <c r="O1544" t="s">
        <v>28</v>
      </c>
      <c r="Q1544" t="s">
        <v>29</v>
      </c>
      <c r="R1544" t="s">
        <v>28</v>
      </c>
      <c r="S1544" t="s">
        <v>7037</v>
      </c>
      <c r="T1544" t="s">
        <v>7038</v>
      </c>
      <c r="W1544" t="s">
        <v>936</v>
      </c>
      <c r="X1544" t="s">
        <v>34</v>
      </c>
      <c r="Y1544" t="str">
        <f>"77379"</f>
        <v>77379</v>
      </c>
    </row>
    <row r="1545" spans="1:25" x14ac:dyDescent="0.25">
      <c r="A1545" t="s">
        <v>7039</v>
      </c>
      <c r="B1545" t="s">
        <v>7040</v>
      </c>
      <c r="C1545">
        <v>2021</v>
      </c>
      <c r="D1545">
        <v>8001</v>
      </c>
      <c r="E1545">
        <v>2</v>
      </c>
      <c r="F1545" t="s">
        <v>7041</v>
      </c>
      <c r="G1545">
        <v>22219502</v>
      </c>
      <c r="J1545">
        <v>160.57</v>
      </c>
      <c r="L1545">
        <v>48712336</v>
      </c>
      <c r="M1545" s="1">
        <v>44558</v>
      </c>
      <c r="N1545" t="str">
        <f>"RC220125"</f>
        <v>RC220125</v>
      </c>
      <c r="O1545" t="s">
        <v>28</v>
      </c>
      <c r="Q1545" t="s">
        <v>29</v>
      </c>
      <c r="R1545" t="s">
        <v>28</v>
      </c>
      <c r="S1545" t="s">
        <v>7042</v>
      </c>
      <c r="T1545" t="s">
        <v>7043</v>
      </c>
      <c r="W1545" t="s">
        <v>4598</v>
      </c>
      <c r="X1545" t="s">
        <v>34</v>
      </c>
      <c r="Y1545" t="str">
        <f>"774012900"</f>
        <v>774012900</v>
      </c>
    </row>
    <row r="1546" spans="1:25" x14ac:dyDescent="0.25">
      <c r="A1546" t="s">
        <v>7044</v>
      </c>
      <c r="B1546" t="s">
        <v>7045</v>
      </c>
      <c r="C1546">
        <v>2020</v>
      </c>
      <c r="D1546">
        <v>8001</v>
      </c>
      <c r="E1546">
        <v>1</v>
      </c>
      <c r="F1546" t="s">
        <v>7046</v>
      </c>
      <c r="G1546">
        <v>0</v>
      </c>
      <c r="J1546">
        <v>7.86</v>
      </c>
      <c r="L1546">
        <v>44295270</v>
      </c>
      <c r="M1546" s="1">
        <v>44147</v>
      </c>
      <c r="N1546" t="str">
        <f>"TE201112"</f>
        <v>TE201112</v>
      </c>
      <c r="O1546" t="s">
        <v>28</v>
      </c>
      <c r="Q1546" t="s">
        <v>29</v>
      </c>
      <c r="R1546" t="s">
        <v>28</v>
      </c>
      <c r="S1546" t="s">
        <v>7047</v>
      </c>
      <c r="T1546" t="s">
        <v>7048</v>
      </c>
      <c r="U1546" t="s">
        <v>7049</v>
      </c>
      <c r="V1546" t="s">
        <v>7050</v>
      </c>
      <c r="W1546" t="s">
        <v>214</v>
      </c>
      <c r="X1546" t="s">
        <v>34</v>
      </c>
      <c r="Y1546" t="str">
        <f>"77469       "</f>
        <v xml:space="preserve">77469       </v>
      </c>
    </row>
    <row r="1547" spans="1:25" x14ac:dyDescent="0.25">
      <c r="A1547" t="s">
        <v>7051</v>
      </c>
      <c r="B1547" t="s">
        <v>7052</v>
      </c>
      <c r="C1547">
        <v>2019</v>
      </c>
      <c r="D1547">
        <v>8001</v>
      </c>
      <c r="E1547">
        <v>1</v>
      </c>
      <c r="F1547" t="s">
        <v>7053</v>
      </c>
      <c r="G1547">
        <v>0</v>
      </c>
      <c r="J1547">
        <v>17.53</v>
      </c>
      <c r="L1547">
        <v>44173372</v>
      </c>
      <c r="M1547" s="1">
        <v>43969</v>
      </c>
      <c r="N1547" t="str">
        <f>"J200518AW1"</f>
        <v>J200518AW1</v>
      </c>
      <c r="O1547" t="s">
        <v>28</v>
      </c>
      <c r="Q1547" t="s">
        <v>29</v>
      </c>
      <c r="R1547" t="s">
        <v>28</v>
      </c>
      <c r="S1547" t="s">
        <v>7053</v>
      </c>
      <c r="T1547" t="s">
        <v>7049</v>
      </c>
      <c r="U1547" t="s">
        <v>7054</v>
      </c>
      <c r="V1547" t="s">
        <v>60</v>
      </c>
      <c r="W1547" t="s">
        <v>214</v>
      </c>
      <c r="X1547" t="s">
        <v>34</v>
      </c>
      <c r="Y1547" t="str">
        <f>"774692614   "</f>
        <v xml:space="preserve">774692614   </v>
      </c>
    </row>
    <row r="1548" spans="1:25" x14ac:dyDescent="0.25">
      <c r="A1548" t="s">
        <v>7055</v>
      </c>
      <c r="B1548" t="s">
        <v>7056</v>
      </c>
      <c r="C1548">
        <v>2020</v>
      </c>
      <c r="D1548">
        <v>8001</v>
      </c>
      <c r="E1548">
        <v>1</v>
      </c>
      <c r="F1548" t="s">
        <v>7057</v>
      </c>
      <c r="G1548">
        <v>0</v>
      </c>
      <c r="J1548">
        <v>15.76</v>
      </c>
      <c r="L1548">
        <v>44401214</v>
      </c>
      <c r="M1548" s="1">
        <v>44147</v>
      </c>
      <c r="N1548" t="str">
        <f>"TE201112"</f>
        <v>TE201112</v>
      </c>
      <c r="O1548" t="s">
        <v>28</v>
      </c>
      <c r="Q1548" t="s">
        <v>29</v>
      </c>
      <c r="R1548" t="s">
        <v>28</v>
      </c>
      <c r="S1548" t="s">
        <v>7057</v>
      </c>
      <c r="T1548" t="s">
        <v>7058</v>
      </c>
      <c r="U1548" t="s">
        <v>7059</v>
      </c>
      <c r="V1548" t="s">
        <v>60</v>
      </c>
      <c r="W1548" t="s">
        <v>649</v>
      </c>
      <c r="X1548" t="s">
        <v>34</v>
      </c>
      <c r="Y1548" t="str">
        <f>"774714702   "</f>
        <v xml:space="preserve">774714702   </v>
      </c>
    </row>
    <row r="1549" spans="1:25" x14ac:dyDescent="0.25">
      <c r="A1549" t="s">
        <v>7060</v>
      </c>
      <c r="B1549" t="s">
        <v>7061</v>
      </c>
      <c r="C1549">
        <v>2020</v>
      </c>
      <c r="D1549">
        <v>8001</v>
      </c>
      <c r="E1549">
        <v>1</v>
      </c>
      <c r="F1549" t="s">
        <v>7062</v>
      </c>
      <c r="G1549">
        <v>916037</v>
      </c>
      <c r="J1549">
        <v>7.23</v>
      </c>
      <c r="L1549">
        <v>44422553</v>
      </c>
      <c r="M1549" s="1">
        <v>44147</v>
      </c>
      <c r="N1549" t="str">
        <f>"TE201112"</f>
        <v>TE201112</v>
      </c>
      <c r="O1549" t="s">
        <v>28</v>
      </c>
      <c r="Q1549" t="s">
        <v>29</v>
      </c>
      <c r="R1549" t="s">
        <v>28</v>
      </c>
      <c r="S1549" t="s">
        <v>7063</v>
      </c>
      <c r="T1549" t="s">
        <v>7064</v>
      </c>
      <c r="W1549" t="s">
        <v>154</v>
      </c>
      <c r="X1549" t="s">
        <v>34</v>
      </c>
      <c r="Y1549" t="str">
        <f>"774714344"</f>
        <v>774714344</v>
      </c>
    </row>
    <row r="1550" spans="1:25" x14ac:dyDescent="0.25">
      <c r="A1550" t="s">
        <v>7065</v>
      </c>
      <c r="B1550" t="s">
        <v>7066</v>
      </c>
      <c r="C1550">
        <v>2020</v>
      </c>
      <c r="D1550">
        <v>8001</v>
      </c>
      <c r="E1550">
        <v>1</v>
      </c>
      <c r="F1550" t="s">
        <v>7067</v>
      </c>
      <c r="G1550">
        <v>29955725</v>
      </c>
      <c r="J1550">
        <v>6.35</v>
      </c>
      <c r="L1550">
        <v>47679409</v>
      </c>
      <c r="M1550" s="1">
        <v>44413</v>
      </c>
      <c r="N1550" t="str">
        <f>"CC210805"</f>
        <v>CC210805</v>
      </c>
      <c r="O1550" t="s">
        <v>28</v>
      </c>
      <c r="Q1550" t="s">
        <v>29</v>
      </c>
      <c r="R1550" t="s">
        <v>28</v>
      </c>
      <c r="S1550" t="s">
        <v>7068</v>
      </c>
      <c r="T1550" t="s">
        <v>7069</v>
      </c>
      <c r="W1550" t="s">
        <v>40</v>
      </c>
      <c r="X1550" t="s">
        <v>34</v>
      </c>
      <c r="Y1550" t="str">
        <f>"77498"</f>
        <v>77498</v>
      </c>
    </row>
    <row r="1551" spans="1:25" x14ac:dyDescent="0.25">
      <c r="A1551" t="s">
        <v>7070</v>
      </c>
      <c r="B1551" t="s">
        <v>7071</v>
      </c>
      <c r="C1551">
        <v>2019</v>
      </c>
      <c r="D1551">
        <v>8001</v>
      </c>
      <c r="E1551">
        <v>1</v>
      </c>
      <c r="F1551" t="s">
        <v>7072</v>
      </c>
      <c r="G1551">
        <v>21285176</v>
      </c>
      <c r="J1551">
        <v>8.61</v>
      </c>
      <c r="L1551">
        <v>41350007</v>
      </c>
      <c r="M1551" s="1">
        <v>43766</v>
      </c>
      <c r="N1551" t="str">
        <f>"TE191028"</f>
        <v>TE191028</v>
      </c>
      <c r="O1551" t="s">
        <v>28</v>
      </c>
      <c r="Q1551" t="s">
        <v>29</v>
      </c>
      <c r="R1551" t="s">
        <v>28</v>
      </c>
      <c r="S1551" t="s">
        <v>7072</v>
      </c>
      <c r="T1551" t="s">
        <v>7073</v>
      </c>
      <c r="W1551" t="s">
        <v>154</v>
      </c>
      <c r="X1551" t="s">
        <v>34</v>
      </c>
      <c r="Y1551" t="str">
        <f>"774714045"</f>
        <v>774714045</v>
      </c>
    </row>
    <row r="1552" spans="1:25" x14ac:dyDescent="0.25">
      <c r="A1552" t="s">
        <v>7074</v>
      </c>
      <c r="B1552" t="s">
        <v>7075</v>
      </c>
      <c r="C1552">
        <v>2020</v>
      </c>
      <c r="D1552">
        <v>8001</v>
      </c>
      <c r="E1552">
        <v>1</v>
      </c>
      <c r="F1552" t="s">
        <v>7076</v>
      </c>
      <c r="G1552">
        <v>25039358</v>
      </c>
      <c r="J1552">
        <v>6.75</v>
      </c>
      <c r="L1552">
        <v>45127091</v>
      </c>
      <c r="M1552" s="1">
        <v>44172</v>
      </c>
      <c r="N1552" t="str">
        <f>"RC201217"</f>
        <v>RC201217</v>
      </c>
      <c r="O1552" t="s">
        <v>28</v>
      </c>
      <c r="Q1552" t="s">
        <v>29</v>
      </c>
      <c r="R1552" t="s">
        <v>28</v>
      </c>
      <c r="S1552" t="s">
        <v>7077</v>
      </c>
      <c r="T1552" t="s">
        <v>7078</v>
      </c>
      <c r="W1552" t="s">
        <v>1150</v>
      </c>
      <c r="X1552" t="s">
        <v>34</v>
      </c>
      <c r="Y1552" t="str">
        <f>"775833354"</f>
        <v>775833354</v>
      </c>
    </row>
    <row r="1553" spans="1:25" x14ac:dyDescent="0.25">
      <c r="A1553" t="s">
        <v>7079</v>
      </c>
      <c r="B1553" t="s">
        <v>7080</v>
      </c>
      <c r="C1553">
        <v>2019</v>
      </c>
      <c r="D1553">
        <v>8001</v>
      </c>
      <c r="E1553">
        <v>2</v>
      </c>
      <c r="F1553" t="s">
        <v>7081</v>
      </c>
      <c r="G1553">
        <v>21382417</v>
      </c>
      <c r="J1553">
        <v>42.52</v>
      </c>
      <c r="L1553">
        <v>44054123</v>
      </c>
      <c r="M1553" s="1">
        <v>43930</v>
      </c>
      <c r="N1553" t="str">
        <f>"O200409AB1"</f>
        <v>O200409AB1</v>
      </c>
      <c r="O1553" t="s">
        <v>28</v>
      </c>
      <c r="Q1553" t="s">
        <v>29</v>
      </c>
      <c r="R1553" t="s">
        <v>28</v>
      </c>
      <c r="S1553" t="s">
        <v>3856</v>
      </c>
      <c r="T1553" t="s">
        <v>3857</v>
      </c>
      <c r="U1553" t="s">
        <v>7082</v>
      </c>
      <c r="W1553" t="s">
        <v>75</v>
      </c>
      <c r="X1553" t="s">
        <v>34</v>
      </c>
      <c r="Y1553" t="str">
        <f>"77231"</f>
        <v>77231</v>
      </c>
    </row>
    <row r="1554" spans="1:25" x14ac:dyDescent="0.25">
      <c r="A1554" t="s">
        <v>7083</v>
      </c>
      <c r="B1554" t="s">
        <v>7084</v>
      </c>
      <c r="C1554">
        <v>2019</v>
      </c>
      <c r="D1554">
        <v>8001</v>
      </c>
      <c r="E1554">
        <v>1</v>
      </c>
      <c r="F1554" t="s">
        <v>7085</v>
      </c>
      <c r="G1554">
        <v>27520788</v>
      </c>
      <c r="J1554">
        <v>8.32</v>
      </c>
      <c r="L1554">
        <v>41494103</v>
      </c>
      <c r="M1554" s="1">
        <v>43766</v>
      </c>
      <c r="N1554" t="str">
        <f>"TE191028"</f>
        <v>TE191028</v>
      </c>
      <c r="O1554" t="s">
        <v>28</v>
      </c>
      <c r="Q1554" t="s">
        <v>29</v>
      </c>
      <c r="R1554" t="s">
        <v>28</v>
      </c>
      <c r="S1554" t="s">
        <v>7086</v>
      </c>
      <c r="T1554" t="s">
        <v>7087</v>
      </c>
      <c r="W1554" t="s">
        <v>371</v>
      </c>
      <c r="X1554" t="s">
        <v>34</v>
      </c>
      <c r="Y1554" t="str">
        <f>"77477"</f>
        <v>77477</v>
      </c>
    </row>
    <row r="1555" spans="1:25" x14ac:dyDescent="0.25">
      <c r="A1555" t="s">
        <v>7088</v>
      </c>
      <c r="B1555" t="s">
        <v>7089</v>
      </c>
      <c r="C1555">
        <v>2021</v>
      </c>
      <c r="D1555">
        <v>8001</v>
      </c>
      <c r="E1555">
        <v>2</v>
      </c>
      <c r="F1555" t="s">
        <v>7090</v>
      </c>
      <c r="G1555">
        <v>0</v>
      </c>
      <c r="J1555">
        <v>19.53</v>
      </c>
      <c r="L1555">
        <v>47422481</v>
      </c>
      <c r="M1555" s="1">
        <v>44516</v>
      </c>
      <c r="N1555" t="str">
        <f>"TE211116"</f>
        <v>TE211116</v>
      </c>
      <c r="O1555" t="s">
        <v>28</v>
      </c>
      <c r="Q1555" t="s">
        <v>29</v>
      </c>
      <c r="R1555" t="s">
        <v>28</v>
      </c>
      <c r="S1555" t="s">
        <v>7090</v>
      </c>
      <c r="T1555" t="s">
        <v>7091</v>
      </c>
      <c r="U1555" t="s">
        <v>7092</v>
      </c>
      <c r="V1555">
        <v>314</v>
      </c>
      <c r="W1555" t="s">
        <v>376</v>
      </c>
      <c r="X1555" t="s">
        <v>34</v>
      </c>
      <c r="Y1555" t="str">
        <f>"77477       "</f>
        <v xml:space="preserve">77477       </v>
      </c>
    </row>
    <row r="1556" spans="1:25" x14ac:dyDescent="0.25">
      <c r="A1556" t="s">
        <v>7093</v>
      </c>
      <c r="B1556" t="s">
        <v>7094</v>
      </c>
      <c r="C1556">
        <v>2019</v>
      </c>
      <c r="D1556">
        <v>8001</v>
      </c>
      <c r="E1556">
        <v>1</v>
      </c>
      <c r="F1556" t="s">
        <v>7095</v>
      </c>
      <c r="G1556">
        <v>27439225</v>
      </c>
      <c r="J1556">
        <v>9.1999999999999993</v>
      </c>
      <c r="L1556">
        <v>41311697</v>
      </c>
      <c r="M1556" s="1">
        <v>43766</v>
      </c>
      <c r="N1556" t="str">
        <f>"TE191028"</f>
        <v>TE191028</v>
      </c>
      <c r="O1556" t="s">
        <v>28</v>
      </c>
      <c r="Q1556" t="s">
        <v>29</v>
      </c>
      <c r="R1556" t="s">
        <v>28</v>
      </c>
      <c r="S1556" t="s">
        <v>7096</v>
      </c>
      <c r="T1556" t="s">
        <v>7097</v>
      </c>
      <c r="W1556" t="s">
        <v>371</v>
      </c>
      <c r="X1556" t="s">
        <v>34</v>
      </c>
      <c r="Y1556" t="str">
        <f>"77477"</f>
        <v>77477</v>
      </c>
    </row>
    <row r="1557" spans="1:25" x14ac:dyDescent="0.25">
      <c r="A1557" t="s">
        <v>7098</v>
      </c>
      <c r="B1557" t="s">
        <v>7099</v>
      </c>
      <c r="C1557">
        <v>2020</v>
      </c>
      <c r="D1557">
        <v>8001</v>
      </c>
      <c r="E1557">
        <v>1</v>
      </c>
      <c r="F1557" t="s">
        <v>7100</v>
      </c>
      <c r="G1557">
        <v>25028726</v>
      </c>
      <c r="J1557">
        <v>5.59</v>
      </c>
      <c r="L1557">
        <v>45210872</v>
      </c>
      <c r="M1557" s="1">
        <v>44175</v>
      </c>
      <c r="N1557" t="str">
        <f>"RC201217"</f>
        <v>RC201217</v>
      </c>
      <c r="O1557" t="s">
        <v>28</v>
      </c>
      <c r="Q1557" t="s">
        <v>29</v>
      </c>
      <c r="R1557" t="s">
        <v>28</v>
      </c>
      <c r="S1557" t="s">
        <v>7101</v>
      </c>
      <c r="T1557" t="s">
        <v>7102</v>
      </c>
      <c r="W1557" t="s">
        <v>7103</v>
      </c>
      <c r="X1557" t="s">
        <v>7104</v>
      </c>
      <c r="Y1557" t="str">
        <f>"890617710"</f>
        <v>890617710</v>
      </c>
    </row>
    <row r="1558" spans="1:25" x14ac:dyDescent="0.25">
      <c r="A1558" t="s">
        <v>7105</v>
      </c>
      <c r="B1558" t="s">
        <v>7106</v>
      </c>
      <c r="C1558">
        <v>2020</v>
      </c>
      <c r="D1558">
        <v>8001</v>
      </c>
      <c r="E1558">
        <v>1</v>
      </c>
      <c r="F1558" t="s">
        <v>7107</v>
      </c>
      <c r="G1558">
        <v>0</v>
      </c>
      <c r="J1558">
        <v>85.05</v>
      </c>
      <c r="L1558">
        <v>44779275</v>
      </c>
      <c r="M1558" s="1">
        <v>44140</v>
      </c>
      <c r="N1558" t="str">
        <f>"O201105AW6"</f>
        <v>O201105AW6</v>
      </c>
      <c r="O1558" t="s">
        <v>28</v>
      </c>
      <c r="Q1558" t="s">
        <v>29</v>
      </c>
      <c r="R1558" t="s">
        <v>28</v>
      </c>
      <c r="S1558" t="s">
        <v>7107</v>
      </c>
      <c r="T1558" t="s">
        <v>7108</v>
      </c>
      <c r="U1558" t="s">
        <v>60</v>
      </c>
      <c r="V1558" t="s">
        <v>60</v>
      </c>
      <c r="W1558" t="s">
        <v>135</v>
      </c>
      <c r="X1558" t="s">
        <v>34</v>
      </c>
      <c r="Y1558" t="str">
        <f>"770894311   "</f>
        <v xml:space="preserve">770894311   </v>
      </c>
    </row>
    <row r="1559" spans="1:25" x14ac:dyDescent="0.25">
      <c r="A1559" t="s">
        <v>7109</v>
      </c>
      <c r="B1559" t="s">
        <v>7110</v>
      </c>
      <c r="C1559">
        <v>2020</v>
      </c>
      <c r="D1559">
        <v>8001</v>
      </c>
      <c r="E1559">
        <v>2</v>
      </c>
      <c r="F1559" t="s">
        <v>7111</v>
      </c>
      <c r="G1559">
        <v>0</v>
      </c>
      <c r="J1559">
        <v>7.38</v>
      </c>
      <c r="L1559">
        <v>47073921</v>
      </c>
      <c r="M1559" s="1">
        <v>44265</v>
      </c>
      <c r="N1559" t="str">
        <f>"L210310"</f>
        <v>L210310</v>
      </c>
      <c r="O1559" t="s">
        <v>28</v>
      </c>
      <c r="Q1559" t="s">
        <v>29</v>
      </c>
      <c r="R1559" t="s">
        <v>28</v>
      </c>
      <c r="S1559" t="s">
        <v>7111</v>
      </c>
      <c r="T1559" t="s">
        <v>7112</v>
      </c>
      <c r="U1559" t="s">
        <v>60</v>
      </c>
      <c r="V1559" t="s">
        <v>60</v>
      </c>
      <c r="W1559" t="s">
        <v>7113</v>
      </c>
      <c r="X1559" t="s">
        <v>34</v>
      </c>
      <c r="Y1559" t="str">
        <f>"78028       "</f>
        <v xml:space="preserve">78028       </v>
      </c>
    </row>
    <row r="1560" spans="1:25" x14ac:dyDescent="0.25">
      <c r="A1560" t="s">
        <v>7114</v>
      </c>
      <c r="B1560" t="s">
        <v>7115</v>
      </c>
      <c r="C1560">
        <v>2020</v>
      </c>
      <c r="D1560">
        <v>8001</v>
      </c>
      <c r="E1560">
        <v>2</v>
      </c>
      <c r="F1560" t="s">
        <v>7116</v>
      </c>
      <c r="G1560">
        <v>0</v>
      </c>
      <c r="J1560">
        <v>4.76</v>
      </c>
      <c r="L1560">
        <v>45309380</v>
      </c>
      <c r="M1560" s="1">
        <v>44271</v>
      </c>
      <c r="N1560" t="str">
        <f>"T210316E1"</f>
        <v>T210316E1</v>
      </c>
      <c r="O1560" t="s">
        <v>28</v>
      </c>
      <c r="Q1560" t="s">
        <v>29</v>
      </c>
      <c r="R1560" t="s">
        <v>28</v>
      </c>
      <c r="S1560" t="s">
        <v>7117</v>
      </c>
      <c r="T1560" t="s">
        <v>7118</v>
      </c>
      <c r="U1560" t="s">
        <v>7119</v>
      </c>
      <c r="V1560" t="s">
        <v>60</v>
      </c>
      <c r="W1560" t="s">
        <v>198</v>
      </c>
      <c r="X1560" t="s">
        <v>34</v>
      </c>
      <c r="Y1560" t="str">
        <f>"75230       "</f>
        <v xml:space="preserve">75230       </v>
      </c>
    </row>
    <row r="1561" spans="1:25" x14ac:dyDescent="0.25">
      <c r="A1561" t="s">
        <v>7120</v>
      </c>
      <c r="B1561" t="s">
        <v>7121</v>
      </c>
      <c r="C1561">
        <v>2019</v>
      </c>
      <c r="D1561">
        <v>8001</v>
      </c>
      <c r="E1561">
        <v>1</v>
      </c>
      <c r="F1561" t="s">
        <v>7122</v>
      </c>
      <c r="G1561">
        <v>27896841</v>
      </c>
      <c r="J1561">
        <v>12.15</v>
      </c>
      <c r="L1561">
        <v>42784646</v>
      </c>
      <c r="M1561" s="1">
        <v>43840</v>
      </c>
      <c r="N1561" t="str">
        <f>"O200110BR1"</f>
        <v>O200110BR1</v>
      </c>
      <c r="O1561" t="s">
        <v>28</v>
      </c>
      <c r="Q1561" t="s">
        <v>29</v>
      </c>
      <c r="R1561" t="s">
        <v>28</v>
      </c>
      <c r="S1561" t="s">
        <v>7123</v>
      </c>
      <c r="T1561" t="s">
        <v>2991</v>
      </c>
      <c r="U1561" t="s">
        <v>1266</v>
      </c>
      <c r="W1561" t="s">
        <v>332</v>
      </c>
      <c r="X1561" t="s">
        <v>34</v>
      </c>
      <c r="Y1561" t="str">
        <f>"752359788"</f>
        <v>752359788</v>
      </c>
    </row>
    <row r="1562" spans="1:25" x14ac:dyDescent="0.25">
      <c r="A1562" t="s">
        <v>7124</v>
      </c>
      <c r="B1562" t="s">
        <v>7125</v>
      </c>
      <c r="C1562">
        <v>2020</v>
      </c>
      <c r="D1562">
        <v>8001</v>
      </c>
      <c r="E1562">
        <v>1</v>
      </c>
      <c r="F1562" t="s">
        <v>7126</v>
      </c>
      <c r="G1562">
        <v>0</v>
      </c>
      <c r="J1562">
        <v>15.85</v>
      </c>
      <c r="L1562">
        <v>45422099</v>
      </c>
      <c r="M1562" s="1">
        <v>44187</v>
      </c>
      <c r="N1562" t="str">
        <f>"J201222BW8"</f>
        <v>J201222BW8</v>
      </c>
      <c r="O1562" t="s">
        <v>28</v>
      </c>
      <c r="Q1562" t="s">
        <v>29</v>
      </c>
      <c r="R1562" t="s">
        <v>28</v>
      </c>
      <c r="S1562" t="s">
        <v>7126</v>
      </c>
      <c r="T1562" t="s">
        <v>7127</v>
      </c>
      <c r="U1562" t="s">
        <v>7128</v>
      </c>
      <c r="V1562" t="s">
        <v>60</v>
      </c>
      <c r="W1562" t="s">
        <v>135</v>
      </c>
      <c r="X1562" t="s">
        <v>34</v>
      </c>
      <c r="Y1562" t="str">
        <f>"770026599   "</f>
        <v xml:space="preserve">770026599   </v>
      </c>
    </row>
    <row r="1563" spans="1:25" x14ac:dyDescent="0.25">
      <c r="A1563" t="s">
        <v>7129</v>
      </c>
      <c r="B1563" t="s">
        <v>7130</v>
      </c>
      <c r="C1563">
        <v>2019</v>
      </c>
      <c r="D1563">
        <v>8001</v>
      </c>
      <c r="E1563">
        <v>1</v>
      </c>
      <c r="F1563" t="s">
        <v>7131</v>
      </c>
      <c r="G1563">
        <v>0</v>
      </c>
      <c r="J1563">
        <v>56.27</v>
      </c>
      <c r="L1563">
        <v>42707404</v>
      </c>
      <c r="M1563" s="1">
        <v>43837</v>
      </c>
      <c r="N1563" t="str">
        <f>"L200107"</f>
        <v>L200107</v>
      </c>
      <c r="O1563" t="s">
        <v>28</v>
      </c>
      <c r="Q1563" t="s">
        <v>29</v>
      </c>
      <c r="R1563" t="s">
        <v>28</v>
      </c>
      <c r="S1563" t="s">
        <v>7131</v>
      </c>
      <c r="T1563" t="s">
        <v>7132</v>
      </c>
      <c r="U1563" t="s">
        <v>60</v>
      </c>
      <c r="V1563" t="s">
        <v>60</v>
      </c>
      <c r="W1563" t="s">
        <v>198</v>
      </c>
      <c r="X1563" t="s">
        <v>34</v>
      </c>
      <c r="Y1563" t="str">
        <f>"753702377   "</f>
        <v xml:space="preserve">753702377   </v>
      </c>
    </row>
    <row r="1564" spans="1:25" x14ac:dyDescent="0.25">
      <c r="A1564" t="s">
        <v>7133</v>
      </c>
      <c r="B1564" t="s">
        <v>7134</v>
      </c>
      <c r="C1564">
        <v>2018</v>
      </c>
      <c r="D1564">
        <v>8001</v>
      </c>
      <c r="E1564">
        <v>1</v>
      </c>
      <c r="F1564" t="s">
        <v>7135</v>
      </c>
      <c r="G1564">
        <v>20319798</v>
      </c>
      <c r="J1564">
        <v>181.78</v>
      </c>
      <c r="L1564">
        <v>41176994</v>
      </c>
      <c r="M1564" s="1">
        <v>43592</v>
      </c>
      <c r="N1564" t="str">
        <f>"O190507AB1"</f>
        <v>O190507AB1</v>
      </c>
      <c r="O1564" t="s">
        <v>28</v>
      </c>
      <c r="Q1564" t="s">
        <v>29</v>
      </c>
      <c r="R1564" t="s">
        <v>28</v>
      </c>
      <c r="S1564" t="s">
        <v>7136</v>
      </c>
      <c r="T1564" t="s">
        <v>3857</v>
      </c>
      <c r="U1564" t="s">
        <v>7137</v>
      </c>
      <c r="W1564" t="s">
        <v>75</v>
      </c>
      <c r="X1564" t="s">
        <v>34</v>
      </c>
      <c r="Y1564" t="str">
        <f>"770241210"</f>
        <v>770241210</v>
      </c>
    </row>
    <row r="1565" spans="1:25" x14ac:dyDescent="0.25">
      <c r="A1565" t="s">
        <v>7138</v>
      </c>
      <c r="B1565" t="s">
        <v>7139</v>
      </c>
      <c r="C1565">
        <v>2019</v>
      </c>
      <c r="D1565">
        <v>8001</v>
      </c>
      <c r="E1565">
        <v>1</v>
      </c>
      <c r="F1565" t="s">
        <v>7131</v>
      </c>
      <c r="G1565">
        <v>27613061</v>
      </c>
      <c r="J1565">
        <v>5.51</v>
      </c>
      <c r="L1565">
        <v>41748207</v>
      </c>
      <c r="M1565" s="1">
        <v>43770</v>
      </c>
      <c r="N1565" t="str">
        <f>"O191101AB1"</f>
        <v>O191101AB1</v>
      </c>
      <c r="O1565" t="s">
        <v>28</v>
      </c>
      <c r="Q1565" t="s">
        <v>29</v>
      </c>
      <c r="R1565" t="s">
        <v>28</v>
      </c>
      <c r="S1565" t="s">
        <v>7140</v>
      </c>
      <c r="T1565" t="s">
        <v>7141</v>
      </c>
      <c r="W1565" t="s">
        <v>332</v>
      </c>
      <c r="X1565" t="s">
        <v>34</v>
      </c>
      <c r="Y1565" t="str">
        <f>"753702377"</f>
        <v>753702377</v>
      </c>
    </row>
    <row r="1566" spans="1:25" x14ac:dyDescent="0.25">
      <c r="A1566" t="s">
        <v>7142</v>
      </c>
      <c r="B1566" t="s">
        <v>7143</v>
      </c>
      <c r="C1566">
        <v>2020</v>
      </c>
      <c r="D1566">
        <v>8001</v>
      </c>
      <c r="E1566">
        <v>1</v>
      </c>
      <c r="F1566" t="s">
        <v>7144</v>
      </c>
      <c r="G1566">
        <v>27261427</v>
      </c>
      <c r="J1566">
        <v>5.81</v>
      </c>
      <c r="L1566">
        <v>45171162</v>
      </c>
      <c r="M1566" s="1">
        <v>44174</v>
      </c>
      <c r="N1566" t="str">
        <f>"RC201217"</f>
        <v>RC201217</v>
      </c>
      <c r="O1566" t="s">
        <v>28</v>
      </c>
      <c r="Q1566" t="s">
        <v>29</v>
      </c>
      <c r="R1566" t="s">
        <v>28</v>
      </c>
      <c r="S1566" t="s">
        <v>7145</v>
      </c>
      <c r="T1566" t="s">
        <v>7146</v>
      </c>
      <c r="U1566" t="s">
        <v>7147</v>
      </c>
      <c r="W1566" t="s">
        <v>7148</v>
      </c>
      <c r="X1566" t="s">
        <v>317</v>
      </c>
      <c r="Y1566" t="str">
        <f>"956304602"</f>
        <v>956304602</v>
      </c>
    </row>
    <row r="1567" spans="1:25" x14ac:dyDescent="0.25">
      <c r="A1567" t="s">
        <v>7149</v>
      </c>
      <c r="B1567" t="s">
        <v>7150</v>
      </c>
      <c r="C1567">
        <v>2020</v>
      </c>
      <c r="D1567">
        <v>8001</v>
      </c>
      <c r="E1567">
        <v>2</v>
      </c>
      <c r="F1567" t="s">
        <v>7151</v>
      </c>
      <c r="G1567">
        <v>22113551</v>
      </c>
      <c r="J1567">
        <v>75.89</v>
      </c>
      <c r="L1567">
        <v>47939167</v>
      </c>
      <c r="M1567" s="1">
        <v>44502</v>
      </c>
      <c r="N1567" t="str">
        <f>"RC211208"</f>
        <v>RC211208</v>
      </c>
      <c r="O1567" t="s">
        <v>28</v>
      </c>
      <c r="Q1567" t="s">
        <v>29</v>
      </c>
      <c r="R1567" t="s">
        <v>28</v>
      </c>
      <c r="S1567" t="s">
        <v>7152</v>
      </c>
      <c r="T1567" t="s">
        <v>7153</v>
      </c>
      <c r="W1567" t="s">
        <v>7154</v>
      </c>
      <c r="X1567" t="s">
        <v>1457</v>
      </c>
      <c r="Y1567" t="str">
        <f>"23185"</f>
        <v>23185</v>
      </c>
    </row>
    <row r="1568" spans="1:25" x14ac:dyDescent="0.25">
      <c r="A1568" t="s">
        <v>7155</v>
      </c>
      <c r="B1568" t="s">
        <v>7156</v>
      </c>
      <c r="C1568">
        <v>2020</v>
      </c>
      <c r="D1568">
        <v>8001</v>
      </c>
      <c r="E1568">
        <v>1</v>
      </c>
      <c r="F1568" t="s">
        <v>7157</v>
      </c>
      <c r="G1568">
        <v>0</v>
      </c>
      <c r="J1568">
        <v>7.75</v>
      </c>
      <c r="L1568">
        <v>47506255</v>
      </c>
      <c r="M1568" s="1">
        <v>44354</v>
      </c>
      <c r="N1568" t="str">
        <f>"J210607BW2"</f>
        <v>J210607BW2</v>
      </c>
      <c r="O1568" t="s">
        <v>28</v>
      </c>
      <c r="Q1568" t="s">
        <v>29</v>
      </c>
      <c r="R1568" t="s">
        <v>28</v>
      </c>
      <c r="S1568" t="s">
        <v>7157</v>
      </c>
      <c r="T1568" t="s">
        <v>7158</v>
      </c>
      <c r="U1568" t="s">
        <v>60</v>
      </c>
      <c r="V1568" t="s">
        <v>60</v>
      </c>
      <c r="W1568" t="s">
        <v>7159</v>
      </c>
      <c r="X1568" t="s">
        <v>2865</v>
      </c>
      <c r="Y1568" t="str">
        <f>"584019238   "</f>
        <v xml:space="preserve">584019238   </v>
      </c>
    </row>
    <row r="1569" spans="1:25" x14ac:dyDescent="0.25">
      <c r="A1569" t="s">
        <v>7160</v>
      </c>
      <c r="B1569" t="s">
        <v>7161</v>
      </c>
      <c r="C1569">
        <v>2021</v>
      </c>
      <c r="D1569">
        <v>8001</v>
      </c>
      <c r="E1569">
        <v>1</v>
      </c>
      <c r="F1569" t="s">
        <v>7162</v>
      </c>
      <c r="G1569">
        <v>29313696</v>
      </c>
      <c r="J1569">
        <v>8.19</v>
      </c>
      <c r="L1569">
        <v>45920739</v>
      </c>
      <c r="M1569" s="1">
        <v>44516</v>
      </c>
      <c r="N1569" t="str">
        <f>"TE211116"</f>
        <v>TE211116</v>
      </c>
      <c r="O1569" t="s">
        <v>28</v>
      </c>
      <c r="Q1569" t="s">
        <v>29</v>
      </c>
      <c r="R1569" t="s">
        <v>28</v>
      </c>
      <c r="S1569" t="s">
        <v>7163</v>
      </c>
      <c r="T1569" t="s">
        <v>7164</v>
      </c>
      <c r="W1569" t="s">
        <v>7165</v>
      </c>
      <c r="X1569" t="s">
        <v>245</v>
      </c>
      <c r="Y1569" t="str">
        <f>"486118900"</f>
        <v>486118900</v>
      </c>
    </row>
    <row r="1570" spans="1:25" x14ac:dyDescent="0.25">
      <c r="A1570" t="s">
        <v>7166</v>
      </c>
      <c r="B1570" t="s">
        <v>7167</v>
      </c>
      <c r="C1570">
        <v>2020</v>
      </c>
      <c r="D1570">
        <v>8001</v>
      </c>
      <c r="E1570">
        <v>1</v>
      </c>
      <c r="F1570" t="s">
        <v>7168</v>
      </c>
      <c r="G1570">
        <v>29929340</v>
      </c>
      <c r="J1570">
        <v>10.029999999999999</v>
      </c>
      <c r="L1570">
        <v>47602891</v>
      </c>
      <c r="M1570" s="1">
        <v>44390</v>
      </c>
      <c r="N1570" t="str">
        <f>"RC210722"</f>
        <v>RC210722</v>
      </c>
      <c r="O1570" t="s">
        <v>28</v>
      </c>
      <c r="Q1570" t="s">
        <v>29</v>
      </c>
      <c r="R1570" t="s">
        <v>28</v>
      </c>
      <c r="S1570" t="s">
        <v>7169</v>
      </c>
      <c r="T1570" t="s">
        <v>7170</v>
      </c>
      <c r="W1570" t="s">
        <v>7171</v>
      </c>
      <c r="X1570" t="s">
        <v>169</v>
      </c>
      <c r="Y1570" t="str">
        <f>"80524"</f>
        <v>80524</v>
      </c>
    </row>
    <row r="1571" spans="1:25" x14ac:dyDescent="0.25">
      <c r="A1571" t="s">
        <v>7172</v>
      </c>
      <c r="B1571" t="s">
        <v>7173</v>
      </c>
      <c r="C1571">
        <v>2020</v>
      </c>
      <c r="D1571">
        <v>8001</v>
      </c>
      <c r="E1571">
        <v>1</v>
      </c>
      <c r="F1571" t="s">
        <v>7157</v>
      </c>
      <c r="G1571">
        <v>0</v>
      </c>
      <c r="J1571">
        <v>32.26</v>
      </c>
      <c r="L1571">
        <v>47506255</v>
      </c>
      <c r="M1571" s="1">
        <v>44354</v>
      </c>
      <c r="N1571" t="str">
        <f>"J210607BW2"</f>
        <v>J210607BW2</v>
      </c>
      <c r="O1571" t="s">
        <v>28</v>
      </c>
      <c r="Q1571" t="s">
        <v>29</v>
      </c>
      <c r="R1571" t="s">
        <v>28</v>
      </c>
      <c r="S1571" t="s">
        <v>7157</v>
      </c>
      <c r="T1571" t="s">
        <v>7158</v>
      </c>
      <c r="U1571" t="s">
        <v>60</v>
      </c>
      <c r="V1571" t="s">
        <v>60</v>
      </c>
      <c r="W1571" t="s">
        <v>7159</v>
      </c>
      <c r="X1571" t="s">
        <v>2865</v>
      </c>
      <c r="Y1571" t="str">
        <f>"584019238   "</f>
        <v xml:space="preserve">584019238   </v>
      </c>
    </row>
    <row r="1572" spans="1:25" x14ac:dyDescent="0.25">
      <c r="A1572" t="s">
        <v>7174</v>
      </c>
      <c r="B1572" t="s">
        <v>7175</v>
      </c>
      <c r="C1572">
        <v>2020</v>
      </c>
      <c r="D1572">
        <v>8001</v>
      </c>
      <c r="E1572">
        <v>1</v>
      </c>
      <c r="F1572" t="s">
        <v>7168</v>
      </c>
      <c r="G1572">
        <v>29929340</v>
      </c>
      <c r="J1572">
        <v>7.39</v>
      </c>
      <c r="L1572">
        <v>47602892</v>
      </c>
      <c r="M1572" s="1">
        <v>44390</v>
      </c>
      <c r="N1572" t="str">
        <f>"RC210722"</f>
        <v>RC210722</v>
      </c>
      <c r="O1572" t="s">
        <v>28</v>
      </c>
      <c r="Q1572" t="s">
        <v>29</v>
      </c>
      <c r="R1572" t="s">
        <v>28</v>
      </c>
      <c r="S1572" t="s">
        <v>7169</v>
      </c>
      <c r="T1572" t="s">
        <v>7170</v>
      </c>
      <c r="W1572" t="s">
        <v>7171</v>
      </c>
      <c r="X1572" t="s">
        <v>169</v>
      </c>
      <c r="Y1572" t="str">
        <f>"80524"</f>
        <v>80524</v>
      </c>
    </row>
    <row r="1573" spans="1:25" x14ac:dyDescent="0.25">
      <c r="A1573" t="s">
        <v>7176</v>
      </c>
      <c r="B1573" t="s">
        <v>7177</v>
      </c>
      <c r="C1573">
        <v>2020</v>
      </c>
      <c r="D1573">
        <v>8001</v>
      </c>
      <c r="E1573">
        <v>1</v>
      </c>
      <c r="F1573" t="s">
        <v>7157</v>
      </c>
      <c r="G1573">
        <v>0</v>
      </c>
      <c r="J1573">
        <v>23.83</v>
      </c>
      <c r="L1573">
        <v>47506255</v>
      </c>
      <c r="M1573" s="1">
        <v>44354</v>
      </c>
      <c r="N1573" t="str">
        <f>"J210607BW2"</f>
        <v>J210607BW2</v>
      </c>
      <c r="O1573" t="s">
        <v>28</v>
      </c>
      <c r="Q1573" t="s">
        <v>29</v>
      </c>
      <c r="R1573" t="s">
        <v>28</v>
      </c>
      <c r="S1573" t="s">
        <v>7157</v>
      </c>
      <c r="T1573" t="s">
        <v>7158</v>
      </c>
      <c r="U1573" t="s">
        <v>60</v>
      </c>
      <c r="V1573" t="s">
        <v>60</v>
      </c>
      <c r="W1573" t="s">
        <v>7159</v>
      </c>
      <c r="X1573" t="s">
        <v>2865</v>
      </c>
      <c r="Y1573" t="str">
        <f>"584019238   "</f>
        <v xml:space="preserve">584019238   </v>
      </c>
    </row>
    <row r="1574" spans="1:25" x14ac:dyDescent="0.25">
      <c r="A1574" t="s">
        <v>7178</v>
      </c>
      <c r="B1574" t="s">
        <v>7179</v>
      </c>
      <c r="C1574">
        <v>2019</v>
      </c>
      <c r="D1574">
        <v>8001</v>
      </c>
      <c r="E1574">
        <v>3</v>
      </c>
      <c r="F1574" t="s">
        <v>7168</v>
      </c>
      <c r="G1574">
        <v>23238771</v>
      </c>
      <c r="J1574">
        <v>9.6199999999999992</v>
      </c>
      <c r="L1574">
        <v>44532045</v>
      </c>
      <c r="M1574" s="1">
        <v>44082</v>
      </c>
      <c r="N1574" t="str">
        <f>"J200908K3"</f>
        <v>J200908K3</v>
      </c>
      <c r="O1574" t="s">
        <v>28</v>
      </c>
      <c r="Q1574" t="s">
        <v>29</v>
      </c>
      <c r="R1574" t="s">
        <v>28</v>
      </c>
      <c r="S1574" t="s">
        <v>7169</v>
      </c>
      <c r="T1574" t="s">
        <v>7180</v>
      </c>
      <c r="W1574" t="s">
        <v>7171</v>
      </c>
      <c r="X1574" t="s">
        <v>169</v>
      </c>
      <c r="Y1574" t="str">
        <f>"805264144"</f>
        <v>805264144</v>
      </c>
    </row>
    <row r="1575" spans="1:25" x14ac:dyDescent="0.25">
      <c r="A1575" t="s">
        <v>7181</v>
      </c>
      <c r="B1575" t="s">
        <v>7182</v>
      </c>
      <c r="C1575">
        <v>2020</v>
      </c>
      <c r="D1575">
        <v>8001</v>
      </c>
      <c r="E1575">
        <v>1</v>
      </c>
      <c r="F1575" t="s">
        <v>7157</v>
      </c>
      <c r="G1575">
        <v>0</v>
      </c>
      <c r="J1575">
        <v>12.81</v>
      </c>
      <c r="L1575">
        <v>47506255</v>
      </c>
      <c r="M1575" s="1">
        <v>44354</v>
      </c>
      <c r="N1575" t="str">
        <f>"J210607BW2"</f>
        <v>J210607BW2</v>
      </c>
      <c r="O1575" t="s">
        <v>28</v>
      </c>
      <c r="Q1575" t="s">
        <v>29</v>
      </c>
      <c r="R1575" t="s">
        <v>28</v>
      </c>
      <c r="S1575" t="s">
        <v>7157</v>
      </c>
      <c r="T1575" t="s">
        <v>7158</v>
      </c>
      <c r="U1575" t="s">
        <v>60</v>
      </c>
      <c r="V1575" t="s">
        <v>60</v>
      </c>
      <c r="W1575" t="s">
        <v>7159</v>
      </c>
      <c r="X1575" t="s">
        <v>2865</v>
      </c>
      <c r="Y1575" t="str">
        <f>"584019238   "</f>
        <v xml:space="preserve">584019238   </v>
      </c>
    </row>
    <row r="1576" spans="1:25" x14ac:dyDescent="0.25">
      <c r="A1576" t="s">
        <v>7183</v>
      </c>
      <c r="B1576" t="s">
        <v>7184</v>
      </c>
      <c r="C1576">
        <v>2020</v>
      </c>
      <c r="D1576">
        <v>8001</v>
      </c>
      <c r="E1576">
        <v>1</v>
      </c>
      <c r="F1576" t="s">
        <v>7185</v>
      </c>
      <c r="G1576">
        <v>29892111</v>
      </c>
      <c r="J1576">
        <v>15.19</v>
      </c>
      <c r="L1576">
        <v>47560150</v>
      </c>
      <c r="M1576" s="1">
        <v>44375</v>
      </c>
      <c r="N1576" t="str">
        <f>"O210628V1"</f>
        <v>O210628V1</v>
      </c>
      <c r="O1576" t="s">
        <v>28</v>
      </c>
      <c r="Q1576" t="s">
        <v>29</v>
      </c>
      <c r="R1576" t="s">
        <v>28</v>
      </c>
      <c r="S1576" t="s">
        <v>7186</v>
      </c>
      <c r="T1576" t="s">
        <v>7187</v>
      </c>
      <c r="W1576" t="s">
        <v>7188</v>
      </c>
      <c r="X1576" t="s">
        <v>7189</v>
      </c>
      <c r="Y1576" t="str">
        <f>"570382007"</f>
        <v>570382007</v>
      </c>
    </row>
    <row r="1577" spans="1:25" x14ac:dyDescent="0.25">
      <c r="A1577" t="s">
        <v>7190</v>
      </c>
      <c r="B1577" t="s">
        <v>7191</v>
      </c>
      <c r="C1577">
        <v>2019</v>
      </c>
      <c r="D1577">
        <v>8001</v>
      </c>
      <c r="E1577">
        <v>1</v>
      </c>
      <c r="F1577" t="s">
        <v>7192</v>
      </c>
      <c r="G1577">
        <v>28487193</v>
      </c>
      <c r="J1577">
        <v>12.91</v>
      </c>
      <c r="L1577">
        <v>44228853</v>
      </c>
      <c r="M1577" s="1">
        <v>43979</v>
      </c>
      <c r="N1577" t="str">
        <f>"O200528AB1"</f>
        <v>O200528AB1</v>
      </c>
      <c r="O1577" t="s">
        <v>28</v>
      </c>
      <c r="Q1577" t="s">
        <v>29</v>
      </c>
      <c r="R1577" t="s">
        <v>28</v>
      </c>
      <c r="S1577" t="s">
        <v>7193</v>
      </c>
      <c r="T1577" t="s">
        <v>7194</v>
      </c>
      <c r="U1577" t="s">
        <v>7195</v>
      </c>
      <c r="W1577" t="s">
        <v>7196</v>
      </c>
      <c r="X1577" t="s">
        <v>34</v>
      </c>
      <c r="Y1577" t="str">
        <f>"786725107"</f>
        <v>786725107</v>
      </c>
    </row>
    <row r="1578" spans="1:25" x14ac:dyDescent="0.25">
      <c r="A1578" t="s">
        <v>7197</v>
      </c>
      <c r="B1578" t="s">
        <v>7198</v>
      </c>
      <c r="C1578">
        <v>2019</v>
      </c>
      <c r="D1578">
        <v>8001</v>
      </c>
      <c r="E1578">
        <v>1</v>
      </c>
      <c r="F1578" t="s">
        <v>7199</v>
      </c>
      <c r="G1578">
        <v>26822082</v>
      </c>
      <c r="J1578">
        <v>137.88</v>
      </c>
      <c r="L1578">
        <v>42682035</v>
      </c>
      <c r="M1578" s="1">
        <v>43837</v>
      </c>
      <c r="N1578" t="str">
        <f>"O200107AX1"</f>
        <v>O200107AX1</v>
      </c>
      <c r="O1578" t="s">
        <v>28</v>
      </c>
      <c r="Q1578" t="s">
        <v>29</v>
      </c>
      <c r="R1578" t="s">
        <v>28</v>
      </c>
      <c r="S1578" t="s">
        <v>7200</v>
      </c>
      <c r="T1578" t="s">
        <v>1265</v>
      </c>
      <c r="U1578" t="s">
        <v>1266</v>
      </c>
      <c r="W1578" t="s">
        <v>332</v>
      </c>
      <c r="X1578" t="s">
        <v>34</v>
      </c>
      <c r="Y1578" t="str">
        <f>"75235"</f>
        <v>75235</v>
      </c>
    </row>
    <row r="1579" spans="1:25" x14ac:dyDescent="0.25">
      <c r="A1579" t="s">
        <v>7201</v>
      </c>
      <c r="B1579" t="s">
        <v>7202</v>
      </c>
      <c r="C1579">
        <v>2021</v>
      </c>
      <c r="D1579">
        <v>8001</v>
      </c>
      <c r="E1579">
        <v>1</v>
      </c>
      <c r="F1579" t="s">
        <v>7203</v>
      </c>
      <c r="G1579">
        <v>23531757</v>
      </c>
      <c r="J1579">
        <v>10</v>
      </c>
      <c r="L1579">
        <v>48892156</v>
      </c>
      <c r="M1579" s="1">
        <v>44565</v>
      </c>
      <c r="N1579" t="str">
        <f>"RC220209"</f>
        <v>RC220209</v>
      </c>
      <c r="O1579" t="s">
        <v>28</v>
      </c>
      <c r="Q1579" t="s">
        <v>29</v>
      </c>
      <c r="R1579" t="s">
        <v>28</v>
      </c>
      <c r="S1579" t="s">
        <v>7204</v>
      </c>
      <c r="T1579" t="s">
        <v>7205</v>
      </c>
      <c r="U1579" t="s">
        <v>7206</v>
      </c>
      <c r="W1579" t="s">
        <v>910</v>
      </c>
      <c r="X1579" t="s">
        <v>34</v>
      </c>
      <c r="Y1579" t="str">
        <f>"782094437"</f>
        <v>782094437</v>
      </c>
    </row>
    <row r="1580" spans="1:25" x14ac:dyDescent="0.25">
      <c r="A1580" t="s">
        <v>7207</v>
      </c>
      <c r="B1580" t="s">
        <v>7208</v>
      </c>
      <c r="C1580">
        <v>2020</v>
      </c>
      <c r="D1580">
        <v>8001</v>
      </c>
      <c r="E1580">
        <v>1</v>
      </c>
      <c r="F1580" t="s">
        <v>7209</v>
      </c>
      <c r="G1580">
        <v>0</v>
      </c>
      <c r="J1580">
        <v>15.09</v>
      </c>
      <c r="L1580">
        <v>43106552</v>
      </c>
      <c r="M1580" s="1">
        <v>44147</v>
      </c>
      <c r="N1580" t="str">
        <f>"TE201112"</f>
        <v>TE201112</v>
      </c>
      <c r="O1580" t="s">
        <v>28</v>
      </c>
      <c r="Q1580" t="s">
        <v>29</v>
      </c>
      <c r="R1580" t="s">
        <v>28</v>
      </c>
      <c r="S1580" t="s">
        <v>7209</v>
      </c>
      <c r="T1580" t="s">
        <v>7210</v>
      </c>
      <c r="U1580" t="s">
        <v>60</v>
      </c>
      <c r="V1580" t="s">
        <v>60</v>
      </c>
      <c r="W1580" t="s">
        <v>7211</v>
      </c>
      <c r="X1580" t="s">
        <v>34</v>
      </c>
      <c r="Y1580" t="str">
        <f>"76571       "</f>
        <v xml:space="preserve">76571       </v>
      </c>
    </row>
    <row r="1581" spans="1:25" x14ac:dyDescent="0.25">
      <c r="A1581" t="s">
        <v>7212</v>
      </c>
      <c r="B1581" t="s">
        <v>7213</v>
      </c>
      <c r="C1581">
        <v>2020</v>
      </c>
      <c r="D1581">
        <v>8001</v>
      </c>
      <c r="E1581">
        <v>1</v>
      </c>
      <c r="F1581" t="s">
        <v>7214</v>
      </c>
      <c r="G1581">
        <v>30009141</v>
      </c>
      <c r="J1581">
        <v>10</v>
      </c>
      <c r="L1581">
        <v>47762470</v>
      </c>
      <c r="M1581" s="1">
        <v>44466</v>
      </c>
      <c r="N1581" t="str">
        <f>"CC210927"</f>
        <v>CC210927</v>
      </c>
      <c r="O1581" t="s">
        <v>28</v>
      </c>
      <c r="Q1581" t="s">
        <v>29</v>
      </c>
      <c r="R1581" t="s">
        <v>28</v>
      </c>
      <c r="S1581" t="s">
        <v>7215</v>
      </c>
      <c r="T1581" t="s">
        <v>7216</v>
      </c>
      <c r="W1581" t="s">
        <v>75</v>
      </c>
      <c r="X1581" t="s">
        <v>34</v>
      </c>
      <c r="Y1581" t="str">
        <f>"77042"</f>
        <v>77042</v>
      </c>
    </row>
    <row r="1582" spans="1:25" x14ac:dyDescent="0.25">
      <c r="A1582" t="s">
        <v>7217</v>
      </c>
      <c r="B1582" t="s">
        <v>7218</v>
      </c>
      <c r="C1582">
        <v>2020</v>
      </c>
      <c r="D1582">
        <v>8001</v>
      </c>
      <c r="E1582">
        <v>1</v>
      </c>
      <c r="F1582" t="s">
        <v>7219</v>
      </c>
      <c r="G1582">
        <v>24546023</v>
      </c>
      <c r="J1582">
        <v>13.35</v>
      </c>
      <c r="L1582">
        <v>47519641</v>
      </c>
      <c r="M1582" s="1">
        <v>44357</v>
      </c>
      <c r="N1582" t="str">
        <f>"RC210616"</f>
        <v>RC210616</v>
      </c>
      <c r="O1582" t="s">
        <v>28</v>
      </c>
      <c r="Q1582" t="s">
        <v>29</v>
      </c>
      <c r="R1582" t="s">
        <v>28</v>
      </c>
      <c r="S1582" t="s">
        <v>7220</v>
      </c>
      <c r="T1582" t="s">
        <v>7221</v>
      </c>
      <c r="W1582" t="s">
        <v>107</v>
      </c>
      <c r="X1582" t="s">
        <v>34</v>
      </c>
      <c r="Y1582" t="str">
        <f>"77494"</f>
        <v>77494</v>
      </c>
    </row>
    <row r="1583" spans="1:25" x14ac:dyDescent="0.25">
      <c r="A1583" t="s">
        <v>7222</v>
      </c>
      <c r="B1583" t="s">
        <v>7223</v>
      </c>
      <c r="C1583">
        <v>2020</v>
      </c>
      <c r="D1583">
        <v>8001</v>
      </c>
      <c r="E1583">
        <v>1</v>
      </c>
      <c r="F1583" t="s">
        <v>7224</v>
      </c>
      <c r="G1583">
        <v>29576655</v>
      </c>
      <c r="J1583">
        <v>377.53</v>
      </c>
      <c r="L1583">
        <v>46792495</v>
      </c>
      <c r="M1583" s="1">
        <v>44231</v>
      </c>
      <c r="N1583" t="str">
        <f>"RC210301"</f>
        <v>RC210301</v>
      </c>
      <c r="O1583" t="s">
        <v>28</v>
      </c>
      <c r="Q1583" t="s">
        <v>29</v>
      </c>
      <c r="R1583" t="s">
        <v>28</v>
      </c>
      <c r="S1583" t="s">
        <v>2222</v>
      </c>
      <c r="T1583" t="s">
        <v>2223</v>
      </c>
      <c r="W1583" t="s">
        <v>40</v>
      </c>
      <c r="X1583" t="s">
        <v>34</v>
      </c>
      <c r="Y1583" t="str">
        <f>"774784473"</f>
        <v>774784473</v>
      </c>
    </row>
    <row r="1584" spans="1:25" x14ac:dyDescent="0.25">
      <c r="A1584" t="s">
        <v>7225</v>
      </c>
      <c r="B1584" t="s">
        <v>7226</v>
      </c>
      <c r="C1584">
        <v>2021</v>
      </c>
      <c r="D1584">
        <v>8001</v>
      </c>
      <c r="E1584">
        <v>1</v>
      </c>
      <c r="F1584" t="s">
        <v>7227</v>
      </c>
      <c r="G1584">
        <v>0</v>
      </c>
      <c r="J1584">
        <v>36.15</v>
      </c>
      <c r="L1584">
        <v>49429253</v>
      </c>
      <c r="M1584" s="1">
        <v>44585</v>
      </c>
      <c r="N1584" t="str">
        <f>"L220124"</f>
        <v>L220124</v>
      </c>
      <c r="O1584" t="s">
        <v>28</v>
      </c>
      <c r="Q1584" t="s">
        <v>29</v>
      </c>
      <c r="R1584" t="s">
        <v>28</v>
      </c>
      <c r="S1584" t="s">
        <v>7227</v>
      </c>
      <c r="T1584" t="s">
        <v>7228</v>
      </c>
      <c r="U1584" t="s">
        <v>60</v>
      </c>
      <c r="V1584" t="s">
        <v>60</v>
      </c>
      <c r="W1584" t="s">
        <v>1137</v>
      </c>
      <c r="X1584" t="s">
        <v>34</v>
      </c>
      <c r="Y1584" t="str">
        <f>"774937493   "</f>
        <v xml:space="preserve">774937493   </v>
      </c>
    </row>
    <row r="1585" spans="1:25" x14ac:dyDescent="0.25">
      <c r="A1585" t="s">
        <v>7229</v>
      </c>
      <c r="B1585" t="s">
        <v>7230</v>
      </c>
      <c r="C1585">
        <v>2021</v>
      </c>
      <c r="D1585">
        <v>8001</v>
      </c>
      <c r="E1585">
        <v>2</v>
      </c>
      <c r="F1585" t="s">
        <v>7231</v>
      </c>
      <c r="G1585">
        <v>30161417</v>
      </c>
      <c r="J1585">
        <v>73.7</v>
      </c>
      <c r="L1585">
        <v>48171585</v>
      </c>
      <c r="M1585" s="1">
        <v>44523</v>
      </c>
      <c r="N1585" t="str">
        <f>"O211123AB1"</f>
        <v>O211123AB1</v>
      </c>
      <c r="O1585" t="s">
        <v>28</v>
      </c>
      <c r="Q1585" t="s">
        <v>29</v>
      </c>
      <c r="R1585" t="s">
        <v>28</v>
      </c>
      <c r="S1585" t="s">
        <v>7232</v>
      </c>
      <c r="T1585" t="s">
        <v>7233</v>
      </c>
      <c r="U1585" t="s">
        <v>7234</v>
      </c>
      <c r="V1585" t="s">
        <v>7235</v>
      </c>
      <c r="W1585" t="s">
        <v>107</v>
      </c>
      <c r="X1585" t="s">
        <v>34</v>
      </c>
      <c r="Y1585" t="str">
        <f>"77493"</f>
        <v>77493</v>
      </c>
    </row>
    <row r="1586" spans="1:25" x14ac:dyDescent="0.25">
      <c r="A1586" t="s">
        <v>7236</v>
      </c>
      <c r="B1586" t="s">
        <v>7237</v>
      </c>
      <c r="C1586">
        <v>2020</v>
      </c>
      <c r="D1586">
        <v>8001</v>
      </c>
      <c r="E1586">
        <v>1</v>
      </c>
      <c r="F1586" t="s">
        <v>7238</v>
      </c>
      <c r="G1586">
        <v>26368145</v>
      </c>
      <c r="J1586">
        <v>770.25</v>
      </c>
      <c r="L1586">
        <v>45301157</v>
      </c>
      <c r="M1586" s="1">
        <v>44181</v>
      </c>
      <c r="N1586" t="str">
        <f>"RC210107"</f>
        <v>RC210107</v>
      </c>
      <c r="O1586" t="s">
        <v>28</v>
      </c>
      <c r="Q1586" t="s">
        <v>29</v>
      </c>
      <c r="R1586" t="s">
        <v>28</v>
      </c>
      <c r="S1586" t="s">
        <v>5177</v>
      </c>
      <c r="T1586" t="s">
        <v>3605</v>
      </c>
      <c r="W1586" t="s">
        <v>1075</v>
      </c>
      <c r="X1586" t="s">
        <v>34</v>
      </c>
      <c r="Y1586" t="str">
        <f>"76102"</f>
        <v>76102</v>
      </c>
    </row>
    <row r="1587" spans="1:25" x14ac:dyDescent="0.25">
      <c r="A1587" t="s">
        <v>7239</v>
      </c>
      <c r="B1587" t="s">
        <v>7240</v>
      </c>
      <c r="C1587">
        <v>2019</v>
      </c>
      <c r="D1587">
        <v>8001</v>
      </c>
      <c r="E1587">
        <v>1</v>
      </c>
      <c r="F1587" t="s">
        <v>7241</v>
      </c>
      <c r="G1587">
        <v>21132622</v>
      </c>
      <c r="J1587">
        <v>171.18</v>
      </c>
      <c r="L1587">
        <v>43695365</v>
      </c>
      <c r="M1587" s="1">
        <v>43871</v>
      </c>
      <c r="N1587" t="str">
        <f>"J200210AW6"</f>
        <v>J200210AW6</v>
      </c>
      <c r="O1587" t="s">
        <v>28</v>
      </c>
      <c r="Q1587" t="s">
        <v>29</v>
      </c>
      <c r="R1587" t="s">
        <v>28</v>
      </c>
      <c r="S1587" t="s">
        <v>5856</v>
      </c>
      <c r="T1587" t="s">
        <v>2997</v>
      </c>
      <c r="W1587" t="s">
        <v>75</v>
      </c>
      <c r="X1587" t="s">
        <v>34</v>
      </c>
      <c r="Y1587" t="str">
        <f>"77056"</f>
        <v>77056</v>
      </c>
    </row>
    <row r="1588" spans="1:25" x14ac:dyDescent="0.25">
      <c r="A1588" t="s">
        <v>7242</v>
      </c>
      <c r="B1588" t="s">
        <v>7243</v>
      </c>
      <c r="C1588">
        <v>2021</v>
      </c>
      <c r="D1588">
        <v>8001</v>
      </c>
      <c r="E1588">
        <v>1</v>
      </c>
      <c r="F1588" t="s">
        <v>7244</v>
      </c>
      <c r="G1588">
        <v>0</v>
      </c>
      <c r="J1588">
        <v>189.93</v>
      </c>
      <c r="L1588">
        <v>49957920</v>
      </c>
      <c r="M1588" s="1">
        <v>44595</v>
      </c>
      <c r="N1588" t="str">
        <f>"J220203BW6"</f>
        <v>J220203BW6</v>
      </c>
      <c r="O1588" t="s">
        <v>28</v>
      </c>
      <c r="Q1588" t="s">
        <v>29</v>
      </c>
      <c r="R1588" t="s">
        <v>28</v>
      </c>
      <c r="S1588" t="s">
        <v>5551</v>
      </c>
      <c r="T1588" t="s">
        <v>7245</v>
      </c>
      <c r="U1588" t="s">
        <v>7246</v>
      </c>
      <c r="V1588" t="s">
        <v>60</v>
      </c>
      <c r="W1588" t="s">
        <v>7247</v>
      </c>
      <c r="X1588" t="s">
        <v>227</v>
      </c>
      <c r="Y1588" t="str">
        <f>"852513347   "</f>
        <v xml:space="preserve">852513347   </v>
      </c>
    </row>
    <row r="1589" spans="1:25" x14ac:dyDescent="0.25">
      <c r="A1589" t="s">
        <v>7248</v>
      </c>
      <c r="B1589" t="s">
        <v>7249</v>
      </c>
      <c r="C1589">
        <v>2020</v>
      </c>
      <c r="D1589">
        <v>8001</v>
      </c>
      <c r="E1589">
        <v>1</v>
      </c>
      <c r="F1589" t="s">
        <v>7250</v>
      </c>
      <c r="G1589">
        <v>0</v>
      </c>
      <c r="J1589">
        <v>86.7</v>
      </c>
      <c r="L1589">
        <v>46889762</v>
      </c>
      <c r="M1589" s="1">
        <v>44236</v>
      </c>
      <c r="N1589" t="str">
        <f>"J210209K7"</f>
        <v>J210209K7</v>
      </c>
      <c r="O1589" t="s">
        <v>28</v>
      </c>
      <c r="Q1589" t="s">
        <v>29</v>
      </c>
      <c r="R1589" t="s">
        <v>28</v>
      </c>
      <c r="S1589" t="s">
        <v>7250</v>
      </c>
      <c r="T1589" t="s">
        <v>7251</v>
      </c>
      <c r="U1589" t="s">
        <v>7252</v>
      </c>
      <c r="V1589" t="s">
        <v>60</v>
      </c>
      <c r="W1589" t="s">
        <v>7253</v>
      </c>
      <c r="X1589" t="s">
        <v>143</v>
      </c>
      <c r="Y1589" t="str">
        <f>"19087       "</f>
        <v xml:space="preserve">19087       </v>
      </c>
    </row>
    <row r="1590" spans="1:25" x14ac:dyDescent="0.25">
      <c r="A1590" t="s">
        <v>7254</v>
      </c>
      <c r="B1590" t="s">
        <v>7255</v>
      </c>
      <c r="C1590">
        <v>2019</v>
      </c>
      <c r="D1590">
        <v>8001</v>
      </c>
      <c r="E1590">
        <v>1</v>
      </c>
      <c r="F1590" t="s">
        <v>7256</v>
      </c>
      <c r="G1590">
        <v>0</v>
      </c>
      <c r="J1590">
        <v>27.63</v>
      </c>
      <c r="L1590">
        <v>43106553</v>
      </c>
      <c r="M1590" s="1">
        <v>43853</v>
      </c>
      <c r="N1590" t="str">
        <f>"L200123"</f>
        <v>L200123</v>
      </c>
      <c r="O1590" t="s">
        <v>28</v>
      </c>
      <c r="Q1590" t="s">
        <v>29</v>
      </c>
      <c r="R1590" t="s">
        <v>28</v>
      </c>
      <c r="S1590" t="s">
        <v>7256</v>
      </c>
      <c r="T1590" t="s">
        <v>60</v>
      </c>
      <c r="U1590" t="s">
        <v>7257</v>
      </c>
      <c r="V1590" t="s">
        <v>60</v>
      </c>
      <c r="W1590" t="s">
        <v>135</v>
      </c>
      <c r="X1590" t="s">
        <v>34</v>
      </c>
      <c r="Y1590" t="str">
        <f>"77027       "</f>
        <v xml:space="preserve">77027       </v>
      </c>
    </row>
    <row r="1591" spans="1:25" x14ac:dyDescent="0.25">
      <c r="A1591" t="s">
        <v>7258</v>
      </c>
      <c r="B1591" t="s">
        <v>7259</v>
      </c>
      <c r="C1591">
        <v>2021</v>
      </c>
      <c r="D1591">
        <v>8001</v>
      </c>
      <c r="E1591">
        <v>1</v>
      </c>
      <c r="F1591" t="s">
        <v>7260</v>
      </c>
      <c r="G1591">
        <v>30572918</v>
      </c>
      <c r="J1591">
        <v>20.83</v>
      </c>
      <c r="L1591">
        <v>48596643</v>
      </c>
      <c r="M1591" s="1">
        <v>44551</v>
      </c>
      <c r="N1591" t="str">
        <f>"RC220116"</f>
        <v>RC220116</v>
      </c>
      <c r="O1591" t="s">
        <v>28</v>
      </c>
      <c r="Q1591" t="s">
        <v>29</v>
      </c>
      <c r="R1591" t="s">
        <v>28</v>
      </c>
      <c r="S1591" t="s">
        <v>7261</v>
      </c>
      <c r="T1591" t="s">
        <v>7262</v>
      </c>
      <c r="U1591" t="s">
        <v>7263</v>
      </c>
      <c r="W1591" t="s">
        <v>5862</v>
      </c>
      <c r="X1591" t="s">
        <v>1248</v>
      </c>
      <c r="Y1591" t="str">
        <f>"328368854"</f>
        <v>328368854</v>
      </c>
    </row>
    <row r="1592" spans="1:25" x14ac:dyDescent="0.25">
      <c r="A1592" t="s">
        <v>7264</v>
      </c>
      <c r="B1592" t="s">
        <v>7265</v>
      </c>
      <c r="C1592">
        <v>2020</v>
      </c>
      <c r="D1592">
        <v>8001</v>
      </c>
      <c r="E1592">
        <v>1</v>
      </c>
      <c r="F1592" t="s">
        <v>7266</v>
      </c>
      <c r="G1592">
        <v>14156</v>
      </c>
      <c r="J1592">
        <v>678.18</v>
      </c>
      <c r="L1592">
        <v>45389677</v>
      </c>
      <c r="M1592" s="1">
        <v>44186</v>
      </c>
      <c r="N1592" t="str">
        <f>"P201221E1"</f>
        <v>P201221E1</v>
      </c>
      <c r="O1592" t="s">
        <v>28</v>
      </c>
      <c r="Q1592" t="s">
        <v>29</v>
      </c>
      <c r="R1592" t="s">
        <v>28</v>
      </c>
      <c r="S1592" t="s">
        <v>7267</v>
      </c>
      <c r="T1592" t="s">
        <v>3057</v>
      </c>
      <c r="V1592" t="s">
        <v>7268</v>
      </c>
      <c r="Y1592" t="str">
        <f>""</f>
        <v/>
      </c>
    </row>
    <row r="1593" spans="1:25" x14ac:dyDescent="0.25">
      <c r="A1593" t="s">
        <v>7269</v>
      </c>
      <c r="B1593" t="s">
        <v>7270</v>
      </c>
      <c r="C1593">
        <v>2020</v>
      </c>
      <c r="D1593">
        <v>8001</v>
      </c>
      <c r="E1593">
        <v>3</v>
      </c>
      <c r="F1593" t="s">
        <v>7271</v>
      </c>
      <c r="G1593">
        <v>24580569</v>
      </c>
      <c r="J1593">
        <v>800</v>
      </c>
      <c r="L1593">
        <v>46583027</v>
      </c>
      <c r="M1593" s="1">
        <v>44228</v>
      </c>
      <c r="N1593" t="str">
        <f>"RC210301"</f>
        <v>RC210301</v>
      </c>
      <c r="O1593" t="s">
        <v>28</v>
      </c>
      <c r="Q1593" t="s">
        <v>29</v>
      </c>
      <c r="R1593" t="s">
        <v>28</v>
      </c>
      <c r="S1593" t="s">
        <v>7272</v>
      </c>
      <c r="T1593" t="s">
        <v>7273</v>
      </c>
      <c r="W1593" t="s">
        <v>226</v>
      </c>
      <c r="X1593" t="s">
        <v>227</v>
      </c>
      <c r="Y1593" t="str">
        <f>"85258"</f>
        <v>85258</v>
      </c>
    </row>
    <row r="1594" spans="1:25" x14ac:dyDescent="0.25">
      <c r="A1594" t="s">
        <v>7274</v>
      </c>
      <c r="B1594" t="s">
        <v>7275</v>
      </c>
      <c r="C1594">
        <v>2019</v>
      </c>
      <c r="D1594">
        <v>8001</v>
      </c>
      <c r="E1594">
        <v>1</v>
      </c>
      <c r="F1594" t="s">
        <v>7276</v>
      </c>
      <c r="G1594">
        <v>0</v>
      </c>
      <c r="J1594">
        <v>8.41</v>
      </c>
      <c r="L1594">
        <v>44130013</v>
      </c>
      <c r="M1594" s="1">
        <v>43956</v>
      </c>
      <c r="N1594" t="str">
        <f>"J200505AW1"</f>
        <v>J200505AW1</v>
      </c>
      <c r="O1594" t="s">
        <v>28</v>
      </c>
      <c r="Q1594" t="s">
        <v>29</v>
      </c>
      <c r="R1594" t="s">
        <v>28</v>
      </c>
      <c r="S1594" t="s">
        <v>7276</v>
      </c>
      <c r="T1594" t="s">
        <v>60</v>
      </c>
      <c r="U1594" t="s">
        <v>7277</v>
      </c>
      <c r="V1594" t="s">
        <v>60</v>
      </c>
      <c r="W1594" t="s">
        <v>7278</v>
      </c>
      <c r="X1594" t="s">
        <v>143</v>
      </c>
      <c r="Y1594" t="str">
        <f>"16637       "</f>
        <v xml:space="preserve">16637       </v>
      </c>
    </row>
    <row r="1595" spans="1:25" x14ac:dyDescent="0.25">
      <c r="A1595" t="s">
        <v>7279</v>
      </c>
      <c r="B1595" t="s">
        <v>7280</v>
      </c>
      <c r="C1595">
        <v>2021</v>
      </c>
      <c r="D1595">
        <v>8001</v>
      </c>
      <c r="E1595">
        <v>1</v>
      </c>
      <c r="F1595" t="s">
        <v>7281</v>
      </c>
      <c r="G1595">
        <v>31114955</v>
      </c>
      <c r="J1595">
        <v>164.77</v>
      </c>
      <c r="L1595">
        <v>49813804</v>
      </c>
      <c r="M1595" s="1">
        <v>44593</v>
      </c>
      <c r="N1595" t="str">
        <f>"RC220309"</f>
        <v>RC220309</v>
      </c>
      <c r="O1595" t="s">
        <v>28</v>
      </c>
      <c r="Q1595" t="s">
        <v>29</v>
      </c>
      <c r="R1595" t="s">
        <v>28</v>
      </c>
      <c r="S1595" t="s">
        <v>7282</v>
      </c>
      <c r="T1595" t="s">
        <v>7283</v>
      </c>
      <c r="W1595" t="s">
        <v>7284</v>
      </c>
      <c r="X1595" t="s">
        <v>317</v>
      </c>
      <c r="Y1595" t="str">
        <f>"958352325"</f>
        <v>958352325</v>
      </c>
    </row>
    <row r="1596" spans="1:25" x14ac:dyDescent="0.25">
      <c r="A1596" t="s">
        <v>7285</v>
      </c>
      <c r="B1596" t="s">
        <v>7286</v>
      </c>
      <c r="C1596">
        <v>2020</v>
      </c>
      <c r="D1596">
        <v>8001</v>
      </c>
      <c r="E1596">
        <v>2</v>
      </c>
      <c r="F1596" t="s">
        <v>7287</v>
      </c>
      <c r="G1596">
        <v>26391936</v>
      </c>
      <c r="J1596">
        <v>16.84</v>
      </c>
      <c r="L1596">
        <v>47374794</v>
      </c>
      <c r="M1596" s="1">
        <v>44322</v>
      </c>
      <c r="N1596" t="str">
        <f>"RC210512"</f>
        <v>RC210512</v>
      </c>
      <c r="O1596" t="s">
        <v>28</v>
      </c>
      <c r="Q1596" t="s">
        <v>29</v>
      </c>
      <c r="R1596" t="s">
        <v>28</v>
      </c>
      <c r="S1596" t="s">
        <v>1699</v>
      </c>
      <c r="T1596" t="s">
        <v>562</v>
      </c>
      <c r="W1596" t="s">
        <v>563</v>
      </c>
      <c r="X1596" t="s">
        <v>34</v>
      </c>
      <c r="Y1596" t="str">
        <f>"750630156"</f>
        <v>750630156</v>
      </c>
    </row>
    <row r="1597" spans="1:25" x14ac:dyDescent="0.25">
      <c r="A1597" t="s">
        <v>7288</v>
      </c>
      <c r="B1597" t="s">
        <v>7289</v>
      </c>
      <c r="C1597">
        <v>2020</v>
      </c>
      <c r="D1597">
        <v>8001</v>
      </c>
      <c r="E1597">
        <v>2</v>
      </c>
      <c r="F1597" t="s">
        <v>7290</v>
      </c>
      <c r="G1597">
        <v>25594898</v>
      </c>
      <c r="J1597">
        <v>23.86</v>
      </c>
      <c r="L1597">
        <v>47046506</v>
      </c>
      <c r="M1597" s="1">
        <v>44260</v>
      </c>
      <c r="N1597" t="str">
        <f>"RC210310"</f>
        <v>RC210310</v>
      </c>
      <c r="O1597" t="s">
        <v>28</v>
      </c>
      <c r="Q1597" t="s">
        <v>29</v>
      </c>
      <c r="R1597" t="s">
        <v>28</v>
      </c>
      <c r="S1597" t="s">
        <v>1699</v>
      </c>
      <c r="T1597" t="s">
        <v>1069</v>
      </c>
      <c r="U1597" t="s">
        <v>1015</v>
      </c>
      <c r="W1597" t="s">
        <v>563</v>
      </c>
      <c r="X1597" t="s">
        <v>34</v>
      </c>
      <c r="Y1597" t="str">
        <f>"75063"</f>
        <v>75063</v>
      </c>
    </row>
    <row r="1598" spans="1:25" x14ac:dyDescent="0.25">
      <c r="A1598" t="s">
        <v>7291</v>
      </c>
      <c r="B1598" t="s">
        <v>7292</v>
      </c>
      <c r="C1598">
        <v>2020</v>
      </c>
      <c r="D1598">
        <v>8001</v>
      </c>
      <c r="E1598">
        <v>2</v>
      </c>
      <c r="F1598" t="s">
        <v>7293</v>
      </c>
      <c r="G1598">
        <v>29612630</v>
      </c>
      <c r="J1598">
        <v>15</v>
      </c>
      <c r="L1598">
        <v>47049350</v>
      </c>
      <c r="M1598" s="1">
        <v>44263</v>
      </c>
      <c r="N1598" t="str">
        <f>"O210308AM1"</f>
        <v>O210308AM1</v>
      </c>
      <c r="O1598" t="s">
        <v>28</v>
      </c>
      <c r="Q1598" t="s">
        <v>29</v>
      </c>
      <c r="R1598" t="s">
        <v>28</v>
      </c>
      <c r="S1598" t="s">
        <v>561</v>
      </c>
      <c r="T1598" t="s">
        <v>562</v>
      </c>
      <c r="W1598" t="s">
        <v>563</v>
      </c>
      <c r="X1598" t="s">
        <v>34</v>
      </c>
      <c r="Y1598" t="str">
        <f>"750630156"</f>
        <v>750630156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751"/>
  <sheetViews>
    <sheetView tabSelected="1" workbookViewId="0">
      <selection activeCell="B34" sqref="B34"/>
    </sheetView>
  </sheetViews>
  <sheetFormatPr defaultRowHeight="15" x14ac:dyDescent="0.25"/>
  <cols>
    <col min="1" max="1" width="42.7109375" bestFit="1" customWidth="1"/>
    <col min="3" max="3" width="47" customWidth="1"/>
    <col min="4" max="4" width="32.28515625" customWidth="1"/>
  </cols>
  <sheetData>
    <row r="1" spans="1:3" ht="18.75" x14ac:dyDescent="0.3">
      <c r="A1" s="3" t="s">
        <v>7294</v>
      </c>
      <c r="B1" s="3"/>
      <c r="C1" s="3"/>
    </row>
    <row r="4" spans="1:3" x14ac:dyDescent="0.25">
      <c r="A4" t="s">
        <v>1022</v>
      </c>
      <c r="C4" t="s">
        <v>3171</v>
      </c>
    </row>
    <row r="5" spans="1:3" x14ac:dyDescent="0.25">
      <c r="A5" t="s">
        <v>3013</v>
      </c>
      <c r="C5" t="s">
        <v>4983</v>
      </c>
    </row>
    <row r="6" spans="1:3" x14ac:dyDescent="0.25">
      <c r="A6" t="s">
        <v>836</v>
      </c>
      <c r="C6" t="s">
        <v>5230</v>
      </c>
    </row>
    <row r="7" spans="1:3" x14ac:dyDescent="0.25">
      <c r="A7" t="s">
        <v>4034</v>
      </c>
      <c r="C7" t="s">
        <v>2535</v>
      </c>
    </row>
    <row r="8" spans="1:3" x14ac:dyDescent="0.25">
      <c r="A8" t="s">
        <v>4920</v>
      </c>
      <c r="C8" t="s">
        <v>4221</v>
      </c>
    </row>
    <row r="9" spans="1:3" x14ac:dyDescent="0.25">
      <c r="A9" t="s">
        <v>4765</v>
      </c>
      <c r="C9" t="s">
        <v>4804</v>
      </c>
    </row>
    <row r="10" spans="1:3" x14ac:dyDescent="0.25">
      <c r="A10" t="s">
        <v>6078</v>
      </c>
      <c r="C10" t="s">
        <v>6534</v>
      </c>
    </row>
    <row r="11" spans="1:3" x14ac:dyDescent="0.25">
      <c r="A11" t="s">
        <v>1639</v>
      </c>
      <c r="C11" t="s">
        <v>2125</v>
      </c>
    </row>
    <row r="12" spans="1:3" x14ac:dyDescent="0.25">
      <c r="A12" t="s">
        <v>5327</v>
      </c>
      <c r="C12" t="s">
        <v>4003</v>
      </c>
    </row>
    <row r="13" spans="1:3" x14ac:dyDescent="0.25">
      <c r="A13" t="s">
        <v>2375</v>
      </c>
      <c r="C13" t="s">
        <v>5192</v>
      </c>
    </row>
    <row r="14" spans="1:3" x14ac:dyDescent="0.25">
      <c r="A14" t="s">
        <v>5678</v>
      </c>
      <c r="C14" t="s">
        <v>4467</v>
      </c>
    </row>
    <row r="15" spans="1:3" x14ac:dyDescent="0.25">
      <c r="A15" t="s">
        <v>6596</v>
      </c>
      <c r="C15" t="s">
        <v>6529</v>
      </c>
    </row>
    <row r="16" spans="1:3" x14ac:dyDescent="0.25">
      <c r="A16" t="s">
        <v>2955</v>
      </c>
      <c r="C16" t="s">
        <v>2489</v>
      </c>
    </row>
    <row r="17" spans="1:3" x14ac:dyDescent="0.25">
      <c r="A17" t="s">
        <v>5000</v>
      </c>
      <c r="C17" t="s">
        <v>7151</v>
      </c>
    </row>
    <row r="18" spans="1:3" x14ac:dyDescent="0.25">
      <c r="A18" t="s">
        <v>6029</v>
      </c>
      <c r="C18" t="s">
        <v>5664</v>
      </c>
    </row>
    <row r="19" spans="1:3" x14ac:dyDescent="0.25">
      <c r="A19" t="s">
        <v>2936</v>
      </c>
      <c r="C19" t="s">
        <v>1223</v>
      </c>
    </row>
    <row r="20" spans="1:3" x14ac:dyDescent="0.25">
      <c r="A20" t="s">
        <v>3694</v>
      </c>
      <c r="C20" t="s">
        <v>6802</v>
      </c>
    </row>
    <row r="21" spans="1:3" x14ac:dyDescent="0.25">
      <c r="A21" t="s">
        <v>1740</v>
      </c>
      <c r="C21" t="s">
        <v>6485</v>
      </c>
    </row>
    <row r="22" spans="1:3" x14ac:dyDescent="0.25">
      <c r="A22" t="s">
        <v>6110</v>
      </c>
      <c r="C22" t="s">
        <v>3194</v>
      </c>
    </row>
    <row r="23" spans="1:3" x14ac:dyDescent="0.25">
      <c r="A23" t="s">
        <v>1966</v>
      </c>
      <c r="C23" t="s">
        <v>1527</v>
      </c>
    </row>
    <row r="24" spans="1:3" x14ac:dyDescent="0.25">
      <c r="A24" t="s">
        <v>6720</v>
      </c>
      <c r="C24" t="s">
        <v>6062</v>
      </c>
    </row>
    <row r="25" spans="1:3" x14ac:dyDescent="0.25">
      <c r="A25" t="s">
        <v>6056</v>
      </c>
      <c r="C25" t="s">
        <v>6499</v>
      </c>
    </row>
    <row r="26" spans="1:3" x14ac:dyDescent="0.25">
      <c r="A26" t="s">
        <v>110</v>
      </c>
      <c r="C26" t="s">
        <v>1946</v>
      </c>
    </row>
    <row r="27" spans="1:3" x14ac:dyDescent="0.25">
      <c r="A27" t="s">
        <v>6740</v>
      </c>
      <c r="C27" t="s">
        <v>6513</v>
      </c>
    </row>
    <row r="28" spans="1:3" x14ac:dyDescent="0.25">
      <c r="A28" t="s">
        <v>3088</v>
      </c>
      <c r="C28" t="s">
        <v>6526</v>
      </c>
    </row>
    <row r="29" spans="1:3" x14ac:dyDescent="0.25">
      <c r="A29" t="s">
        <v>2794</v>
      </c>
      <c r="C29" t="s">
        <v>4126</v>
      </c>
    </row>
    <row r="30" spans="1:3" x14ac:dyDescent="0.25">
      <c r="A30" t="s">
        <v>4458</v>
      </c>
      <c r="C30" t="s">
        <v>1588</v>
      </c>
    </row>
    <row r="31" spans="1:3" x14ac:dyDescent="0.25">
      <c r="A31" t="s">
        <v>6566</v>
      </c>
      <c r="C31" t="s">
        <v>2076</v>
      </c>
    </row>
    <row r="32" spans="1:3" x14ac:dyDescent="0.25">
      <c r="A32" t="s">
        <v>3668</v>
      </c>
      <c r="C32" t="s">
        <v>4990</v>
      </c>
    </row>
    <row r="33" spans="1:3" x14ac:dyDescent="0.25">
      <c r="A33" t="s">
        <v>2196</v>
      </c>
      <c r="C33" t="s">
        <v>6335</v>
      </c>
    </row>
    <row r="34" spans="1:3" x14ac:dyDescent="0.25">
      <c r="A34" t="s">
        <v>3629</v>
      </c>
      <c r="C34" t="s">
        <v>1543</v>
      </c>
    </row>
    <row r="35" spans="1:3" x14ac:dyDescent="0.25">
      <c r="A35" t="s">
        <v>5039</v>
      </c>
      <c r="C35" t="s">
        <v>7016</v>
      </c>
    </row>
    <row r="36" spans="1:3" x14ac:dyDescent="0.25">
      <c r="A36" t="s">
        <v>4177</v>
      </c>
      <c r="C36" t="s">
        <v>1673</v>
      </c>
    </row>
    <row r="37" spans="1:3" x14ac:dyDescent="0.25">
      <c r="A37" t="s">
        <v>5692</v>
      </c>
      <c r="C37" t="s">
        <v>2984</v>
      </c>
    </row>
    <row r="38" spans="1:3" x14ac:dyDescent="0.25">
      <c r="A38" t="s">
        <v>3241</v>
      </c>
      <c r="C38" t="s">
        <v>3830</v>
      </c>
    </row>
    <row r="39" spans="1:3" x14ac:dyDescent="0.25">
      <c r="A39" t="s">
        <v>4412</v>
      </c>
      <c r="C39" t="s">
        <v>2171</v>
      </c>
    </row>
    <row r="40" spans="1:3" x14ac:dyDescent="0.25">
      <c r="A40" t="s">
        <v>5206</v>
      </c>
      <c r="C40" t="s">
        <v>2234</v>
      </c>
    </row>
    <row r="41" spans="1:3" x14ac:dyDescent="0.25">
      <c r="A41" t="s">
        <v>5896</v>
      </c>
      <c r="C41" t="s">
        <v>1414</v>
      </c>
    </row>
    <row r="42" spans="1:3" x14ac:dyDescent="0.25">
      <c r="A42" t="s">
        <v>2242</v>
      </c>
      <c r="C42" t="s">
        <v>2239</v>
      </c>
    </row>
    <row r="43" spans="1:3" x14ac:dyDescent="0.25">
      <c r="A43" t="s">
        <v>1306</v>
      </c>
      <c r="C43" t="s">
        <v>2065</v>
      </c>
    </row>
    <row r="44" spans="1:3" x14ac:dyDescent="0.25">
      <c r="A44" t="s">
        <v>5726</v>
      </c>
      <c r="C44" t="s">
        <v>783</v>
      </c>
    </row>
    <row r="45" spans="1:3" x14ac:dyDescent="0.25">
      <c r="A45" t="s">
        <v>4282</v>
      </c>
      <c r="C45" t="s">
        <v>5211</v>
      </c>
    </row>
    <row r="46" spans="1:3" x14ac:dyDescent="0.25">
      <c r="A46" t="s">
        <v>6090</v>
      </c>
      <c r="C46" t="s">
        <v>212</v>
      </c>
    </row>
    <row r="47" spans="1:3" x14ac:dyDescent="0.25">
      <c r="A47" t="s">
        <v>1633</v>
      </c>
      <c r="C47" t="s">
        <v>58</v>
      </c>
    </row>
    <row r="48" spans="1:3" x14ac:dyDescent="0.25">
      <c r="A48" t="s">
        <v>1067</v>
      </c>
      <c r="C48" t="s">
        <v>3314</v>
      </c>
    </row>
    <row r="49" spans="1:3" x14ac:dyDescent="0.25">
      <c r="A49" t="s">
        <v>6084</v>
      </c>
      <c r="C49" t="s">
        <v>6588</v>
      </c>
    </row>
    <row r="50" spans="1:3" x14ac:dyDescent="0.25">
      <c r="A50" t="s">
        <v>6083</v>
      </c>
      <c r="C50" t="s">
        <v>6593</v>
      </c>
    </row>
    <row r="51" spans="1:3" x14ac:dyDescent="0.25">
      <c r="A51" t="s">
        <v>4142</v>
      </c>
      <c r="C51" t="s">
        <v>6910</v>
      </c>
    </row>
    <row r="52" spans="1:3" x14ac:dyDescent="0.25">
      <c r="A52" t="s">
        <v>1601</v>
      </c>
      <c r="C52" t="s">
        <v>5646</v>
      </c>
    </row>
    <row r="53" spans="1:3" x14ac:dyDescent="0.25">
      <c r="A53" t="s">
        <v>7244</v>
      </c>
      <c r="C53" t="s">
        <v>866</v>
      </c>
    </row>
    <row r="54" spans="1:3" x14ac:dyDescent="0.25">
      <c r="A54" t="s">
        <v>6096</v>
      </c>
      <c r="C54" t="s">
        <v>3231</v>
      </c>
    </row>
    <row r="55" spans="1:3" x14ac:dyDescent="0.25">
      <c r="A55" t="s">
        <v>6478</v>
      </c>
      <c r="C55" t="s">
        <v>6882</v>
      </c>
    </row>
    <row r="56" spans="1:3" x14ac:dyDescent="0.25">
      <c r="A56" t="s">
        <v>4377</v>
      </c>
      <c r="C56" t="s">
        <v>1084</v>
      </c>
    </row>
    <row r="57" spans="1:3" x14ac:dyDescent="0.25">
      <c r="A57" t="s">
        <v>1214</v>
      </c>
      <c r="C57" t="s">
        <v>2894</v>
      </c>
    </row>
    <row r="58" spans="1:3" x14ac:dyDescent="0.25">
      <c r="A58" t="s">
        <v>5423</v>
      </c>
      <c r="C58" t="s">
        <v>4848</v>
      </c>
    </row>
    <row r="59" spans="1:3" x14ac:dyDescent="0.25">
      <c r="A59" t="s">
        <v>1765</v>
      </c>
      <c r="C59" t="s">
        <v>1989</v>
      </c>
    </row>
    <row r="60" spans="1:3" x14ac:dyDescent="0.25">
      <c r="A60" t="s">
        <v>5350</v>
      </c>
      <c r="C60" t="s">
        <v>1503</v>
      </c>
    </row>
    <row r="61" spans="1:3" x14ac:dyDescent="0.25">
      <c r="A61" t="s">
        <v>846</v>
      </c>
      <c r="C61" t="s">
        <v>2531</v>
      </c>
    </row>
    <row r="62" spans="1:3" x14ac:dyDescent="0.25">
      <c r="A62" t="s">
        <v>2429</v>
      </c>
      <c r="C62" t="s">
        <v>2839</v>
      </c>
    </row>
    <row r="63" spans="1:3" x14ac:dyDescent="0.25">
      <c r="A63" t="s">
        <v>3350</v>
      </c>
      <c r="C63" t="s">
        <v>159</v>
      </c>
    </row>
    <row r="64" spans="1:3" x14ac:dyDescent="0.25">
      <c r="A64" t="s">
        <v>2574</v>
      </c>
      <c r="C64" t="s">
        <v>5845</v>
      </c>
    </row>
    <row r="65" spans="1:3" x14ac:dyDescent="0.25">
      <c r="A65" t="s">
        <v>5607</v>
      </c>
      <c r="C65" t="s">
        <v>4770</v>
      </c>
    </row>
    <row r="66" spans="1:3" x14ac:dyDescent="0.25">
      <c r="A66" t="s">
        <v>6672</v>
      </c>
      <c r="C66" t="s">
        <v>84</v>
      </c>
    </row>
    <row r="67" spans="1:3" x14ac:dyDescent="0.25">
      <c r="A67" t="s">
        <v>6051</v>
      </c>
      <c r="C67" t="s">
        <v>1003</v>
      </c>
    </row>
    <row r="68" spans="1:3" x14ac:dyDescent="0.25">
      <c r="A68" t="s">
        <v>6746</v>
      </c>
      <c r="C68" t="s">
        <v>7122</v>
      </c>
    </row>
    <row r="69" spans="1:3" x14ac:dyDescent="0.25">
      <c r="A69" t="s">
        <v>4496</v>
      </c>
      <c r="C69" t="s">
        <v>5733</v>
      </c>
    </row>
    <row r="70" spans="1:3" x14ac:dyDescent="0.25">
      <c r="A70" t="s">
        <v>4408</v>
      </c>
      <c r="C70" t="s">
        <v>706</v>
      </c>
    </row>
    <row r="71" spans="1:3" x14ac:dyDescent="0.25">
      <c r="A71" t="s">
        <v>2899</v>
      </c>
      <c r="C71" t="s">
        <v>3180</v>
      </c>
    </row>
    <row r="72" spans="1:3" x14ac:dyDescent="0.25">
      <c r="A72" t="s">
        <v>6522</v>
      </c>
      <c r="C72" t="s">
        <v>3795</v>
      </c>
    </row>
    <row r="73" spans="1:3" x14ac:dyDescent="0.25">
      <c r="A73" t="s">
        <v>5817</v>
      </c>
      <c r="C73" t="s">
        <v>1072</v>
      </c>
    </row>
    <row r="74" spans="1:3" x14ac:dyDescent="0.25">
      <c r="A74" t="s">
        <v>3255</v>
      </c>
      <c r="C74" t="s">
        <v>886</v>
      </c>
    </row>
    <row r="75" spans="1:3" x14ac:dyDescent="0.25">
      <c r="A75" t="s">
        <v>7076</v>
      </c>
      <c r="C75" t="s">
        <v>404</v>
      </c>
    </row>
    <row r="76" spans="1:3" x14ac:dyDescent="0.25">
      <c r="A76" t="s">
        <v>7287</v>
      </c>
      <c r="C76" t="s">
        <v>5888</v>
      </c>
    </row>
    <row r="77" spans="1:3" x14ac:dyDescent="0.25">
      <c r="A77" t="s">
        <v>5083</v>
      </c>
      <c r="C77" t="s">
        <v>3102</v>
      </c>
    </row>
    <row r="78" spans="1:3" x14ac:dyDescent="0.25">
      <c r="A78" t="s">
        <v>1078</v>
      </c>
      <c r="C78" t="s">
        <v>2101</v>
      </c>
    </row>
    <row r="79" spans="1:3" x14ac:dyDescent="0.25">
      <c r="A79" t="s">
        <v>6101</v>
      </c>
      <c r="C79" t="s">
        <v>3681</v>
      </c>
    </row>
    <row r="80" spans="1:3" x14ac:dyDescent="0.25">
      <c r="A80" t="s">
        <v>190</v>
      </c>
      <c r="C80" t="s">
        <v>948</v>
      </c>
    </row>
    <row r="81" spans="1:3" x14ac:dyDescent="0.25">
      <c r="A81" t="s">
        <v>4860</v>
      </c>
      <c r="C81" t="s">
        <v>2106</v>
      </c>
    </row>
    <row r="82" spans="1:3" x14ac:dyDescent="0.25">
      <c r="A82" t="s">
        <v>4540</v>
      </c>
      <c r="C82" t="s">
        <v>3758</v>
      </c>
    </row>
    <row r="83" spans="1:3" x14ac:dyDescent="0.25">
      <c r="A83" t="s">
        <v>2813</v>
      </c>
      <c r="C83" t="s">
        <v>6022</v>
      </c>
    </row>
    <row r="84" spans="1:3" x14ac:dyDescent="0.25">
      <c r="A84" t="s">
        <v>64</v>
      </c>
      <c r="C84" t="s">
        <v>5385</v>
      </c>
    </row>
    <row r="85" spans="1:3" x14ac:dyDescent="0.25">
      <c r="A85" t="s">
        <v>2061</v>
      </c>
      <c r="C85" t="s">
        <v>1880</v>
      </c>
    </row>
    <row r="86" spans="1:3" x14ac:dyDescent="0.25">
      <c r="A86" t="s">
        <v>2586</v>
      </c>
      <c r="C86" t="s">
        <v>4038</v>
      </c>
    </row>
    <row r="87" spans="1:3" x14ac:dyDescent="0.25">
      <c r="A87" t="s">
        <v>691</v>
      </c>
      <c r="C87" t="s">
        <v>3383</v>
      </c>
    </row>
    <row r="88" spans="1:3" x14ac:dyDescent="0.25">
      <c r="A88" t="s">
        <v>4895</v>
      </c>
      <c r="C88" t="s">
        <v>4061</v>
      </c>
    </row>
    <row r="89" spans="1:3" x14ac:dyDescent="0.25">
      <c r="A89" t="s">
        <v>5988</v>
      </c>
      <c r="C89" t="s">
        <v>2122</v>
      </c>
    </row>
    <row r="90" spans="1:3" x14ac:dyDescent="0.25">
      <c r="A90" t="s">
        <v>2111</v>
      </c>
      <c r="C90" t="s">
        <v>6540</v>
      </c>
    </row>
    <row r="91" spans="1:3" x14ac:dyDescent="0.25">
      <c r="A91" t="s">
        <v>1867</v>
      </c>
      <c r="C91" t="s">
        <v>236</v>
      </c>
    </row>
    <row r="92" spans="1:3" x14ac:dyDescent="0.25">
      <c r="A92" t="s">
        <v>4827</v>
      </c>
      <c r="C92" t="s">
        <v>860</v>
      </c>
    </row>
    <row r="93" spans="1:3" x14ac:dyDescent="0.25">
      <c r="A93" t="s">
        <v>4910</v>
      </c>
      <c r="C93" t="s">
        <v>2152</v>
      </c>
    </row>
    <row r="94" spans="1:3" x14ac:dyDescent="0.25">
      <c r="A94" t="s">
        <v>4883</v>
      </c>
      <c r="C94" t="s">
        <v>4263</v>
      </c>
    </row>
    <row r="95" spans="1:3" x14ac:dyDescent="0.25">
      <c r="A95" t="s">
        <v>5372</v>
      </c>
      <c r="C95" t="s">
        <v>2050</v>
      </c>
    </row>
    <row r="96" spans="1:3" x14ac:dyDescent="0.25">
      <c r="A96" t="s">
        <v>2710</v>
      </c>
      <c r="C96" t="s">
        <v>5225</v>
      </c>
    </row>
    <row r="97" spans="1:3" x14ac:dyDescent="0.25">
      <c r="A97" t="s">
        <v>259</v>
      </c>
      <c r="C97" t="s">
        <v>1564</v>
      </c>
    </row>
    <row r="98" spans="1:3" x14ac:dyDescent="0.25">
      <c r="A98" t="s">
        <v>4194</v>
      </c>
      <c r="C98" t="s">
        <v>3645</v>
      </c>
    </row>
    <row r="99" spans="1:3" x14ac:dyDescent="0.25">
      <c r="A99" t="s">
        <v>3817</v>
      </c>
      <c r="C99" t="s">
        <v>5822</v>
      </c>
    </row>
    <row r="100" spans="1:3" x14ac:dyDescent="0.25">
      <c r="A100" t="s">
        <v>6995</v>
      </c>
      <c r="C100" t="s">
        <v>4516</v>
      </c>
    </row>
    <row r="101" spans="1:3" x14ac:dyDescent="0.25">
      <c r="A101" t="s">
        <v>4052</v>
      </c>
      <c r="C101" t="s">
        <v>5376</v>
      </c>
    </row>
    <row r="102" spans="1:3" x14ac:dyDescent="0.25">
      <c r="A102" t="s">
        <v>1058</v>
      </c>
      <c r="C102" t="s">
        <v>6601</v>
      </c>
    </row>
    <row r="103" spans="1:3" x14ac:dyDescent="0.25">
      <c r="A103" t="s">
        <v>3218</v>
      </c>
      <c r="C103" t="s">
        <v>271</v>
      </c>
    </row>
    <row r="104" spans="1:3" x14ac:dyDescent="0.25">
      <c r="A104" t="s">
        <v>2627</v>
      </c>
      <c r="C104" t="s">
        <v>329</v>
      </c>
    </row>
    <row r="105" spans="1:3" x14ac:dyDescent="0.25">
      <c r="A105" t="s">
        <v>4823</v>
      </c>
      <c r="C105" t="s">
        <v>6011</v>
      </c>
    </row>
    <row r="106" spans="1:3" x14ac:dyDescent="0.25">
      <c r="A106" t="s">
        <v>6850</v>
      </c>
      <c r="C106" t="s">
        <v>6551</v>
      </c>
    </row>
    <row r="107" spans="1:3" x14ac:dyDescent="0.25">
      <c r="A107" t="s">
        <v>1219</v>
      </c>
      <c r="C107" t="s">
        <v>3292</v>
      </c>
    </row>
    <row r="108" spans="1:3" x14ac:dyDescent="0.25">
      <c r="A108" t="s">
        <v>3614</v>
      </c>
      <c r="C108" t="s">
        <v>3608</v>
      </c>
    </row>
    <row r="109" spans="1:3" x14ac:dyDescent="0.25">
      <c r="A109" t="s">
        <v>1827</v>
      </c>
      <c r="C109" t="s">
        <v>6576</v>
      </c>
    </row>
    <row r="110" spans="1:3" x14ac:dyDescent="0.25">
      <c r="A110" t="s">
        <v>5537</v>
      </c>
      <c r="C110" t="s">
        <v>449</v>
      </c>
    </row>
    <row r="111" spans="1:3" x14ac:dyDescent="0.25">
      <c r="A111" t="s">
        <v>3775</v>
      </c>
      <c r="C111" t="s">
        <v>2178</v>
      </c>
    </row>
    <row r="112" spans="1:3" x14ac:dyDescent="0.25">
      <c r="A112" t="s">
        <v>2664</v>
      </c>
      <c r="C112" t="s">
        <v>5637</v>
      </c>
    </row>
    <row r="113" spans="1:3" x14ac:dyDescent="0.25">
      <c r="A113" t="s">
        <v>1351</v>
      </c>
      <c r="C113" t="s">
        <v>1228</v>
      </c>
    </row>
    <row r="114" spans="1:3" x14ac:dyDescent="0.25">
      <c r="A114" t="s">
        <v>5921</v>
      </c>
      <c r="C114" t="s">
        <v>3158</v>
      </c>
    </row>
    <row r="115" spans="1:3" x14ac:dyDescent="0.25">
      <c r="A115" t="s">
        <v>6141</v>
      </c>
      <c r="C115" t="s">
        <v>294</v>
      </c>
    </row>
    <row r="116" spans="1:3" x14ac:dyDescent="0.25">
      <c r="A116" t="s">
        <v>1408</v>
      </c>
      <c r="C116" t="s">
        <v>7281</v>
      </c>
    </row>
    <row r="117" spans="1:3" x14ac:dyDescent="0.25">
      <c r="A117" t="s">
        <v>3083</v>
      </c>
      <c r="C117" t="s">
        <v>3038</v>
      </c>
    </row>
    <row r="118" spans="1:3" x14ac:dyDescent="0.25">
      <c r="A118" t="s">
        <v>6147</v>
      </c>
      <c r="C118" t="s">
        <v>5769</v>
      </c>
    </row>
    <row r="119" spans="1:3" x14ac:dyDescent="0.25">
      <c r="A119" t="s">
        <v>4690</v>
      </c>
      <c r="C119" t="s">
        <v>3753</v>
      </c>
    </row>
    <row r="120" spans="1:3" x14ac:dyDescent="0.25">
      <c r="A120" t="s">
        <v>1126</v>
      </c>
      <c r="C120" t="s">
        <v>594</v>
      </c>
    </row>
    <row r="121" spans="1:3" x14ac:dyDescent="0.25">
      <c r="A121" t="s">
        <v>3589</v>
      </c>
      <c r="C121" t="s">
        <v>5361</v>
      </c>
    </row>
    <row r="122" spans="1:3" x14ac:dyDescent="0.25">
      <c r="A122" t="s">
        <v>3098</v>
      </c>
      <c r="C122" t="s">
        <v>2994</v>
      </c>
    </row>
    <row r="123" spans="1:3" x14ac:dyDescent="0.25">
      <c r="A123" t="s">
        <v>1258</v>
      </c>
      <c r="C123" t="s">
        <v>3623</v>
      </c>
    </row>
    <row r="124" spans="1:3" x14ac:dyDescent="0.25">
      <c r="A124" t="s">
        <v>820</v>
      </c>
      <c r="C124" t="s">
        <v>3835</v>
      </c>
    </row>
    <row r="125" spans="1:3" x14ac:dyDescent="0.25">
      <c r="A125" t="s">
        <v>420</v>
      </c>
      <c r="C125" t="s">
        <v>3881</v>
      </c>
    </row>
    <row r="126" spans="1:3" x14ac:dyDescent="0.25">
      <c r="A126" t="s">
        <v>5865</v>
      </c>
      <c r="C126" t="s">
        <v>1736</v>
      </c>
    </row>
    <row r="127" spans="1:3" x14ac:dyDescent="0.25">
      <c r="A127" t="s">
        <v>1956</v>
      </c>
      <c r="C127" t="s">
        <v>5073</v>
      </c>
    </row>
    <row r="128" spans="1:3" x14ac:dyDescent="0.25">
      <c r="A128" t="s">
        <v>7107</v>
      </c>
      <c r="C128" t="s">
        <v>3198</v>
      </c>
    </row>
    <row r="129" spans="1:3" x14ac:dyDescent="0.25">
      <c r="A129" t="s">
        <v>324</v>
      </c>
      <c r="C129" t="s">
        <v>5299</v>
      </c>
    </row>
    <row r="130" spans="1:3" x14ac:dyDescent="0.25">
      <c r="A130" t="s">
        <v>5426</v>
      </c>
      <c r="C130" t="s">
        <v>5717</v>
      </c>
    </row>
    <row r="131" spans="1:3" x14ac:dyDescent="0.25">
      <c r="A131" t="s">
        <v>519</v>
      </c>
      <c r="C131" t="s">
        <v>2824</v>
      </c>
    </row>
    <row r="132" spans="1:3" x14ac:dyDescent="0.25">
      <c r="A132" t="s">
        <v>1359</v>
      </c>
      <c r="C132" t="s">
        <v>4795</v>
      </c>
    </row>
    <row r="133" spans="1:3" x14ac:dyDescent="0.25">
      <c r="A133" t="s">
        <v>3662</v>
      </c>
      <c r="C133" t="s">
        <v>4254</v>
      </c>
    </row>
    <row r="134" spans="1:3" x14ac:dyDescent="0.25">
      <c r="A134" t="s">
        <v>2789</v>
      </c>
      <c r="C134" t="s">
        <v>399</v>
      </c>
    </row>
    <row r="135" spans="1:3" x14ac:dyDescent="0.25">
      <c r="A135" t="s">
        <v>621</v>
      </c>
      <c r="C135" t="s">
        <v>5467</v>
      </c>
    </row>
    <row r="136" spans="1:3" x14ac:dyDescent="0.25">
      <c r="A136" t="s">
        <v>1848</v>
      </c>
      <c r="C136" t="s">
        <v>2361</v>
      </c>
    </row>
    <row r="137" spans="1:3" x14ac:dyDescent="0.25">
      <c r="A137" t="s">
        <v>3939</v>
      </c>
      <c r="C137" t="s">
        <v>6951</v>
      </c>
    </row>
    <row r="138" spans="1:3" x14ac:dyDescent="0.25">
      <c r="A138" t="s">
        <v>7072</v>
      </c>
      <c r="C138" t="s">
        <v>6835</v>
      </c>
    </row>
    <row r="139" spans="1:3" x14ac:dyDescent="0.25">
      <c r="A139" t="s">
        <v>3877</v>
      </c>
      <c r="C139" t="s">
        <v>6571</v>
      </c>
    </row>
    <row r="140" spans="1:3" x14ac:dyDescent="0.25">
      <c r="A140" t="s">
        <v>3599</v>
      </c>
      <c r="C140" t="s">
        <v>6025</v>
      </c>
    </row>
    <row r="141" spans="1:3" x14ac:dyDescent="0.25">
      <c r="A141" t="s">
        <v>3490</v>
      </c>
      <c r="C141" t="s">
        <v>2257</v>
      </c>
    </row>
    <row r="142" spans="1:3" x14ac:dyDescent="0.25">
      <c r="A142" t="s">
        <v>4111</v>
      </c>
      <c r="C142" t="s">
        <v>3311</v>
      </c>
    </row>
    <row r="143" spans="1:3" x14ac:dyDescent="0.25">
      <c r="A143" t="s">
        <v>639</v>
      </c>
      <c r="C143" t="s">
        <v>3988</v>
      </c>
    </row>
    <row r="144" spans="1:3" x14ac:dyDescent="0.25">
      <c r="A144" t="s">
        <v>5365</v>
      </c>
      <c r="C144" t="s">
        <v>2889</v>
      </c>
    </row>
    <row r="145" spans="1:3" x14ac:dyDescent="0.25">
      <c r="A145" t="s">
        <v>3066</v>
      </c>
      <c r="C145" t="s">
        <v>3585</v>
      </c>
    </row>
    <row r="146" spans="1:3" x14ac:dyDescent="0.25">
      <c r="A146" t="s">
        <v>6127</v>
      </c>
      <c r="C146" t="s">
        <v>3212</v>
      </c>
    </row>
    <row r="147" spans="1:3" x14ac:dyDescent="0.25">
      <c r="A147" t="s">
        <v>7192</v>
      </c>
      <c r="C147" t="s">
        <v>4709</v>
      </c>
    </row>
    <row r="148" spans="1:3" x14ac:dyDescent="0.25">
      <c r="A148" t="s">
        <v>4687</v>
      </c>
      <c r="C148" t="s">
        <v>1644</v>
      </c>
    </row>
    <row r="149" spans="1:3" x14ac:dyDescent="0.25">
      <c r="A149" t="s">
        <v>4682</v>
      </c>
      <c r="C149" t="s">
        <v>5215</v>
      </c>
    </row>
    <row r="150" spans="1:3" x14ac:dyDescent="0.25">
      <c r="A150" t="s">
        <v>241</v>
      </c>
      <c r="C150" t="s">
        <v>891</v>
      </c>
    </row>
    <row r="151" spans="1:3" x14ac:dyDescent="0.25">
      <c r="A151" t="s">
        <v>4367</v>
      </c>
      <c r="C151" t="s">
        <v>4292</v>
      </c>
    </row>
    <row r="152" spans="1:3" x14ac:dyDescent="0.25">
      <c r="A152" t="s">
        <v>7214</v>
      </c>
      <c r="C152" t="s">
        <v>2396</v>
      </c>
    </row>
    <row r="153" spans="1:3" x14ac:dyDescent="0.25">
      <c r="A153" t="s">
        <v>3143</v>
      </c>
      <c r="C153" t="s">
        <v>1786</v>
      </c>
    </row>
    <row r="154" spans="1:3" x14ac:dyDescent="0.25">
      <c r="A154" t="s">
        <v>1709</v>
      </c>
      <c r="C154" t="s">
        <v>90</v>
      </c>
    </row>
    <row r="155" spans="1:3" x14ac:dyDescent="0.25">
      <c r="A155" t="s">
        <v>1238</v>
      </c>
      <c r="C155" t="s">
        <v>959</v>
      </c>
    </row>
    <row r="156" spans="1:3" x14ac:dyDescent="0.25">
      <c r="A156" t="s">
        <v>1440</v>
      </c>
      <c r="C156" t="s">
        <v>1018</v>
      </c>
    </row>
    <row r="157" spans="1:3" x14ac:dyDescent="0.25">
      <c r="A157" t="s">
        <v>3225</v>
      </c>
      <c r="C157" t="s">
        <v>1464</v>
      </c>
    </row>
    <row r="158" spans="1:3" x14ac:dyDescent="0.25">
      <c r="A158" t="s">
        <v>566</v>
      </c>
      <c r="C158" t="s">
        <v>5161</v>
      </c>
    </row>
    <row r="159" spans="1:3" x14ac:dyDescent="0.25">
      <c r="A159" t="s">
        <v>6369</v>
      </c>
      <c r="C159" t="s">
        <v>1241</v>
      </c>
    </row>
    <row r="160" spans="1:3" x14ac:dyDescent="0.25">
      <c r="A160" t="s">
        <v>6158</v>
      </c>
      <c r="C160" t="s">
        <v>5603</v>
      </c>
    </row>
    <row r="161" spans="1:3" x14ac:dyDescent="0.25">
      <c r="A161" t="s">
        <v>3913</v>
      </c>
      <c r="C161" t="s">
        <v>3174</v>
      </c>
    </row>
    <row r="162" spans="1:3" x14ac:dyDescent="0.25">
      <c r="A162" t="s">
        <v>5954</v>
      </c>
      <c r="C162" t="s">
        <v>5764</v>
      </c>
    </row>
    <row r="163" spans="1:3" x14ac:dyDescent="0.25">
      <c r="A163" t="s">
        <v>4891</v>
      </c>
      <c r="C163" t="s">
        <v>605</v>
      </c>
    </row>
    <row r="164" spans="1:3" x14ac:dyDescent="0.25">
      <c r="A164" t="s">
        <v>952</v>
      </c>
      <c r="C164" t="s">
        <v>5143</v>
      </c>
    </row>
    <row r="165" spans="1:3" x14ac:dyDescent="0.25">
      <c r="A165" t="s">
        <v>6152</v>
      </c>
      <c r="C165" t="s">
        <v>3111</v>
      </c>
    </row>
    <row r="166" spans="1:3" x14ac:dyDescent="0.25">
      <c r="A166" t="s">
        <v>2739</v>
      </c>
      <c r="C166" t="s">
        <v>903</v>
      </c>
    </row>
    <row r="167" spans="1:3" x14ac:dyDescent="0.25">
      <c r="A167" t="s">
        <v>4359</v>
      </c>
      <c r="C167" t="s">
        <v>2160</v>
      </c>
    </row>
    <row r="168" spans="1:3" x14ac:dyDescent="0.25">
      <c r="A168" t="s">
        <v>3434</v>
      </c>
      <c r="C168" t="s">
        <v>3118</v>
      </c>
    </row>
    <row r="169" spans="1:3" x14ac:dyDescent="0.25">
      <c r="A169" t="s">
        <v>4354</v>
      </c>
      <c r="C169" t="s">
        <v>5633</v>
      </c>
    </row>
    <row r="170" spans="1:3" x14ac:dyDescent="0.25">
      <c r="A170" t="s">
        <v>5810</v>
      </c>
      <c r="C170" t="s">
        <v>1761</v>
      </c>
    </row>
    <row r="171" spans="1:3" x14ac:dyDescent="0.25">
      <c r="A171" t="s">
        <v>1548</v>
      </c>
      <c r="C171" t="s">
        <v>3030</v>
      </c>
    </row>
    <row r="172" spans="1:3" x14ac:dyDescent="0.25">
      <c r="A172" t="s">
        <v>599</v>
      </c>
      <c r="C172" t="s">
        <v>5619</v>
      </c>
    </row>
    <row r="173" spans="1:3" x14ac:dyDescent="0.25">
      <c r="A173" t="s">
        <v>1445</v>
      </c>
      <c r="C173" t="s">
        <v>3517</v>
      </c>
    </row>
    <row r="174" spans="1:3" x14ac:dyDescent="0.25">
      <c r="A174" t="s">
        <v>499</v>
      </c>
      <c r="C174" t="s">
        <v>4327</v>
      </c>
    </row>
    <row r="175" spans="1:3" x14ac:dyDescent="0.25">
      <c r="A175" t="s">
        <v>2548</v>
      </c>
      <c r="C175" t="s">
        <v>719</v>
      </c>
    </row>
    <row r="176" spans="1:3" x14ac:dyDescent="0.25">
      <c r="A176" t="s">
        <v>2492</v>
      </c>
      <c r="C176" t="s">
        <v>3527</v>
      </c>
    </row>
    <row r="177" spans="1:3" x14ac:dyDescent="0.25">
      <c r="A177" t="s">
        <v>2681</v>
      </c>
      <c r="C177" t="s">
        <v>6544</v>
      </c>
    </row>
    <row r="178" spans="1:3" x14ac:dyDescent="0.25">
      <c r="A178" t="s">
        <v>5282</v>
      </c>
      <c r="C178" t="s">
        <v>6583</v>
      </c>
    </row>
    <row r="179" spans="1:3" x14ac:dyDescent="0.25">
      <c r="A179" t="s">
        <v>1937</v>
      </c>
      <c r="C179" t="s">
        <v>6637</v>
      </c>
    </row>
    <row r="180" spans="1:3" x14ac:dyDescent="0.25">
      <c r="A180" t="s">
        <v>1932</v>
      </c>
      <c r="C180" t="s">
        <v>6839</v>
      </c>
    </row>
    <row r="181" spans="1:3" x14ac:dyDescent="0.25">
      <c r="A181" t="s">
        <v>3496</v>
      </c>
      <c r="C181" t="s">
        <v>1751</v>
      </c>
    </row>
    <row r="182" spans="1:3" x14ac:dyDescent="0.25">
      <c r="A182" t="s">
        <v>5572</v>
      </c>
      <c r="C182" t="s">
        <v>6622</v>
      </c>
    </row>
    <row r="183" spans="1:3" x14ac:dyDescent="0.25">
      <c r="A183" t="s">
        <v>4995</v>
      </c>
      <c r="C183" t="s">
        <v>1325</v>
      </c>
    </row>
    <row r="184" spans="1:3" x14ac:dyDescent="0.25">
      <c r="A184" t="s">
        <v>2817</v>
      </c>
      <c r="C184" t="s">
        <v>5674</v>
      </c>
    </row>
    <row r="185" spans="1:3" x14ac:dyDescent="0.25">
      <c r="A185" t="s">
        <v>1870</v>
      </c>
      <c r="C185" t="s">
        <v>5541</v>
      </c>
    </row>
    <row r="186" spans="1:3" x14ac:dyDescent="0.25">
      <c r="A186" t="s">
        <v>5330</v>
      </c>
      <c r="C186" t="s">
        <v>6610</v>
      </c>
    </row>
    <row r="187" spans="1:3" x14ac:dyDescent="0.25">
      <c r="A187" t="s">
        <v>466</v>
      </c>
      <c r="C187" t="s">
        <v>5935</v>
      </c>
    </row>
    <row r="188" spans="1:3" x14ac:dyDescent="0.25">
      <c r="A188" t="s">
        <v>1919</v>
      </c>
      <c r="C188" t="s">
        <v>1574</v>
      </c>
    </row>
    <row r="189" spans="1:3" x14ac:dyDescent="0.25">
      <c r="A189" t="s">
        <v>138</v>
      </c>
      <c r="C189" t="s">
        <v>534</v>
      </c>
    </row>
    <row r="190" spans="1:3" x14ac:dyDescent="0.25">
      <c r="A190" t="s">
        <v>5787</v>
      </c>
      <c r="C190" t="s">
        <v>5030</v>
      </c>
    </row>
    <row r="191" spans="1:3" x14ac:dyDescent="0.25">
      <c r="A191" t="s">
        <v>6073</v>
      </c>
      <c r="C191" t="s">
        <v>5868</v>
      </c>
    </row>
    <row r="192" spans="1:3" x14ac:dyDescent="0.25">
      <c r="A192" t="s">
        <v>3275</v>
      </c>
      <c r="C192" t="s">
        <v>3971</v>
      </c>
    </row>
    <row r="193" spans="1:3" x14ac:dyDescent="0.25">
      <c r="A193" t="s">
        <v>5593</v>
      </c>
      <c r="C193" t="s">
        <v>6645</v>
      </c>
    </row>
    <row r="194" spans="1:3" x14ac:dyDescent="0.25">
      <c r="A194" t="s">
        <v>1269</v>
      </c>
      <c r="C194" t="s">
        <v>1431</v>
      </c>
    </row>
    <row r="195" spans="1:3" x14ac:dyDescent="0.25">
      <c r="A195" t="s">
        <v>335</v>
      </c>
      <c r="C195" t="s">
        <v>6632</v>
      </c>
    </row>
    <row r="196" spans="1:3" x14ac:dyDescent="0.25">
      <c r="A196" t="s">
        <v>7219</v>
      </c>
      <c r="C196" t="s">
        <v>6240</v>
      </c>
    </row>
    <row r="197" spans="1:3" x14ac:dyDescent="0.25">
      <c r="A197" t="s">
        <v>2689</v>
      </c>
      <c r="C197" t="s">
        <v>4049</v>
      </c>
    </row>
    <row r="198" spans="1:3" x14ac:dyDescent="0.25">
      <c r="A198" t="s">
        <v>5683</v>
      </c>
      <c r="C198" t="s">
        <v>3532</v>
      </c>
    </row>
    <row r="199" spans="1:3" x14ac:dyDescent="0.25">
      <c r="A199" t="s">
        <v>1789</v>
      </c>
      <c r="C199" t="s">
        <v>1279</v>
      </c>
    </row>
    <row r="200" spans="1:3" x14ac:dyDescent="0.25">
      <c r="A200" t="s">
        <v>6163</v>
      </c>
      <c r="C200" t="s">
        <v>4609</v>
      </c>
    </row>
    <row r="201" spans="1:3" x14ac:dyDescent="0.25">
      <c r="A201" t="s">
        <v>3335</v>
      </c>
      <c r="C201" t="s">
        <v>3166</v>
      </c>
    </row>
    <row r="202" spans="1:3" x14ac:dyDescent="0.25">
      <c r="A202" t="s">
        <v>5491</v>
      </c>
      <c r="C202" t="s">
        <v>5247</v>
      </c>
    </row>
    <row r="203" spans="1:3" x14ac:dyDescent="0.25">
      <c r="A203" t="s">
        <v>5977</v>
      </c>
      <c r="C203" t="s">
        <v>4727</v>
      </c>
    </row>
    <row r="204" spans="1:3" x14ac:dyDescent="0.25">
      <c r="A204" t="s">
        <v>5828</v>
      </c>
      <c r="C204" t="s">
        <v>5220</v>
      </c>
    </row>
    <row r="205" spans="1:3" x14ac:dyDescent="0.25">
      <c r="A205" t="s">
        <v>3467</v>
      </c>
      <c r="C205" t="s">
        <v>6735</v>
      </c>
    </row>
    <row r="206" spans="1:3" x14ac:dyDescent="0.25">
      <c r="A206" t="s">
        <v>4071</v>
      </c>
      <c r="C206" t="s">
        <v>6444</v>
      </c>
    </row>
    <row r="207" spans="1:3" x14ac:dyDescent="0.25">
      <c r="A207" t="s">
        <v>6115</v>
      </c>
      <c r="C207" t="s">
        <v>4285</v>
      </c>
    </row>
    <row r="208" spans="1:3" x14ac:dyDescent="0.25">
      <c r="A208" t="s">
        <v>4694</v>
      </c>
      <c r="C208" t="s">
        <v>3726</v>
      </c>
    </row>
    <row r="209" spans="1:3" x14ac:dyDescent="0.25">
      <c r="A209" t="s">
        <v>5262</v>
      </c>
      <c r="C209" t="s">
        <v>5287</v>
      </c>
    </row>
    <row r="210" spans="1:3" x14ac:dyDescent="0.25">
      <c r="A210" t="s">
        <v>3953</v>
      </c>
      <c r="C210" t="s">
        <v>2247</v>
      </c>
    </row>
    <row r="211" spans="1:3" x14ac:dyDescent="0.25">
      <c r="A211" t="s">
        <v>7290</v>
      </c>
      <c r="C211" t="s">
        <v>27</v>
      </c>
    </row>
    <row r="212" spans="1:3" x14ac:dyDescent="0.25">
      <c r="A212" t="s">
        <v>1684</v>
      </c>
      <c r="C212" t="s">
        <v>3997</v>
      </c>
    </row>
    <row r="213" spans="1:3" x14ac:dyDescent="0.25">
      <c r="A213" t="s">
        <v>6131</v>
      </c>
      <c r="C213" t="s">
        <v>765</v>
      </c>
    </row>
    <row r="214" spans="1:3" x14ac:dyDescent="0.25">
      <c r="A214" t="s">
        <v>6207</v>
      </c>
      <c r="C214" t="s">
        <v>5850</v>
      </c>
    </row>
    <row r="215" spans="1:3" x14ac:dyDescent="0.25">
      <c r="A215" t="s">
        <v>826</v>
      </c>
      <c r="C215" t="s">
        <v>4813</v>
      </c>
    </row>
    <row r="216" spans="1:3" x14ac:dyDescent="0.25">
      <c r="A216" t="s">
        <v>4386</v>
      </c>
      <c r="C216" t="s">
        <v>3260</v>
      </c>
    </row>
    <row r="217" spans="1:3" x14ac:dyDescent="0.25">
      <c r="A217" t="s">
        <v>1531</v>
      </c>
      <c r="C217" t="s">
        <v>589</v>
      </c>
    </row>
    <row r="218" spans="1:3" x14ac:dyDescent="0.25">
      <c r="A218" t="s">
        <v>1320</v>
      </c>
      <c r="C218" t="s">
        <v>1032</v>
      </c>
    </row>
    <row r="219" spans="1:3" x14ac:dyDescent="0.25">
      <c r="A219" t="s">
        <v>6019</v>
      </c>
      <c r="C219" t="s">
        <v>1201</v>
      </c>
    </row>
    <row r="220" spans="1:3" x14ac:dyDescent="0.25">
      <c r="A220" t="s">
        <v>5290</v>
      </c>
      <c r="C220" t="s">
        <v>6136</v>
      </c>
    </row>
    <row r="221" spans="1:3" x14ac:dyDescent="0.25">
      <c r="A221" t="s">
        <v>1368</v>
      </c>
      <c r="C221" t="s">
        <v>5138</v>
      </c>
    </row>
    <row r="222" spans="1:3" x14ac:dyDescent="0.25">
      <c r="A222" t="s">
        <v>5744</v>
      </c>
      <c r="C222" t="s">
        <v>6616</v>
      </c>
    </row>
    <row r="223" spans="1:3" x14ac:dyDescent="0.25">
      <c r="A223" t="s">
        <v>6178</v>
      </c>
      <c r="C223" t="s">
        <v>6955</v>
      </c>
    </row>
    <row r="224" spans="1:3" x14ac:dyDescent="0.25">
      <c r="A224" t="s">
        <v>1998</v>
      </c>
      <c r="C224" t="s">
        <v>1898</v>
      </c>
    </row>
    <row r="225" spans="1:3" x14ac:dyDescent="0.25">
      <c r="A225" t="s">
        <v>3551</v>
      </c>
      <c r="C225" t="s">
        <v>307</v>
      </c>
    </row>
    <row r="226" spans="1:3" x14ac:dyDescent="0.25">
      <c r="A226" t="s">
        <v>1820</v>
      </c>
      <c r="C226" t="s">
        <v>3992</v>
      </c>
    </row>
    <row r="227" spans="1:3" x14ac:dyDescent="0.25">
      <c r="A227" t="s">
        <v>1492</v>
      </c>
      <c r="C227" t="s">
        <v>2781</v>
      </c>
    </row>
    <row r="228" spans="1:3" x14ac:dyDescent="0.25">
      <c r="A228" t="s">
        <v>3079</v>
      </c>
      <c r="C228" t="s">
        <v>3372</v>
      </c>
    </row>
    <row r="229" spans="1:3" x14ac:dyDescent="0.25">
      <c r="A229" t="s">
        <v>3153</v>
      </c>
      <c r="C229" t="s">
        <v>802</v>
      </c>
    </row>
    <row r="230" spans="1:3" x14ac:dyDescent="0.25">
      <c r="A230" t="s">
        <v>4551</v>
      </c>
      <c r="C230" t="s">
        <v>7067</v>
      </c>
    </row>
    <row r="231" spans="1:3" x14ac:dyDescent="0.25">
      <c r="A231" t="s">
        <v>4741</v>
      </c>
      <c r="C231" t="s">
        <v>1698</v>
      </c>
    </row>
    <row r="232" spans="1:3" x14ac:dyDescent="0.25">
      <c r="A232" t="s">
        <v>4864</v>
      </c>
      <c r="C232" t="s">
        <v>5197</v>
      </c>
    </row>
    <row r="233" spans="1:3" x14ac:dyDescent="0.25">
      <c r="A233" t="s">
        <v>3338</v>
      </c>
      <c r="C233" t="s">
        <v>3944</v>
      </c>
    </row>
    <row r="234" spans="1:3" x14ac:dyDescent="0.25">
      <c r="A234" t="s">
        <v>5791</v>
      </c>
      <c r="C234" t="s">
        <v>3770</v>
      </c>
    </row>
    <row r="235" spans="1:3" x14ac:dyDescent="0.25">
      <c r="A235" t="s">
        <v>2761</v>
      </c>
      <c r="C235" t="s">
        <v>2678</v>
      </c>
    </row>
    <row r="236" spans="1:3" x14ac:dyDescent="0.25">
      <c r="A236" t="s">
        <v>1435</v>
      </c>
      <c r="C236" t="s">
        <v>4417</v>
      </c>
    </row>
    <row r="237" spans="1:3" x14ac:dyDescent="0.25">
      <c r="A237" t="s">
        <v>2028</v>
      </c>
      <c r="C237" t="s">
        <v>7293</v>
      </c>
    </row>
    <row r="238" spans="1:3" x14ac:dyDescent="0.25">
      <c r="A238" t="s">
        <v>4058</v>
      </c>
      <c r="C238" t="s">
        <v>1838</v>
      </c>
    </row>
    <row r="239" spans="1:3" x14ac:dyDescent="0.25">
      <c r="A239" t="s">
        <v>943</v>
      </c>
      <c r="C239" t="s">
        <v>4400</v>
      </c>
    </row>
    <row r="240" spans="1:3" x14ac:dyDescent="0.25">
      <c r="A240" t="s">
        <v>2316</v>
      </c>
      <c r="C240" t="s">
        <v>3546</v>
      </c>
    </row>
    <row r="241" spans="1:3" x14ac:dyDescent="0.25">
      <c r="A241" t="s">
        <v>3140</v>
      </c>
      <c r="C241" t="s">
        <v>3699</v>
      </c>
    </row>
    <row r="242" spans="1:3" x14ac:dyDescent="0.25">
      <c r="A242" t="s">
        <v>4029</v>
      </c>
      <c r="C242" t="s">
        <v>4277</v>
      </c>
    </row>
    <row r="243" spans="1:3" x14ac:dyDescent="0.25">
      <c r="A243" t="s">
        <v>5053</v>
      </c>
      <c r="C243" t="s">
        <v>4948</v>
      </c>
    </row>
    <row r="244" spans="1:3" x14ac:dyDescent="0.25">
      <c r="A244" t="s">
        <v>6217</v>
      </c>
      <c r="C244" t="s">
        <v>7209</v>
      </c>
    </row>
    <row r="245" spans="1:3" x14ac:dyDescent="0.25">
      <c r="A245" t="s">
        <v>4873</v>
      </c>
      <c r="C245" t="s">
        <v>6654</v>
      </c>
    </row>
    <row r="246" spans="1:3" x14ac:dyDescent="0.25">
      <c r="A246" t="s">
        <v>907</v>
      </c>
      <c r="C246" t="s">
        <v>362</v>
      </c>
    </row>
    <row r="247" spans="1:3" x14ac:dyDescent="0.25">
      <c r="A247" t="s">
        <v>872</v>
      </c>
      <c r="C247" t="s">
        <v>4304</v>
      </c>
    </row>
    <row r="248" spans="1:3" x14ac:dyDescent="0.25">
      <c r="A248" t="s">
        <v>581</v>
      </c>
      <c r="C248" t="s">
        <v>5098</v>
      </c>
    </row>
    <row r="249" spans="1:3" x14ac:dyDescent="0.25">
      <c r="A249" t="s">
        <v>6928</v>
      </c>
      <c r="C249" t="s">
        <v>1473</v>
      </c>
    </row>
    <row r="250" spans="1:3" x14ac:dyDescent="0.25">
      <c r="A250" t="s">
        <v>4935</v>
      </c>
      <c r="C250" t="s">
        <v>4008</v>
      </c>
    </row>
    <row r="251" spans="1:3" x14ac:dyDescent="0.25">
      <c r="A251" t="s">
        <v>831</v>
      </c>
      <c r="C251" t="s">
        <v>2505</v>
      </c>
    </row>
    <row r="252" spans="1:3" x14ac:dyDescent="0.25">
      <c r="A252" t="s">
        <v>1346</v>
      </c>
      <c r="C252" t="s">
        <v>3935</v>
      </c>
    </row>
    <row r="253" spans="1:3" x14ac:dyDescent="0.25">
      <c r="A253" t="s">
        <v>2448</v>
      </c>
      <c r="C253" t="s">
        <v>5504</v>
      </c>
    </row>
    <row r="254" spans="1:3" x14ac:dyDescent="0.25">
      <c r="A254" t="s">
        <v>165</v>
      </c>
      <c r="C254" t="s">
        <v>3713</v>
      </c>
    </row>
    <row r="255" spans="1:3" x14ac:dyDescent="0.25">
      <c r="A255" t="s">
        <v>5171</v>
      </c>
      <c r="C255" t="s">
        <v>2157</v>
      </c>
    </row>
    <row r="256" spans="1:3" x14ac:dyDescent="0.25">
      <c r="A256" t="s">
        <v>3556</v>
      </c>
      <c r="C256" t="s">
        <v>1951</v>
      </c>
    </row>
    <row r="257" spans="1:3" x14ac:dyDescent="0.25">
      <c r="A257" t="s">
        <v>5166</v>
      </c>
      <c r="C257" t="s">
        <v>126</v>
      </c>
    </row>
    <row r="258" spans="1:3" x14ac:dyDescent="0.25">
      <c r="A258" t="s">
        <v>6448</v>
      </c>
      <c r="C258" t="s">
        <v>6650</v>
      </c>
    </row>
    <row r="259" spans="1:3" x14ac:dyDescent="0.25">
      <c r="A259" t="s">
        <v>3906</v>
      </c>
      <c r="C259" t="s">
        <v>5443</v>
      </c>
    </row>
    <row r="260" spans="1:3" x14ac:dyDescent="0.25">
      <c r="A260" t="s">
        <v>4013</v>
      </c>
      <c r="C260" t="s">
        <v>1119</v>
      </c>
    </row>
    <row r="261" spans="1:3" x14ac:dyDescent="0.25">
      <c r="A261" t="s">
        <v>1874</v>
      </c>
      <c r="C261" t="s">
        <v>1793</v>
      </c>
    </row>
    <row r="262" spans="1:3" x14ac:dyDescent="0.25">
      <c r="A262" t="s">
        <v>1728</v>
      </c>
      <c r="C262" t="s">
        <v>1453</v>
      </c>
    </row>
    <row r="263" spans="1:3" x14ac:dyDescent="0.25">
      <c r="A263" t="s">
        <v>2917</v>
      </c>
      <c r="C263" t="s">
        <v>1488</v>
      </c>
    </row>
    <row r="264" spans="1:3" x14ac:dyDescent="0.25">
      <c r="A264" t="s">
        <v>4492</v>
      </c>
      <c r="C264" t="s">
        <v>1659</v>
      </c>
    </row>
    <row r="265" spans="1:3" x14ac:dyDescent="0.25">
      <c r="A265" t="s">
        <v>3457</v>
      </c>
      <c r="C265" t="s">
        <v>5985</v>
      </c>
    </row>
    <row r="266" spans="1:3" x14ac:dyDescent="0.25">
      <c r="A266" t="s">
        <v>3481</v>
      </c>
      <c r="C266" t="s">
        <v>2274</v>
      </c>
    </row>
    <row r="267" spans="1:3" x14ac:dyDescent="0.25">
      <c r="A267" t="s">
        <v>6757</v>
      </c>
      <c r="C267" t="s">
        <v>5188</v>
      </c>
    </row>
    <row r="268" spans="1:3" x14ac:dyDescent="0.25">
      <c r="A268" t="s">
        <v>3415</v>
      </c>
      <c r="C268" t="s">
        <v>1713</v>
      </c>
    </row>
    <row r="269" spans="1:3" x14ac:dyDescent="0.25">
      <c r="A269" t="s">
        <v>4670</v>
      </c>
      <c r="C269" t="s">
        <v>4322</v>
      </c>
    </row>
    <row r="270" spans="1:3" x14ac:dyDescent="0.25">
      <c r="A270" t="s">
        <v>5480</v>
      </c>
      <c r="C270" t="s">
        <v>2582</v>
      </c>
    </row>
    <row r="271" spans="1:3" x14ac:dyDescent="0.25">
      <c r="A271" t="s">
        <v>2675</v>
      </c>
      <c r="C271" t="s">
        <v>5176</v>
      </c>
    </row>
    <row r="272" spans="1:3" x14ac:dyDescent="0.25">
      <c r="A272" t="s">
        <v>1168</v>
      </c>
      <c r="C272" t="s">
        <v>4226</v>
      </c>
    </row>
    <row r="273" spans="1:3" x14ac:dyDescent="0.25">
      <c r="A273" t="s">
        <v>2142</v>
      </c>
      <c r="C273" t="s">
        <v>2728</v>
      </c>
    </row>
    <row r="274" spans="1:3" x14ac:dyDescent="0.25">
      <c r="A274" t="s">
        <v>7085</v>
      </c>
      <c r="C274" t="s">
        <v>5628</v>
      </c>
    </row>
    <row r="275" spans="1:3" x14ac:dyDescent="0.25">
      <c r="A275" t="s">
        <v>5738</v>
      </c>
      <c r="C275" t="s">
        <v>857</v>
      </c>
    </row>
    <row r="276" spans="1:3" x14ac:dyDescent="0.25">
      <c r="A276" t="s">
        <v>4590</v>
      </c>
      <c r="C276" t="s">
        <v>1095</v>
      </c>
    </row>
    <row r="277" spans="1:3" x14ac:dyDescent="0.25">
      <c r="A277" t="s">
        <v>6197</v>
      </c>
      <c r="C277" t="s">
        <v>2422</v>
      </c>
    </row>
    <row r="278" spans="1:3" x14ac:dyDescent="0.25">
      <c r="A278" t="s">
        <v>6187</v>
      </c>
      <c r="C278" t="s">
        <v>5702</v>
      </c>
    </row>
    <row r="279" spans="1:3" x14ac:dyDescent="0.25">
      <c r="A279" t="s">
        <v>172</v>
      </c>
      <c r="C279" t="s">
        <v>5963</v>
      </c>
    </row>
    <row r="280" spans="1:3" x14ac:dyDescent="0.25">
      <c r="A280" t="s">
        <v>2036</v>
      </c>
      <c r="C280" t="s">
        <v>5025</v>
      </c>
    </row>
    <row r="281" spans="1:3" x14ac:dyDescent="0.25">
      <c r="A281" t="s">
        <v>3190</v>
      </c>
      <c r="C281" t="s">
        <v>3222</v>
      </c>
    </row>
    <row r="282" spans="1:3" x14ac:dyDescent="0.25">
      <c r="A282" t="s">
        <v>2434</v>
      </c>
      <c r="C282" t="s">
        <v>2045</v>
      </c>
    </row>
    <row r="283" spans="1:3" x14ac:dyDescent="0.25">
      <c r="A283" t="s">
        <v>2989</v>
      </c>
      <c r="C283" t="s">
        <v>1387</v>
      </c>
    </row>
    <row r="284" spans="1:3" x14ac:dyDescent="0.25">
      <c r="A284" t="s">
        <v>6212</v>
      </c>
      <c r="C284" t="s">
        <v>7227</v>
      </c>
    </row>
    <row r="285" spans="1:3" x14ac:dyDescent="0.25">
      <c r="A285" t="s">
        <v>1985</v>
      </c>
      <c r="C285" t="s">
        <v>1508</v>
      </c>
    </row>
    <row r="286" spans="1:3" x14ac:dyDescent="0.25">
      <c r="A286" t="s">
        <v>1251</v>
      </c>
      <c r="C286" t="s">
        <v>489</v>
      </c>
    </row>
    <row r="287" spans="1:3" x14ac:dyDescent="0.25">
      <c r="A287" t="s">
        <v>1979</v>
      </c>
      <c r="C287" t="s">
        <v>5429</v>
      </c>
    </row>
    <row r="288" spans="1:3" x14ac:dyDescent="0.25">
      <c r="A288" t="s">
        <v>1940</v>
      </c>
      <c r="C288" t="s">
        <v>6779</v>
      </c>
    </row>
    <row r="289" spans="1:3" x14ac:dyDescent="0.25">
      <c r="A289" t="s">
        <v>439</v>
      </c>
      <c r="C289" t="s">
        <v>6356</v>
      </c>
    </row>
    <row r="290" spans="1:3" x14ac:dyDescent="0.25">
      <c r="A290" t="s">
        <v>2426</v>
      </c>
      <c r="C290" t="s">
        <v>6006</v>
      </c>
    </row>
    <row r="291" spans="1:3" x14ac:dyDescent="0.25">
      <c r="A291" t="s">
        <v>1908</v>
      </c>
      <c r="C291" t="s">
        <v>3297</v>
      </c>
    </row>
    <row r="292" spans="1:3" x14ac:dyDescent="0.25">
      <c r="A292" t="s">
        <v>4345</v>
      </c>
      <c r="C292" t="s">
        <v>3649</v>
      </c>
    </row>
    <row r="293" spans="1:3" x14ac:dyDescent="0.25">
      <c r="A293" t="s">
        <v>5470</v>
      </c>
      <c r="C293" t="s">
        <v>4234</v>
      </c>
    </row>
    <row r="294" spans="1:3" x14ac:dyDescent="0.25">
      <c r="A294" t="s">
        <v>5500</v>
      </c>
      <c r="C294" t="s">
        <v>4578</v>
      </c>
    </row>
    <row r="295" spans="1:3" x14ac:dyDescent="0.25">
      <c r="A295" t="s">
        <v>6192</v>
      </c>
      <c r="C295" t="s">
        <v>4573</v>
      </c>
    </row>
    <row r="296" spans="1:3" x14ac:dyDescent="0.25">
      <c r="A296" t="s">
        <v>2146</v>
      </c>
      <c r="C296" t="s">
        <v>3379</v>
      </c>
    </row>
    <row r="297" spans="1:3" x14ac:dyDescent="0.25">
      <c r="A297" t="s">
        <v>6222</v>
      </c>
      <c r="C297" t="s">
        <v>4568</v>
      </c>
    </row>
    <row r="298" spans="1:3" x14ac:dyDescent="0.25">
      <c r="A298" t="s">
        <v>6168</v>
      </c>
      <c r="C298" t="s">
        <v>3925</v>
      </c>
    </row>
    <row r="299" spans="1:3" x14ac:dyDescent="0.25">
      <c r="A299" t="s">
        <v>6172</v>
      </c>
      <c r="C299" t="s">
        <v>1146</v>
      </c>
    </row>
    <row r="300" spans="1:3" x14ac:dyDescent="0.25">
      <c r="A300" t="s">
        <v>3929</v>
      </c>
      <c r="C300" t="s">
        <v>3855</v>
      </c>
    </row>
    <row r="301" spans="1:3" x14ac:dyDescent="0.25">
      <c r="A301" t="s">
        <v>2632</v>
      </c>
      <c r="C301" t="s">
        <v>7260</v>
      </c>
    </row>
    <row r="302" spans="1:3" x14ac:dyDescent="0.25">
      <c r="A302" t="s">
        <v>201</v>
      </c>
      <c r="C302" t="s">
        <v>4485</v>
      </c>
    </row>
    <row r="303" spans="1:3" x14ac:dyDescent="0.25">
      <c r="A303" t="s">
        <v>6659</v>
      </c>
      <c r="C303" t="s">
        <v>3106</v>
      </c>
    </row>
    <row r="304" spans="1:3" x14ac:dyDescent="0.25">
      <c r="A304" t="s">
        <v>2766</v>
      </c>
      <c r="C304" t="s">
        <v>5449</v>
      </c>
    </row>
    <row r="305" spans="1:3" x14ac:dyDescent="0.25">
      <c r="A305" t="s">
        <v>5398</v>
      </c>
      <c r="C305" t="s">
        <v>4331</v>
      </c>
    </row>
    <row r="306" spans="1:3" x14ac:dyDescent="0.25">
      <c r="A306" t="s">
        <v>5784</v>
      </c>
      <c r="C306" t="s">
        <v>6696</v>
      </c>
    </row>
    <row r="307" spans="1:3" x14ac:dyDescent="0.25">
      <c r="A307" t="s">
        <v>1430</v>
      </c>
      <c r="C307" t="s">
        <v>1364</v>
      </c>
    </row>
    <row r="308" spans="1:3" x14ac:dyDescent="0.25">
      <c r="A308" t="s">
        <v>553</v>
      </c>
      <c r="C308" t="s">
        <v>4182</v>
      </c>
    </row>
    <row r="309" spans="1:3" x14ac:dyDescent="0.25">
      <c r="A309" t="s">
        <v>95</v>
      </c>
      <c r="C309" t="s">
        <v>4024</v>
      </c>
    </row>
    <row r="310" spans="1:3" x14ac:dyDescent="0.25">
      <c r="A310" t="s">
        <v>7095</v>
      </c>
      <c r="C310" t="s">
        <v>281</v>
      </c>
    </row>
    <row r="311" spans="1:3" x14ac:dyDescent="0.25">
      <c r="A311" t="s">
        <v>1618</v>
      </c>
      <c r="C311" t="s">
        <v>6681</v>
      </c>
    </row>
    <row r="312" spans="1:3" x14ac:dyDescent="0.25">
      <c r="A312" t="s">
        <v>652</v>
      </c>
      <c r="C312" t="s">
        <v>6664</v>
      </c>
    </row>
    <row r="313" spans="1:3" x14ac:dyDescent="0.25">
      <c r="A313" t="s">
        <v>2617</v>
      </c>
      <c r="C313" t="s">
        <v>5533</v>
      </c>
    </row>
    <row r="314" spans="1:3" x14ac:dyDescent="0.25">
      <c r="A314" t="s">
        <v>3302</v>
      </c>
      <c r="C314" t="s">
        <v>1336</v>
      </c>
    </row>
    <row r="315" spans="1:3" x14ac:dyDescent="0.25">
      <c r="A315" t="s">
        <v>2182</v>
      </c>
      <c r="C315" t="s">
        <v>2401</v>
      </c>
    </row>
    <row r="316" spans="1:3" x14ac:dyDescent="0.25">
      <c r="A316" t="s">
        <v>7116</v>
      </c>
      <c r="C316" t="s">
        <v>3346</v>
      </c>
    </row>
    <row r="317" spans="1:3" x14ac:dyDescent="0.25">
      <c r="A317" t="s">
        <v>3150</v>
      </c>
      <c r="C317" t="s">
        <v>2971</v>
      </c>
    </row>
    <row r="318" spans="1:3" x14ac:dyDescent="0.25">
      <c r="A318" t="s">
        <v>4216</v>
      </c>
      <c r="C318" t="s">
        <v>5128</v>
      </c>
    </row>
    <row r="319" spans="1:3" x14ac:dyDescent="0.25">
      <c r="A319" t="s">
        <v>1102</v>
      </c>
      <c r="C319" t="s">
        <v>2463</v>
      </c>
    </row>
    <row r="320" spans="1:3" x14ac:dyDescent="0.25">
      <c r="A320" t="s">
        <v>1535</v>
      </c>
      <c r="C320" t="s">
        <v>3985</v>
      </c>
    </row>
    <row r="321" spans="1:3" x14ac:dyDescent="0.25">
      <c r="A321" t="s">
        <v>446</v>
      </c>
      <c r="C321" t="s">
        <v>7041</v>
      </c>
    </row>
    <row r="322" spans="1:3" x14ac:dyDescent="0.25">
      <c r="A322" t="s">
        <v>3967</v>
      </c>
      <c r="C322" t="s">
        <v>2202</v>
      </c>
    </row>
    <row r="323" spans="1:3" x14ac:dyDescent="0.25">
      <c r="A323" t="s">
        <v>1392</v>
      </c>
      <c r="C323" t="s">
        <v>4836</v>
      </c>
    </row>
    <row r="324" spans="1:3" x14ac:dyDescent="0.25">
      <c r="A324" t="s">
        <v>4655</v>
      </c>
      <c r="C324" t="s">
        <v>3130</v>
      </c>
    </row>
    <row r="325" spans="1:3" x14ac:dyDescent="0.25">
      <c r="A325" t="s">
        <v>6122</v>
      </c>
      <c r="C325" t="s">
        <v>1777</v>
      </c>
    </row>
    <row r="326" spans="1:3" x14ac:dyDescent="0.25">
      <c r="A326" t="s">
        <v>3325</v>
      </c>
      <c r="C326" t="s">
        <v>2884</v>
      </c>
    </row>
    <row r="327" spans="1:3" x14ac:dyDescent="0.25">
      <c r="A327" t="s">
        <v>3603</v>
      </c>
      <c r="C327" t="s">
        <v>4581</v>
      </c>
    </row>
    <row r="328" spans="1:3" x14ac:dyDescent="0.25">
      <c r="A328" t="s">
        <v>6232</v>
      </c>
      <c r="C328" t="s">
        <v>6690</v>
      </c>
    </row>
    <row r="329" spans="1:3" x14ac:dyDescent="0.25">
      <c r="A329" t="s">
        <v>4043</v>
      </c>
      <c r="C329" t="s">
        <v>3634</v>
      </c>
    </row>
    <row r="330" spans="1:3" x14ac:dyDescent="0.25">
      <c r="A330" t="s">
        <v>2950</v>
      </c>
      <c r="C330" t="s">
        <v>3471</v>
      </c>
    </row>
    <row r="331" spans="1:3" x14ac:dyDescent="0.25">
      <c r="A331" t="s">
        <v>2620</v>
      </c>
      <c r="C331" t="s">
        <v>6961</v>
      </c>
    </row>
    <row r="332" spans="1:3" x14ac:dyDescent="0.25">
      <c r="A332" t="s">
        <v>5315</v>
      </c>
      <c r="C332" t="s">
        <v>5982</v>
      </c>
    </row>
    <row r="333" spans="1:3" x14ac:dyDescent="0.25">
      <c r="A333" t="s">
        <v>4422</v>
      </c>
      <c r="C333" t="s">
        <v>6676</v>
      </c>
    </row>
    <row r="334" spans="1:3" x14ac:dyDescent="0.25">
      <c r="A334" t="s">
        <v>2212</v>
      </c>
      <c r="C334" t="s">
        <v>635</v>
      </c>
    </row>
    <row r="335" spans="1:3" x14ac:dyDescent="0.25">
      <c r="A335" t="s">
        <v>4746</v>
      </c>
      <c r="C335" t="s">
        <v>5972</v>
      </c>
    </row>
    <row r="336" spans="1:3" x14ac:dyDescent="0.25">
      <c r="A336" t="s">
        <v>6254</v>
      </c>
      <c r="C336" t="s">
        <v>1052</v>
      </c>
    </row>
    <row r="337" spans="1:3" x14ac:dyDescent="0.25">
      <c r="A337" t="s">
        <v>5462</v>
      </c>
      <c r="C337" t="s">
        <v>6945</v>
      </c>
    </row>
    <row r="338" spans="1:3" x14ac:dyDescent="0.25">
      <c r="A338" t="s">
        <v>485</v>
      </c>
      <c r="C338" t="s">
        <v>5959</v>
      </c>
    </row>
    <row r="339" spans="1:3" x14ac:dyDescent="0.25">
      <c r="A339" t="s">
        <v>4870</v>
      </c>
      <c r="C339" t="s">
        <v>347</v>
      </c>
    </row>
    <row r="340" spans="1:3" x14ac:dyDescent="0.25">
      <c r="A340" t="s">
        <v>6272</v>
      </c>
      <c r="C340" t="s">
        <v>230</v>
      </c>
    </row>
    <row r="341" spans="1:3" x14ac:dyDescent="0.25">
      <c r="A341" t="s">
        <v>5017</v>
      </c>
      <c r="C341" t="s">
        <v>1623</v>
      </c>
    </row>
    <row r="342" spans="1:3" x14ac:dyDescent="0.25">
      <c r="A342" t="s">
        <v>480</v>
      </c>
      <c r="C342" t="s">
        <v>6716</v>
      </c>
    </row>
    <row r="343" spans="1:3" x14ac:dyDescent="0.25">
      <c r="A343" t="s">
        <v>7250</v>
      </c>
      <c r="C343" t="s">
        <v>6924</v>
      </c>
    </row>
    <row r="344" spans="1:3" x14ac:dyDescent="0.25">
      <c r="A344" t="s">
        <v>4605</v>
      </c>
      <c r="C344" t="s">
        <v>4778</v>
      </c>
    </row>
    <row r="345" spans="1:3" x14ac:dyDescent="0.25">
      <c r="A345" t="s">
        <v>2541</v>
      </c>
      <c r="C345" t="s">
        <v>374</v>
      </c>
    </row>
    <row r="346" spans="1:3" x14ac:dyDescent="0.25">
      <c r="A346" t="s">
        <v>5562</v>
      </c>
      <c r="C346" t="s">
        <v>5434</v>
      </c>
    </row>
    <row r="347" spans="1:3" x14ac:dyDescent="0.25">
      <c r="A347" t="s">
        <v>5877</v>
      </c>
      <c r="C347" t="s">
        <v>4506</v>
      </c>
    </row>
    <row r="348" spans="1:3" x14ac:dyDescent="0.25">
      <c r="A348" t="s">
        <v>2860</v>
      </c>
      <c r="C348" t="s">
        <v>5043</v>
      </c>
    </row>
    <row r="349" spans="1:3" x14ac:dyDescent="0.25">
      <c r="A349" t="s">
        <v>1163</v>
      </c>
      <c r="C349" t="s">
        <v>7031</v>
      </c>
    </row>
    <row r="350" spans="1:3" x14ac:dyDescent="0.25">
      <c r="A350" t="s">
        <v>3594</v>
      </c>
      <c r="C350" t="s">
        <v>368</v>
      </c>
    </row>
    <row r="351" spans="1:3" x14ac:dyDescent="0.25">
      <c r="A351" t="s">
        <v>4978</v>
      </c>
      <c r="C351" t="s">
        <v>5062</v>
      </c>
    </row>
    <row r="352" spans="1:3" x14ac:dyDescent="0.25">
      <c r="A352" t="s">
        <v>5339</v>
      </c>
      <c r="C352" t="s">
        <v>53</v>
      </c>
    </row>
    <row r="353" spans="1:3" x14ac:dyDescent="0.25">
      <c r="A353" t="s">
        <v>2873</v>
      </c>
      <c r="C353" t="s">
        <v>177</v>
      </c>
    </row>
    <row r="354" spans="1:3" x14ac:dyDescent="0.25">
      <c r="A354" t="s">
        <v>6236</v>
      </c>
      <c r="C354" t="s">
        <v>4202</v>
      </c>
    </row>
    <row r="355" spans="1:3" x14ac:dyDescent="0.25">
      <c r="A355" t="s">
        <v>3317</v>
      </c>
      <c r="C355" t="s">
        <v>851</v>
      </c>
    </row>
    <row r="356" spans="1:3" x14ac:dyDescent="0.25">
      <c r="A356" t="s">
        <v>7100</v>
      </c>
      <c r="C356" t="s">
        <v>6725</v>
      </c>
    </row>
    <row r="357" spans="1:3" x14ac:dyDescent="0.25">
      <c r="A357" t="s">
        <v>1470</v>
      </c>
      <c r="C357" t="s">
        <v>253</v>
      </c>
    </row>
    <row r="358" spans="1:3" x14ac:dyDescent="0.25">
      <c r="A358" t="s">
        <v>6249</v>
      </c>
      <c r="C358" t="s">
        <v>1156</v>
      </c>
    </row>
    <row r="359" spans="1:3" x14ac:dyDescent="0.25">
      <c r="A359" t="s">
        <v>356</v>
      </c>
      <c r="C359" t="s">
        <v>2743</v>
      </c>
    </row>
    <row r="360" spans="1:3" x14ac:dyDescent="0.25">
      <c r="A360" t="s">
        <v>5308</v>
      </c>
      <c r="C360" t="s">
        <v>4719</v>
      </c>
    </row>
    <row r="361" spans="1:3" x14ac:dyDescent="0.25">
      <c r="A361" t="s">
        <v>2286</v>
      </c>
      <c r="C361" t="s">
        <v>3921</v>
      </c>
    </row>
    <row r="362" spans="1:3" x14ac:dyDescent="0.25">
      <c r="A362" t="s">
        <v>4563</v>
      </c>
      <c r="C362" t="s">
        <v>4170</v>
      </c>
    </row>
    <row r="363" spans="1:3" x14ac:dyDescent="0.25">
      <c r="A363" t="s">
        <v>433</v>
      </c>
      <c r="C363" t="s">
        <v>4258</v>
      </c>
    </row>
    <row r="364" spans="1:3" x14ac:dyDescent="0.25">
      <c r="A364" t="s">
        <v>4520</v>
      </c>
      <c r="C364" t="s">
        <v>1182</v>
      </c>
    </row>
    <row r="365" spans="1:3" x14ac:dyDescent="0.25">
      <c r="A365" t="s">
        <v>6266</v>
      </c>
      <c r="C365" t="s">
        <v>540</v>
      </c>
    </row>
    <row r="366" spans="1:3" x14ac:dyDescent="0.25">
      <c r="A366" t="s">
        <v>615</v>
      </c>
      <c r="C366" t="s">
        <v>6701</v>
      </c>
    </row>
    <row r="367" spans="1:3" x14ac:dyDescent="0.25">
      <c r="A367" t="s">
        <v>1745</v>
      </c>
      <c r="C367" t="s">
        <v>3185</v>
      </c>
    </row>
    <row r="368" spans="1:3" x14ac:dyDescent="0.25">
      <c r="A368" t="s">
        <v>2785</v>
      </c>
      <c r="C368" t="s">
        <v>3386</v>
      </c>
    </row>
    <row r="369" spans="1:3" x14ac:dyDescent="0.25">
      <c r="A369" t="s">
        <v>284</v>
      </c>
      <c r="C369" t="s">
        <v>7053</v>
      </c>
    </row>
    <row r="370" spans="1:3" x14ac:dyDescent="0.25">
      <c r="A370" t="s">
        <v>3536</v>
      </c>
      <c r="C370" t="s">
        <v>320</v>
      </c>
    </row>
    <row r="371" spans="1:3" x14ac:dyDescent="0.25">
      <c r="A371" t="s">
        <v>5312</v>
      </c>
      <c r="C371" t="s">
        <v>6668</v>
      </c>
    </row>
    <row r="372" spans="1:3" x14ac:dyDescent="0.25">
      <c r="A372" t="s">
        <v>2129</v>
      </c>
      <c r="C372" t="s">
        <v>1665</v>
      </c>
    </row>
    <row r="373" spans="1:3" x14ac:dyDescent="0.25">
      <c r="A373" t="s">
        <v>4856</v>
      </c>
      <c r="C373" t="s">
        <v>1971</v>
      </c>
    </row>
    <row r="374" spans="1:3" x14ac:dyDescent="0.25">
      <c r="A374" t="s">
        <v>4943</v>
      </c>
      <c r="C374" t="s">
        <v>2056</v>
      </c>
    </row>
    <row r="375" spans="1:3" x14ac:dyDescent="0.25">
      <c r="A375" t="s">
        <v>4161</v>
      </c>
      <c r="C375" t="s">
        <v>741</v>
      </c>
    </row>
    <row r="376" spans="1:3" x14ac:dyDescent="0.25">
      <c r="A376" t="s">
        <v>4840</v>
      </c>
      <c r="C376" t="s">
        <v>458</v>
      </c>
    </row>
    <row r="377" spans="1:3" x14ac:dyDescent="0.25">
      <c r="A377" t="s">
        <v>3115</v>
      </c>
      <c r="C377" t="s">
        <v>1140</v>
      </c>
    </row>
    <row r="378" spans="1:3" x14ac:dyDescent="0.25">
      <c r="A378" t="s">
        <v>6627</v>
      </c>
      <c r="C378" t="s">
        <v>4845</v>
      </c>
    </row>
    <row r="379" spans="1:3" x14ac:dyDescent="0.25">
      <c r="A379" t="s">
        <v>5774</v>
      </c>
      <c r="C379" t="s">
        <v>806</v>
      </c>
    </row>
    <row r="380" spans="1:3" x14ac:dyDescent="0.25">
      <c r="A380" t="s">
        <v>3567</v>
      </c>
      <c r="C380" t="s">
        <v>817</v>
      </c>
    </row>
    <row r="381" spans="1:3" x14ac:dyDescent="0.25">
      <c r="A381" t="s">
        <v>2216</v>
      </c>
      <c r="C381" t="s">
        <v>811</v>
      </c>
    </row>
    <row r="382" spans="1:3" x14ac:dyDescent="0.25">
      <c r="A382" t="s">
        <v>976</v>
      </c>
      <c r="C382" t="s">
        <v>814</v>
      </c>
    </row>
    <row r="383" spans="1:3" x14ac:dyDescent="0.25">
      <c r="A383" t="s">
        <v>6296</v>
      </c>
      <c r="C383" t="s">
        <v>3580</v>
      </c>
    </row>
    <row r="384" spans="1:3" x14ac:dyDescent="0.25">
      <c r="A384" t="s">
        <v>1593</v>
      </c>
      <c r="C384" t="s">
        <v>5004</v>
      </c>
    </row>
    <row r="385" spans="1:3" x14ac:dyDescent="0.25">
      <c r="A385" t="s">
        <v>2384</v>
      </c>
      <c r="C385" t="s">
        <v>1559</v>
      </c>
    </row>
    <row r="386" spans="1:3" x14ac:dyDescent="0.25">
      <c r="A386" t="s">
        <v>2776</v>
      </c>
      <c r="C386" t="s">
        <v>2298</v>
      </c>
    </row>
    <row r="387" spans="1:3" x14ac:dyDescent="0.25">
      <c r="A387" t="s">
        <v>3801</v>
      </c>
      <c r="C387" t="s">
        <v>7057</v>
      </c>
    </row>
    <row r="388" spans="1:3" x14ac:dyDescent="0.25">
      <c r="A388" t="s">
        <v>3686</v>
      </c>
      <c r="C388" t="s">
        <v>3123</v>
      </c>
    </row>
    <row r="389" spans="1:3" x14ac:dyDescent="0.25">
      <c r="A389" t="s">
        <v>1723</v>
      </c>
      <c r="C389" t="s">
        <v>3060</v>
      </c>
    </row>
    <row r="390" spans="1:3" x14ac:dyDescent="0.25">
      <c r="A390" t="s">
        <v>120</v>
      </c>
      <c r="C390" t="s">
        <v>2473</v>
      </c>
    </row>
    <row r="391" spans="1:3" x14ac:dyDescent="0.25">
      <c r="A391" t="s">
        <v>2138</v>
      </c>
      <c r="C391" t="s">
        <v>5101</v>
      </c>
    </row>
    <row r="392" spans="1:3" x14ac:dyDescent="0.25">
      <c r="A392" t="s">
        <v>6301</v>
      </c>
      <c r="C392" t="s">
        <v>3330</v>
      </c>
    </row>
    <row r="393" spans="1:3" x14ac:dyDescent="0.25">
      <c r="A393" t="s">
        <v>43</v>
      </c>
      <c r="C393" t="s">
        <v>3163</v>
      </c>
    </row>
    <row r="394" spans="1:3" x14ac:dyDescent="0.25">
      <c r="A394" t="s">
        <v>4131</v>
      </c>
      <c r="C394" t="s">
        <v>3356</v>
      </c>
    </row>
    <row r="395" spans="1:3" x14ac:dyDescent="0.25">
      <c r="A395" t="s">
        <v>6291</v>
      </c>
      <c r="C395" t="s">
        <v>4637</v>
      </c>
    </row>
    <row r="396" spans="1:3" x14ac:dyDescent="0.25">
      <c r="A396" t="s">
        <v>4915</v>
      </c>
      <c r="C396" t="s">
        <v>6706</v>
      </c>
    </row>
    <row r="397" spans="1:3" x14ac:dyDescent="0.25">
      <c r="A397" t="s">
        <v>2331</v>
      </c>
      <c r="C397" t="s">
        <v>3442</v>
      </c>
    </row>
    <row r="398" spans="1:3" x14ac:dyDescent="0.25">
      <c r="A398" t="s">
        <v>5779</v>
      </c>
      <c r="C398" t="s">
        <v>5089</v>
      </c>
    </row>
    <row r="399" spans="1:3" x14ac:dyDescent="0.25">
      <c r="A399" t="s">
        <v>788</v>
      </c>
      <c r="C399" t="s">
        <v>1497</v>
      </c>
    </row>
    <row r="400" spans="1:3" x14ac:dyDescent="0.25">
      <c r="A400" t="s">
        <v>6933</v>
      </c>
      <c r="C400" t="s">
        <v>5295</v>
      </c>
    </row>
    <row r="401" spans="1:3" x14ac:dyDescent="0.25">
      <c r="A401" t="s">
        <v>471</v>
      </c>
      <c r="C401" t="s">
        <v>3717</v>
      </c>
    </row>
    <row r="402" spans="1:3" x14ac:dyDescent="0.25">
      <c r="A402" t="s">
        <v>2208</v>
      </c>
      <c r="C402" t="s">
        <v>5106</v>
      </c>
    </row>
    <row r="403" spans="1:3" x14ac:dyDescent="0.25">
      <c r="A403" t="s">
        <v>3050</v>
      </c>
      <c r="C403" t="s">
        <v>4116</v>
      </c>
    </row>
    <row r="404" spans="1:3" x14ac:dyDescent="0.25">
      <c r="A404" t="s">
        <v>6375</v>
      </c>
      <c r="C404" t="s">
        <v>750</v>
      </c>
    </row>
    <row r="405" spans="1:3" x14ac:dyDescent="0.25">
      <c r="A405" t="s">
        <v>913</v>
      </c>
      <c r="C405" t="s">
        <v>1274</v>
      </c>
    </row>
    <row r="406" spans="1:3" x14ac:dyDescent="0.25">
      <c r="A406" t="s">
        <v>2843</v>
      </c>
      <c r="C406" t="s">
        <v>4156</v>
      </c>
    </row>
    <row r="407" spans="1:3" x14ac:dyDescent="0.25">
      <c r="A407" t="s">
        <v>6287</v>
      </c>
      <c r="C407" t="s">
        <v>7046</v>
      </c>
    </row>
    <row r="408" spans="1:3" x14ac:dyDescent="0.25">
      <c r="A408" t="s">
        <v>1331</v>
      </c>
      <c r="C408" t="s">
        <v>971</v>
      </c>
    </row>
    <row r="409" spans="1:3" x14ac:dyDescent="0.25">
      <c r="A409" t="s">
        <v>6306</v>
      </c>
      <c r="C409" t="s">
        <v>7271</v>
      </c>
    </row>
    <row r="410" spans="1:3" x14ac:dyDescent="0.25">
      <c r="A410" t="s">
        <v>1048</v>
      </c>
      <c r="C410" t="s">
        <v>1569</v>
      </c>
    </row>
    <row r="411" spans="1:3" x14ac:dyDescent="0.25">
      <c r="A411" t="s">
        <v>6277</v>
      </c>
      <c r="C411" t="s">
        <v>4448</v>
      </c>
    </row>
    <row r="412" spans="1:3" x14ac:dyDescent="0.25">
      <c r="A412" t="s">
        <v>6282</v>
      </c>
      <c r="C412" t="s">
        <v>5525</v>
      </c>
    </row>
    <row r="413" spans="1:3" x14ac:dyDescent="0.25">
      <c r="A413" t="s">
        <v>2411</v>
      </c>
      <c r="C413" t="s">
        <v>5615</v>
      </c>
    </row>
    <row r="414" spans="1:3" x14ac:dyDescent="0.25">
      <c r="A414" t="s">
        <v>5901</v>
      </c>
      <c r="C414" t="s">
        <v>5406</v>
      </c>
    </row>
    <row r="415" spans="1:3" x14ac:dyDescent="0.25">
      <c r="A415" t="s">
        <v>6353</v>
      </c>
      <c r="C415" t="s">
        <v>4081</v>
      </c>
    </row>
    <row r="416" spans="1:3" x14ac:dyDescent="0.25">
      <c r="A416" t="s">
        <v>3840</v>
      </c>
      <c r="C416" t="s">
        <v>5795</v>
      </c>
    </row>
    <row r="417" spans="1:3" x14ac:dyDescent="0.25">
      <c r="A417" t="s">
        <v>3706</v>
      </c>
      <c r="C417" t="s">
        <v>4546</v>
      </c>
    </row>
    <row r="418" spans="1:3" x14ac:dyDescent="0.25">
      <c r="A418" t="s">
        <v>631</v>
      </c>
      <c r="C418" t="s">
        <v>2855</v>
      </c>
    </row>
    <row r="419" spans="1:3" x14ac:dyDescent="0.25">
      <c r="A419" t="s">
        <v>6330</v>
      </c>
      <c r="C419" t="s">
        <v>395</v>
      </c>
    </row>
    <row r="420" spans="1:3" x14ac:dyDescent="0.25">
      <c r="A420" t="s">
        <v>4481</v>
      </c>
      <c r="C420" t="s">
        <v>384</v>
      </c>
    </row>
    <row r="421" spans="1:3" x14ac:dyDescent="0.25">
      <c r="A421" t="s">
        <v>6340</v>
      </c>
      <c r="C421" t="s">
        <v>4349</v>
      </c>
    </row>
    <row r="422" spans="1:3" x14ac:dyDescent="0.25">
      <c r="A422" t="s">
        <v>7199</v>
      </c>
      <c r="C422" t="s">
        <v>647</v>
      </c>
    </row>
    <row r="423" spans="1:3" x14ac:dyDescent="0.25">
      <c r="A423" t="s">
        <v>4309</v>
      </c>
      <c r="C423" t="s">
        <v>2722</v>
      </c>
    </row>
    <row r="424" spans="1:3" x14ac:dyDescent="0.25">
      <c r="A424" t="s">
        <v>2164</v>
      </c>
      <c r="C424" t="s">
        <v>657</v>
      </c>
    </row>
    <row r="425" spans="1:3" x14ac:dyDescent="0.25">
      <c r="A425" t="s">
        <v>3093</v>
      </c>
      <c r="C425" t="s">
        <v>994</v>
      </c>
    </row>
    <row r="426" spans="1:3" x14ac:dyDescent="0.25">
      <c r="A426" t="s">
        <v>2468</v>
      </c>
      <c r="C426" t="s">
        <v>4244</v>
      </c>
    </row>
    <row r="427" spans="1:3" x14ac:dyDescent="0.25">
      <c r="A427" t="s">
        <v>7241</v>
      </c>
      <c r="C427" t="s">
        <v>5883</v>
      </c>
    </row>
    <row r="428" spans="1:3" x14ac:dyDescent="0.25">
      <c r="A428" t="s">
        <v>5392</v>
      </c>
      <c r="C428" t="s">
        <v>7010</v>
      </c>
    </row>
    <row r="429" spans="1:3" x14ac:dyDescent="0.25">
      <c r="A429" t="s">
        <v>5058</v>
      </c>
      <c r="C429" t="s">
        <v>5833</v>
      </c>
    </row>
    <row r="430" spans="1:3" x14ac:dyDescent="0.25">
      <c r="A430" t="s">
        <v>3874</v>
      </c>
      <c r="C430" t="s">
        <v>755</v>
      </c>
    </row>
    <row r="431" spans="1:3" x14ac:dyDescent="0.25">
      <c r="A431" t="s">
        <v>6316</v>
      </c>
      <c r="C431" t="s">
        <v>2408</v>
      </c>
    </row>
    <row r="432" spans="1:3" x14ac:dyDescent="0.25">
      <c r="A432" t="s">
        <v>4535</v>
      </c>
      <c r="C432" t="s">
        <v>3477</v>
      </c>
    </row>
    <row r="433" spans="1:3" x14ac:dyDescent="0.25">
      <c r="A433" t="s">
        <v>4090</v>
      </c>
      <c r="C433" t="s">
        <v>6046</v>
      </c>
    </row>
    <row r="434" spans="1:3" x14ac:dyDescent="0.25">
      <c r="A434" t="s">
        <v>4272</v>
      </c>
      <c r="C434" t="s">
        <v>774</v>
      </c>
    </row>
    <row r="435" spans="1:3" x14ac:dyDescent="0.25">
      <c r="A435" t="s">
        <v>6321</v>
      </c>
      <c r="C435" t="s">
        <v>4715</v>
      </c>
    </row>
    <row r="436" spans="1:3" x14ac:dyDescent="0.25">
      <c r="A436" t="s">
        <v>5916</v>
      </c>
      <c r="C436" t="s">
        <v>4614</v>
      </c>
    </row>
    <row r="437" spans="1:3" x14ac:dyDescent="0.25">
      <c r="A437" t="s">
        <v>3127</v>
      </c>
      <c r="C437" t="s">
        <v>4429</v>
      </c>
    </row>
    <row r="438" spans="1:3" x14ac:dyDescent="0.25">
      <c r="A438" t="s">
        <v>3025</v>
      </c>
      <c r="C438" t="s">
        <v>2599</v>
      </c>
    </row>
    <row r="439" spans="1:3" x14ac:dyDescent="0.25">
      <c r="A439" t="s">
        <v>7090</v>
      </c>
      <c r="C439" t="s">
        <v>6831</v>
      </c>
    </row>
    <row r="440" spans="1:3" x14ac:dyDescent="0.25">
      <c r="A440" t="s">
        <v>3419</v>
      </c>
      <c r="C440" t="s">
        <v>3572</v>
      </c>
    </row>
    <row r="441" spans="1:3" x14ac:dyDescent="0.25">
      <c r="A441" t="s">
        <v>1177</v>
      </c>
      <c r="C441" t="s">
        <v>1703</v>
      </c>
    </row>
    <row r="442" spans="1:3" x14ac:dyDescent="0.25">
      <c r="A442" t="s">
        <v>1397</v>
      </c>
      <c r="C442" t="s">
        <v>3264</v>
      </c>
    </row>
    <row r="443" spans="1:3" x14ac:dyDescent="0.25">
      <c r="A443" t="s">
        <v>760</v>
      </c>
      <c r="C443" t="s">
        <v>4953</v>
      </c>
    </row>
    <row r="444" spans="1:3" x14ac:dyDescent="0.25">
      <c r="A444" t="s">
        <v>5252</v>
      </c>
      <c r="C444" t="s">
        <v>5036</v>
      </c>
    </row>
    <row r="445" spans="1:3" x14ac:dyDescent="0.25">
      <c r="A445" t="s">
        <v>673</v>
      </c>
      <c r="C445" t="s">
        <v>2603</v>
      </c>
    </row>
    <row r="446" spans="1:3" x14ac:dyDescent="0.25">
      <c r="A446" t="s">
        <v>101</v>
      </c>
      <c r="C446" t="s">
        <v>769</v>
      </c>
    </row>
    <row r="447" spans="1:3" x14ac:dyDescent="0.25">
      <c r="A447" t="s">
        <v>4097</v>
      </c>
      <c r="C447" t="s">
        <v>5696</v>
      </c>
    </row>
    <row r="448" spans="1:3" x14ac:dyDescent="0.25">
      <c r="A448" t="s">
        <v>3958</v>
      </c>
      <c r="C448" t="s">
        <v>5927</v>
      </c>
    </row>
    <row r="449" spans="1:3" x14ac:dyDescent="0.25">
      <c r="A449" t="s">
        <v>661</v>
      </c>
      <c r="C449" t="s">
        <v>4759</v>
      </c>
    </row>
    <row r="450" spans="1:3" x14ac:dyDescent="0.25">
      <c r="A450" t="s">
        <v>4641</v>
      </c>
      <c r="C450" t="s">
        <v>4601</v>
      </c>
    </row>
    <row r="451" spans="1:3" x14ac:dyDescent="0.25">
      <c r="A451" t="s">
        <v>5723</v>
      </c>
      <c r="C451" t="s">
        <v>6770</v>
      </c>
    </row>
    <row r="452" spans="1:3" x14ac:dyDescent="0.25">
      <c r="A452" t="s">
        <v>301</v>
      </c>
      <c r="C452" t="s">
        <v>6002</v>
      </c>
    </row>
    <row r="453" spans="1:3" x14ac:dyDescent="0.25">
      <c r="A453" t="s">
        <v>881</v>
      </c>
      <c r="C453" t="s">
        <v>5346</v>
      </c>
    </row>
    <row r="454" spans="1:3" x14ac:dyDescent="0.25">
      <c r="A454" t="s">
        <v>2846</v>
      </c>
      <c r="C454" t="s">
        <v>584</v>
      </c>
    </row>
    <row r="455" spans="1:3" x14ac:dyDescent="0.25">
      <c r="A455" t="s">
        <v>1244</v>
      </c>
      <c r="C455" t="s">
        <v>1285</v>
      </c>
    </row>
    <row r="456" spans="1:3" x14ac:dyDescent="0.25">
      <c r="A456" t="s">
        <v>2803</v>
      </c>
      <c r="C456" t="s">
        <v>5048</v>
      </c>
    </row>
    <row r="457" spans="1:3" x14ac:dyDescent="0.25">
      <c r="A457" t="s">
        <v>3246</v>
      </c>
      <c r="C457" t="s">
        <v>5459</v>
      </c>
    </row>
    <row r="458" spans="1:3" x14ac:dyDescent="0.25">
      <c r="A458" t="s">
        <v>1342</v>
      </c>
      <c r="C458" t="s">
        <v>1014</v>
      </c>
    </row>
    <row r="459" spans="1:3" x14ac:dyDescent="0.25">
      <c r="A459" t="s">
        <v>5940</v>
      </c>
      <c r="C459" t="s">
        <v>2478</v>
      </c>
    </row>
    <row r="460" spans="1:3" x14ac:dyDescent="0.25">
      <c r="A460" t="s">
        <v>4444</v>
      </c>
      <c r="C460" t="s">
        <v>3869</v>
      </c>
    </row>
    <row r="461" spans="1:3" x14ac:dyDescent="0.25">
      <c r="A461" t="s">
        <v>2657</v>
      </c>
      <c r="C461" t="s">
        <v>5368</v>
      </c>
    </row>
    <row r="462" spans="1:3" x14ac:dyDescent="0.25">
      <c r="A462" t="s">
        <v>3785</v>
      </c>
      <c r="C462" t="s">
        <v>5496</v>
      </c>
    </row>
    <row r="463" spans="1:3" x14ac:dyDescent="0.25">
      <c r="A463" t="s">
        <v>6349</v>
      </c>
      <c r="C463" t="s">
        <v>5640</v>
      </c>
    </row>
    <row r="464" spans="1:3" x14ac:dyDescent="0.25">
      <c r="A464" t="s">
        <v>6344</v>
      </c>
      <c r="C464" t="s">
        <v>6825</v>
      </c>
    </row>
    <row r="465" spans="1:3" x14ac:dyDescent="0.25">
      <c r="A465" t="s">
        <v>7036</v>
      </c>
      <c r="C465" t="s">
        <v>5119</v>
      </c>
    </row>
    <row r="466" spans="1:3" x14ac:dyDescent="0.25">
      <c r="A466" t="s">
        <v>1891</v>
      </c>
      <c r="C466" t="s">
        <v>5507</v>
      </c>
    </row>
    <row r="467" spans="1:3" x14ac:dyDescent="0.25">
      <c r="A467" t="s">
        <v>5749</v>
      </c>
      <c r="C467" t="s">
        <v>4066</v>
      </c>
    </row>
    <row r="468" spans="1:3" x14ac:dyDescent="0.25">
      <c r="A468" t="s">
        <v>3320</v>
      </c>
      <c r="C468" t="s">
        <v>2367</v>
      </c>
    </row>
    <row r="469" spans="1:3" x14ac:dyDescent="0.25">
      <c r="A469" t="s">
        <v>2188</v>
      </c>
      <c r="C469" t="s">
        <v>5842</v>
      </c>
    </row>
    <row r="470" spans="1:3" x14ac:dyDescent="0.25">
      <c r="A470" t="s">
        <v>3251</v>
      </c>
      <c r="C470" t="s">
        <v>5945</v>
      </c>
    </row>
    <row r="471" spans="1:3" x14ac:dyDescent="0.25">
      <c r="A471" t="s">
        <v>6361</v>
      </c>
      <c r="C471" t="s">
        <v>2266</v>
      </c>
    </row>
    <row r="472" spans="1:3" x14ac:dyDescent="0.25">
      <c r="A472" t="s">
        <v>3439</v>
      </c>
      <c r="C472" t="s">
        <v>5020</v>
      </c>
    </row>
    <row r="473" spans="1:3" x14ac:dyDescent="0.25">
      <c r="A473" t="s">
        <v>1522</v>
      </c>
      <c r="C473" t="s">
        <v>1859</v>
      </c>
    </row>
    <row r="474" spans="1:3" x14ac:dyDescent="0.25">
      <c r="A474" t="s">
        <v>5600</v>
      </c>
      <c r="C474" t="s">
        <v>3365</v>
      </c>
    </row>
    <row r="475" spans="1:3" x14ac:dyDescent="0.25">
      <c r="A475" t="s">
        <v>2554</v>
      </c>
      <c r="C475" t="s">
        <v>5554</v>
      </c>
    </row>
    <row r="476" spans="1:3" x14ac:dyDescent="0.25">
      <c r="A476" t="s">
        <v>3000</v>
      </c>
      <c r="C476" t="s">
        <v>5185</v>
      </c>
    </row>
    <row r="477" spans="1:3" x14ac:dyDescent="0.25">
      <c r="A477" t="s">
        <v>3004</v>
      </c>
      <c r="C477" t="s">
        <v>5911</v>
      </c>
    </row>
    <row r="478" spans="1:3" x14ac:dyDescent="0.25">
      <c r="A478" t="s">
        <v>1383</v>
      </c>
      <c r="C478" t="s">
        <v>5510</v>
      </c>
    </row>
    <row r="479" spans="1:3" x14ac:dyDescent="0.25">
      <c r="A479" t="s">
        <v>7062</v>
      </c>
      <c r="C479" t="s">
        <v>2926</v>
      </c>
    </row>
    <row r="480" spans="1:3" x14ac:dyDescent="0.25">
      <c r="A480" t="s">
        <v>1037</v>
      </c>
      <c r="C480" t="s">
        <v>4622</v>
      </c>
    </row>
    <row r="481" spans="1:3" x14ac:dyDescent="0.25">
      <c r="A481" t="s">
        <v>7026</v>
      </c>
      <c r="C481" t="s">
        <v>6812</v>
      </c>
    </row>
    <row r="482" spans="1:3" x14ac:dyDescent="0.25">
      <c r="A482" t="s">
        <v>746</v>
      </c>
      <c r="C482" t="s">
        <v>2798</v>
      </c>
    </row>
    <row r="483" spans="1:3" x14ac:dyDescent="0.25">
      <c r="A483" t="s">
        <v>1374</v>
      </c>
      <c r="C483" t="s">
        <v>1757</v>
      </c>
    </row>
    <row r="484" spans="1:3" x14ac:dyDescent="0.25">
      <c r="A484" t="s">
        <v>2308</v>
      </c>
      <c r="C484" t="s">
        <v>5201</v>
      </c>
    </row>
    <row r="485" spans="1:3" x14ac:dyDescent="0.25">
      <c r="A485" t="s">
        <v>5357</v>
      </c>
      <c r="C485" t="s">
        <v>2083</v>
      </c>
    </row>
    <row r="486" spans="1:3" x14ac:dyDescent="0.25">
      <c r="A486" t="s">
        <v>2003</v>
      </c>
      <c r="C486" t="s">
        <v>1811</v>
      </c>
    </row>
    <row r="487" spans="1:3" x14ac:dyDescent="0.25">
      <c r="A487" t="s">
        <v>6383</v>
      </c>
      <c r="C487" t="s">
        <v>3429</v>
      </c>
    </row>
    <row r="488" spans="1:3" x14ac:dyDescent="0.25">
      <c r="A488" t="s">
        <v>5950</v>
      </c>
      <c r="C488" t="s">
        <v>1843</v>
      </c>
    </row>
    <row r="489" spans="1:3" x14ac:dyDescent="0.25">
      <c r="A489" t="s">
        <v>841</v>
      </c>
      <c r="C489" t="s">
        <v>2341</v>
      </c>
    </row>
    <row r="490" spans="1:3" x14ac:dyDescent="0.25">
      <c r="A490" t="s">
        <v>6040</v>
      </c>
      <c r="C490" t="s">
        <v>1578</v>
      </c>
    </row>
    <row r="491" spans="1:3" x14ac:dyDescent="0.25">
      <c r="A491" t="s">
        <v>6311</v>
      </c>
      <c r="C491" t="s">
        <v>1706</v>
      </c>
    </row>
    <row r="492" spans="1:3" x14ac:dyDescent="0.25">
      <c r="A492" t="s">
        <v>1301</v>
      </c>
      <c r="C492" t="s">
        <v>571</v>
      </c>
    </row>
    <row r="493" spans="1:3" x14ac:dyDescent="0.25">
      <c r="A493" t="s">
        <v>4662</v>
      </c>
      <c r="C493" t="s">
        <v>6821</v>
      </c>
    </row>
    <row r="494" spans="1:3" x14ac:dyDescent="0.25">
      <c r="A494" t="s">
        <v>1732</v>
      </c>
      <c r="C494" t="s">
        <v>6797</v>
      </c>
    </row>
    <row r="495" spans="1:3" x14ac:dyDescent="0.25">
      <c r="A495" t="s">
        <v>6413</v>
      </c>
      <c r="C495" t="s">
        <v>2510</v>
      </c>
    </row>
    <row r="496" spans="1:3" x14ac:dyDescent="0.25">
      <c r="A496" t="s">
        <v>1688</v>
      </c>
      <c r="C496" t="s">
        <v>2624</v>
      </c>
    </row>
    <row r="497" spans="1:3" x14ac:dyDescent="0.25">
      <c r="A497" t="s">
        <v>6393</v>
      </c>
      <c r="C497" t="s">
        <v>1131</v>
      </c>
    </row>
    <row r="498" spans="1:3" x14ac:dyDescent="0.25">
      <c r="A498" t="s">
        <v>1460</v>
      </c>
      <c r="C498" t="s">
        <v>4666</v>
      </c>
    </row>
    <row r="499" spans="1:3" x14ac:dyDescent="0.25">
      <c r="A499" t="s">
        <v>7005</v>
      </c>
      <c r="C499" t="s">
        <v>4390</v>
      </c>
    </row>
    <row r="500" spans="1:3" x14ac:dyDescent="0.25">
      <c r="A500" t="s">
        <v>3074</v>
      </c>
      <c r="C500" t="s">
        <v>6751</v>
      </c>
    </row>
    <row r="501" spans="1:3" x14ac:dyDescent="0.25">
      <c r="A501" t="s">
        <v>2968</v>
      </c>
      <c r="C501" t="s">
        <v>3743</v>
      </c>
    </row>
    <row r="502" spans="1:3" x14ac:dyDescent="0.25">
      <c r="A502" t="s">
        <v>3284</v>
      </c>
      <c r="C502" t="s">
        <v>6806</v>
      </c>
    </row>
    <row r="503" spans="1:3" x14ac:dyDescent="0.25">
      <c r="A503" t="s">
        <v>2438</v>
      </c>
      <c r="C503" t="s">
        <v>2829</v>
      </c>
    </row>
    <row r="504" spans="1:3" x14ac:dyDescent="0.25">
      <c r="A504" t="s">
        <v>4930</v>
      </c>
      <c r="C504" t="s">
        <v>3737</v>
      </c>
    </row>
    <row r="505" spans="1:3" x14ac:dyDescent="0.25">
      <c r="A505" t="s">
        <v>453</v>
      </c>
      <c r="C505" t="s">
        <v>2221</v>
      </c>
    </row>
    <row r="506" spans="1:3" x14ac:dyDescent="0.25">
      <c r="A506" t="s">
        <v>724</v>
      </c>
      <c r="C506" t="s">
        <v>2913</v>
      </c>
    </row>
    <row r="507" spans="1:3" x14ac:dyDescent="0.25">
      <c r="A507" t="s">
        <v>3703</v>
      </c>
      <c r="C507" t="s">
        <v>2281</v>
      </c>
    </row>
    <row r="508" spans="1:3" x14ac:dyDescent="0.25">
      <c r="A508" t="s">
        <v>4463</v>
      </c>
      <c r="C508" t="s">
        <v>4925</v>
      </c>
    </row>
    <row r="509" spans="1:3" x14ac:dyDescent="0.25">
      <c r="A509" t="s">
        <v>5410</v>
      </c>
      <c r="C509" t="s">
        <v>4190</v>
      </c>
    </row>
    <row r="510" spans="1:3" x14ac:dyDescent="0.25">
      <c r="A510" t="s">
        <v>1403</v>
      </c>
      <c r="C510" t="s">
        <v>4230</v>
      </c>
    </row>
    <row r="511" spans="1:3" x14ac:dyDescent="0.25">
      <c r="A511" t="s">
        <v>7111</v>
      </c>
      <c r="C511" t="s">
        <v>4209</v>
      </c>
    </row>
    <row r="512" spans="1:3" x14ac:dyDescent="0.25">
      <c r="A512" t="s">
        <v>4867</v>
      </c>
      <c r="C512" t="s">
        <v>2868</v>
      </c>
    </row>
    <row r="513" spans="1:3" x14ac:dyDescent="0.25">
      <c r="A513" t="s">
        <v>5382</v>
      </c>
      <c r="C513" t="s">
        <v>6556</v>
      </c>
    </row>
    <row r="514" spans="1:3" x14ac:dyDescent="0.25">
      <c r="A514" t="s">
        <v>1194</v>
      </c>
      <c r="C514" t="s">
        <v>6854</v>
      </c>
    </row>
    <row r="515" spans="1:3" x14ac:dyDescent="0.25">
      <c r="A515" t="s">
        <v>3766</v>
      </c>
      <c r="C515" t="s">
        <v>7126</v>
      </c>
    </row>
    <row r="516" spans="1:3" x14ac:dyDescent="0.25">
      <c r="A516" t="s">
        <v>6398</v>
      </c>
      <c r="C516" t="s">
        <v>714</v>
      </c>
    </row>
    <row r="517" spans="1:3" x14ac:dyDescent="0.25">
      <c r="A517" t="s">
        <v>735</v>
      </c>
      <c r="C517" t="s">
        <v>7276</v>
      </c>
    </row>
    <row r="518" spans="1:3" x14ac:dyDescent="0.25">
      <c r="A518" t="s">
        <v>4938</v>
      </c>
      <c r="C518" t="s">
        <v>3448</v>
      </c>
    </row>
    <row r="519" spans="1:3" x14ac:dyDescent="0.25">
      <c r="A519" t="s">
        <v>560</v>
      </c>
      <c r="C519" t="s">
        <v>2660</v>
      </c>
    </row>
    <row r="520" spans="1:3" x14ac:dyDescent="0.25">
      <c r="A520" t="s">
        <v>3820</v>
      </c>
      <c r="C520" t="s">
        <v>6816</v>
      </c>
    </row>
    <row r="521" spans="1:3" x14ac:dyDescent="0.25">
      <c r="A521" t="s">
        <v>3824</v>
      </c>
      <c r="C521" t="s">
        <v>5669</v>
      </c>
    </row>
    <row r="522" spans="1:3" x14ac:dyDescent="0.25">
      <c r="A522" t="s">
        <v>4958</v>
      </c>
      <c r="C522" t="s">
        <v>72</v>
      </c>
    </row>
    <row r="523" spans="1:3" x14ac:dyDescent="0.25">
      <c r="A523" t="s">
        <v>4301</v>
      </c>
      <c r="C523" t="s">
        <v>5579</v>
      </c>
    </row>
    <row r="524" spans="1:3" x14ac:dyDescent="0.25">
      <c r="A524" t="s">
        <v>4786</v>
      </c>
      <c r="C524" t="s">
        <v>696</v>
      </c>
    </row>
    <row r="525" spans="1:3" x14ac:dyDescent="0.25">
      <c r="A525" t="s">
        <v>2086</v>
      </c>
      <c r="C525" t="s">
        <v>5180</v>
      </c>
    </row>
    <row r="526" spans="1:3" x14ac:dyDescent="0.25">
      <c r="A526" t="s">
        <v>313</v>
      </c>
      <c r="C526" t="s">
        <v>680</v>
      </c>
    </row>
    <row r="527" spans="1:3" x14ac:dyDescent="0.25">
      <c r="A527" t="s">
        <v>2922</v>
      </c>
      <c r="C527" t="s">
        <v>7131</v>
      </c>
    </row>
    <row r="528" spans="1:3" x14ac:dyDescent="0.25">
      <c r="A528" t="s">
        <v>2358</v>
      </c>
      <c r="C528" t="s">
        <v>6782</v>
      </c>
    </row>
    <row r="529" spans="1:3" x14ac:dyDescent="0.25">
      <c r="A529" t="s">
        <v>2563</v>
      </c>
      <c r="C529" t="s">
        <v>2458</v>
      </c>
    </row>
    <row r="530" spans="1:3" x14ac:dyDescent="0.25">
      <c r="A530" t="s">
        <v>4877</v>
      </c>
      <c r="C530" t="s">
        <v>1914</v>
      </c>
    </row>
    <row r="531" spans="1:3" x14ac:dyDescent="0.25">
      <c r="A531" t="s">
        <v>5596</v>
      </c>
      <c r="C531" t="s">
        <v>2371</v>
      </c>
    </row>
    <row r="532" spans="1:3" x14ac:dyDescent="0.25">
      <c r="A532" t="s">
        <v>3691</v>
      </c>
      <c r="C532" t="s">
        <v>4698</v>
      </c>
    </row>
    <row r="533" spans="1:3" x14ac:dyDescent="0.25">
      <c r="A533" t="s">
        <v>2705</v>
      </c>
      <c r="C533" t="s">
        <v>1887</v>
      </c>
    </row>
    <row r="534" spans="1:3" x14ac:dyDescent="0.25">
      <c r="A534" t="s">
        <v>6435</v>
      </c>
      <c r="C534" t="s">
        <v>185</v>
      </c>
    </row>
    <row r="535" spans="1:3" x14ac:dyDescent="0.25">
      <c r="A535" t="s">
        <v>877</v>
      </c>
      <c r="C535" t="s">
        <v>2014</v>
      </c>
    </row>
    <row r="536" spans="1:3" x14ac:dyDescent="0.25">
      <c r="A536" t="s">
        <v>2072</v>
      </c>
      <c r="C536" t="s">
        <v>1693</v>
      </c>
    </row>
    <row r="537" spans="1:3" x14ac:dyDescent="0.25">
      <c r="A537" t="s">
        <v>1798</v>
      </c>
      <c r="C537" t="s">
        <v>6774</v>
      </c>
    </row>
    <row r="538" spans="1:3" x14ac:dyDescent="0.25">
      <c r="A538" t="s">
        <v>5239</v>
      </c>
      <c r="C538" t="s">
        <v>6991</v>
      </c>
    </row>
    <row r="539" spans="1:3" x14ac:dyDescent="0.25">
      <c r="A539" t="s">
        <v>4440</v>
      </c>
      <c r="C539" t="s">
        <v>1135</v>
      </c>
    </row>
    <row r="540" spans="1:3" x14ac:dyDescent="0.25">
      <c r="A540" t="s">
        <v>1807</v>
      </c>
      <c r="C540" t="s">
        <v>795</v>
      </c>
    </row>
    <row r="541" spans="1:3" x14ac:dyDescent="0.25">
      <c r="A541" t="s">
        <v>5388</v>
      </c>
      <c r="C541" t="s">
        <v>4074</v>
      </c>
    </row>
    <row r="542" spans="1:3" x14ac:dyDescent="0.25">
      <c r="A542" t="s">
        <v>1483</v>
      </c>
      <c r="C542" t="s">
        <v>6846</v>
      </c>
    </row>
    <row r="543" spans="1:3" x14ac:dyDescent="0.25">
      <c r="A543" t="s">
        <v>4557</v>
      </c>
      <c r="C543" t="s">
        <v>4731</v>
      </c>
    </row>
    <row r="544" spans="1:3" x14ac:dyDescent="0.25">
      <c r="A544" t="s">
        <v>3406</v>
      </c>
      <c r="C544" t="s">
        <v>5146</v>
      </c>
    </row>
    <row r="545" spans="1:3" x14ac:dyDescent="0.25">
      <c r="A545" t="s">
        <v>1653</v>
      </c>
      <c r="C545" t="s">
        <v>1289</v>
      </c>
    </row>
    <row r="546" spans="1:3" x14ac:dyDescent="0.25">
      <c r="A546" t="s">
        <v>1648</v>
      </c>
      <c r="C546" t="s">
        <v>416</v>
      </c>
    </row>
    <row r="547" spans="1:3" x14ac:dyDescent="0.25">
      <c r="A547" t="s">
        <v>4736</v>
      </c>
      <c r="C547" t="s">
        <v>611</v>
      </c>
    </row>
    <row r="548" spans="1:3" x14ac:dyDescent="0.25">
      <c r="A548" t="s">
        <v>2134</v>
      </c>
      <c r="C548" t="s">
        <v>3562</v>
      </c>
    </row>
    <row r="549" spans="1:3" x14ac:dyDescent="0.25">
      <c r="A549" t="s">
        <v>3676</v>
      </c>
      <c r="C549" t="s">
        <v>6967</v>
      </c>
    </row>
    <row r="550" spans="1:3" x14ac:dyDescent="0.25">
      <c r="A550" t="s">
        <v>2753</v>
      </c>
      <c r="C550" t="s">
        <v>5009</v>
      </c>
    </row>
    <row r="551" spans="1:3" x14ac:dyDescent="0.25">
      <c r="A551" t="s">
        <v>1028</v>
      </c>
      <c r="C551" t="s">
        <v>2684</v>
      </c>
    </row>
    <row r="552" spans="1:3" x14ac:dyDescent="0.25">
      <c r="A552" t="s">
        <v>701</v>
      </c>
      <c r="C552" t="s">
        <v>3512</v>
      </c>
    </row>
    <row r="553" spans="1:3" x14ac:dyDescent="0.25">
      <c r="A553" t="s">
        <v>4905</v>
      </c>
      <c r="C553" t="s">
        <v>1110</v>
      </c>
    </row>
    <row r="554" spans="1:3" x14ac:dyDescent="0.25">
      <c r="A554" t="s">
        <v>1719</v>
      </c>
      <c r="C554" t="s">
        <v>6711</v>
      </c>
    </row>
    <row r="555" spans="1:3" x14ac:dyDescent="0.25">
      <c r="A555" t="s">
        <v>4818</v>
      </c>
      <c r="C555" t="s">
        <v>104</v>
      </c>
    </row>
    <row r="556" spans="1:3" x14ac:dyDescent="0.25">
      <c r="A556" t="s">
        <v>7256</v>
      </c>
      <c r="C556" t="s">
        <v>37</v>
      </c>
    </row>
    <row r="557" spans="1:3" x14ac:dyDescent="0.25">
      <c r="A557" t="s">
        <v>1669</v>
      </c>
      <c r="C557" t="s">
        <v>5439</v>
      </c>
    </row>
    <row r="558" spans="1:3" x14ac:dyDescent="0.25">
      <c r="A558" t="s">
        <v>524</v>
      </c>
      <c r="C558" t="s">
        <v>4782</v>
      </c>
    </row>
    <row r="559" spans="1:3" x14ac:dyDescent="0.25">
      <c r="A559" t="s">
        <v>2578</v>
      </c>
      <c r="C559" t="s">
        <v>5475</v>
      </c>
    </row>
    <row r="560" spans="1:3" x14ac:dyDescent="0.25">
      <c r="A560" t="s">
        <v>2336</v>
      </c>
      <c r="C560" t="s">
        <v>6901</v>
      </c>
    </row>
    <row r="561" spans="1:3" x14ac:dyDescent="0.25">
      <c r="A561" t="s">
        <v>4152</v>
      </c>
      <c r="C561" t="s">
        <v>4337</v>
      </c>
    </row>
    <row r="562" spans="1:3" x14ac:dyDescent="0.25">
      <c r="A562" t="s">
        <v>6402</v>
      </c>
      <c r="C562" t="s">
        <v>2733</v>
      </c>
    </row>
    <row r="563" spans="1:3" x14ac:dyDescent="0.25">
      <c r="A563" t="s">
        <v>3894</v>
      </c>
      <c r="C563" t="s">
        <v>2771</v>
      </c>
    </row>
    <row r="564" spans="1:3" x14ac:dyDescent="0.25">
      <c r="A564" t="s">
        <v>3748</v>
      </c>
      <c r="C564" t="s">
        <v>133</v>
      </c>
    </row>
    <row r="565" spans="1:3" x14ac:dyDescent="0.25">
      <c r="A565" t="s">
        <v>1815</v>
      </c>
      <c r="C565" t="s">
        <v>4634</v>
      </c>
    </row>
    <row r="566" spans="1:3" x14ac:dyDescent="0.25">
      <c r="A566" t="s">
        <v>3722</v>
      </c>
      <c r="C566" t="s">
        <v>3559</v>
      </c>
    </row>
    <row r="567" spans="1:3" x14ac:dyDescent="0.25">
      <c r="A567" t="s">
        <v>4087</v>
      </c>
      <c r="C567" t="s">
        <v>1824</v>
      </c>
    </row>
    <row r="568" spans="1:3" x14ac:dyDescent="0.25">
      <c r="A568" t="s">
        <v>5659</v>
      </c>
      <c r="C568" t="s">
        <v>5273</v>
      </c>
    </row>
    <row r="569" spans="1:3" x14ac:dyDescent="0.25">
      <c r="A569" t="s">
        <v>6015</v>
      </c>
      <c r="C569" t="s">
        <v>6873</v>
      </c>
    </row>
    <row r="570" spans="1:3" x14ac:dyDescent="0.25">
      <c r="A570" t="s">
        <v>4472</v>
      </c>
      <c r="C570" t="s">
        <v>6859</v>
      </c>
    </row>
    <row r="571" spans="1:3" x14ac:dyDescent="0.25">
      <c r="A571" t="s">
        <v>7000</v>
      </c>
      <c r="C571" t="s">
        <v>3045</v>
      </c>
    </row>
    <row r="572" spans="1:3" x14ac:dyDescent="0.25">
      <c r="A572" t="s">
        <v>5114</v>
      </c>
      <c r="C572" t="s">
        <v>2851</v>
      </c>
    </row>
    <row r="573" spans="1:3" x14ac:dyDescent="0.25">
      <c r="A573" t="s">
        <v>2526</v>
      </c>
      <c r="C573" t="s">
        <v>6244</v>
      </c>
    </row>
    <row r="574" spans="1:3" x14ac:dyDescent="0.25">
      <c r="A574" t="s">
        <v>923</v>
      </c>
      <c r="C574" t="s">
        <v>5304</v>
      </c>
    </row>
    <row r="575" spans="1:3" x14ac:dyDescent="0.25">
      <c r="A575" t="s">
        <v>4618</v>
      </c>
      <c r="C575" t="s">
        <v>4775</v>
      </c>
    </row>
    <row r="576" spans="1:3" x14ac:dyDescent="0.25">
      <c r="A576" t="s">
        <v>4136</v>
      </c>
      <c r="C576" t="s">
        <v>6787</v>
      </c>
    </row>
    <row r="577" spans="1:3" x14ac:dyDescent="0.25">
      <c r="A577" t="s">
        <v>146</v>
      </c>
      <c r="C577" t="s">
        <v>1425</v>
      </c>
    </row>
    <row r="578" spans="1:3" x14ac:dyDescent="0.25">
      <c r="A578" t="s">
        <v>3487</v>
      </c>
      <c r="C578" t="s">
        <v>78</v>
      </c>
    </row>
    <row r="579" spans="1:3" x14ac:dyDescent="0.25">
      <c r="A579" t="s">
        <v>5255</v>
      </c>
      <c r="C579" t="s">
        <v>2452</v>
      </c>
    </row>
    <row r="580" spans="1:3" x14ac:dyDescent="0.25">
      <c r="A580" t="s">
        <v>5713</v>
      </c>
      <c r="C580" t="s">
        <v>6792</v>
      </c>
    </row>
    <row r="581" spans="1:3" x14ac:dyDescent="0.25">
      <c r="A581" t="s">
        <v>115</v>
      </c>
      <c r="C581" t="s">
        <v>6418</v>
      </c>
    </row>
    <row r="582" spans="1:3" x14ac:dyDescent="0.25">
      <c r="A582" t="s">
        <v>3949</v>
      </c>
      <c r="C582" t="s">
        <v>6068</v>
      </c>
    </row>
    <row r="583" spans="1:3" x14ac:dyDescent="0.25">
      <c r="A583" t="s">
        <v>3500</v>
      </c>
      <c r="C583" t="s">
        <v>5588</v>
      </c>
    </row>
    <row r="584" spans="1:3" x14ac:dyDescent="0.25">
      <c r="A584" t="s">
        <v>426</v>
      </c>
      <c r="C584" t="s">
        <v>6474</v>
      </c>
    </row>
    <row r="585" spans="1:3" x14ac:dyDescent="0.25">
      <c r="A585" t="s">
        <v>4453</v>
      </c>
      <c r="C585" t="s">
        <v>4363</v>
      </c>
    </row>
    <row r="586" spans="1:3" x14ac:dyDescent="0.25">
      <c r="A586" t="s">
        <v>196</v>
      </c>
      <c r="C586" t="s">
        <v>4174</v>
      </c>
    </row>
    <row r="587" spans="1:3" x14ac:dyDescent="0.25">
      <c r="A587" t="s">
        <v>2961</v>
      </c>
      <c r="C587" t="s">
        <v>1200</v>
      </c>
    </row>
    <row r="588" spans="1:3" x14ac:dyDescent="0.25">
      <c r="A588" t="s">
        <v>2069</v>
      </c>
      <c r="C588" t="s">
        <v>379</v>
      </c>
    </row>
    <row r="589" spans="1:3" x14ac:dyDescent="0.25">
      <c r="A589" t="s">
        <v>3732</v>
      </c>
      <c r="C589" t="s">
        <v>4019</v>
      </c>
    </row>
    <row r="590" spans="1:3" x14ac:dyDescent="0.25">
      <c r="A590" t="s">
        <v>1518</v>
      </c>
      <c r="C590" t="s">
        <v>222</v>
      </c>
    </row>
    <row r="591" spans="1:3" x14ac:dyDescent="0.25">
      <c r="A591" t="s">
        <v>3034</v>
      </c>
      <c r="C591" t="s">
        <v>625</v>
      </c>
    </row>
    <row r="592" spans="1:3" x14ac:dyDescent="0.25">
      <c r="A592" t="s">
        <v>965</v>
      </c>
      <c r="C592" t="s">
        <v>6201</v>
      </c>
    </row>
    <row r="593" spans="1:3" x14ac:dyDescent="0.25">
      <c r="A593" t="s">
        <v>1512</v>
      </c>
      <c r="C593" t="s">
        <v>1209</v>
      </c>
    </row>
    <row r="594" spans="1:3" x14ac:dyDescent="0.25">
      <c r="A594" t="s">
        <v>475</v>
      </c>
      <c r="C594" t="s">
        <v>6868</v>
      </c>
    </row>
    <row r="595" spans="1:3" x14ac:dyDescent="0.25">
      <c r="A595" t="s">
        <v>6407</v>
      </c>
      <c r="C595" t="s">
        <v>2380</v>
      </c>
    </row>
    <row r="596" spans="1:3" x14ac:dyDescent="0.25">
      <c r="A596" t="s">
        <v>2226</v>
      </c>
      <c r="C596" t="s">
        <v>151</v>
      </c>
    </row>
    <row r="597" spans="1:3" x14ac:dyDescent="0.25">
      <c r="A597" t="s">
        <v>5354</v>
      </c>
      <c r="C597" t="s">
        <v>3813</v>
      </c>
    </row>
    <row r="598" spans="1:3" x14ac:dyDescent="0.25">
      <c r="A598" t="s">
        <v>7021</v>
      </c>
      <c r="C598" t="s">
        <v>3522</v>
      </c>
    </row>
    <row r="599" spans="1:3" x14ac:dyDescent="0.25">
      <c r="A599" t="s">
        <v>2387</v>
      </c>
      <c r="C599" t="s">
        <v>2558</v>
      </c>
    </row>
    <row r="600" spans="1:3" x14ac:dyDescent="0.25">
      <c r="A600" t="s">
        <v>1864</v>
      </c>
      <c r="C600" t="s">
        <v>896</v>
      </c>
    </row>
    <row r="601" spans="1:3" x14ac:dyDescent="0.25">
      <c r="A601" t="s">
        <v>7185</v>
      </c>
      <c r="C601" t="s">
        <v>3462</v>
      </c>
    </row>
    <row r="602" spans="1:3" x14ac:dyDescent="0.25">
      <c r="A602" t="s">
        <v>2009</v>
      </c>
      <c r="C602" t="s">
        <v>4395</v>
      </c>
    </row>
    <row r="603" spans="1:3" x14ac:dyDescent="0.25">
      <c r="A603" t="s">
        <v>2443</v>
      </c>
      <c r="C603" t="s">
        <v>6892</v>
      </c>
    </row>
    <row r="604" spans="1:3" x14ac:dyDescent="0.25">
      <c r="A604" t="s">
        <v>6260</v>
      </c>
      <c r="C604" t="s">
        <v>6878</v>
      </c>
    </row>
    <row r="605" spans="1:3" x14ac:dyDescent="0.25">
      <c r="A605" t="s">
        <v>4382</v>
      </c>
      <c r="C605" t="s">
        <v>4404</v>
      </c>
    </row>
    <row r="606" spans="1:3" x14ac:dyDescent="0.25">
      <c r="A606" t="s">
        <v>3391</v>
      </c>
      <c r="C606" t="s">
        <v>5279</v>
      </c>
    </row>
    <row r="607" spans="1:3" x14ac:dyDescent="0.25">
      <c r="A607" t="s">
        <v>918</v>
      </c>
      <c r="C607" t="s">
        <v>6981</v>
      </c>
    </row>
    <row r="608" spans="1:3" x14ac:dyDescent="0.25">
      <c r="A608" t="s">
        <v>6106</v>
      </c>
      <c r="C608" t="s">
        <v>5547</v>
      </c>
    </row>
    <row r="609" spans="1:3" x14ac:dyDescent="0.25">
      <c r="A609" t="s">
        <v>4501</v>
      </c>
      <c r="C609" t="s">
        <v>5804</v>
      </c>
    </row>
    <row r="610" spans="1:3" x14ac:dyDescent="0.25">
      <c r="A610" t="s">
        <v>1055</v>
      </c>
      <c r="C610" t="s">
        <v>6888</v>
      </c>
    </row>
    <row r="611" spans="1:3" x14ac:dyDescent="0.25">
      <c r="A611" t="s">
        <v>2716</v>
      </c>
      <c r="C611" t="s">
        <v>6864</v>
      </c>
    </row>
    <row r="612" spans="1:3" x14ac:dyDescent="0.25">
      <c r="A612" t="s">
        <v>6423</v>
      </c>
      <c r="C612" t="s">
        <v>2303</v>
      </c>
    </row>
    <row r="613" spans="1:3" x14ac:dyDescent="0.25">
      <c r="A613" t="s">
        <v>5078</v>
      </c>
      <c r="C613" t="s">
        <v>5999</v>
      </c>
    </row>
    <row r="614" spans="1:3" x14ac:dyDescent="0.25">
      <c r="A614" t="s">
        <v>6428</v>
      </c>
      <c r="C614" t="s">
        <v>3889</v>
      </c>
    </row>
    <row r="615" spans="1:3" x14ac:dyDescent="0.25">
      <c r="A615" t="s">
        <v>2643</v>
      </c>
      <c r="C615" t="s">
        <v>7081</v>
      </c>
    </row>
    <row r="616" spans="1:3" x14ac:dyDescent="0.25">
      <c r="A616" t="s">
        <v>3780</v>
      </c>
      <c r="C616" t="s">
        <v>2521</v>
      </c>
    </row>
    <row r="617" spans="1:3" x14ac:dyDescent="0.25">
      <c r="A617" t="s">
        <v>3135</v>
      </c>
      <c r="C617" t="s">
        <v>3423</v>
      </c>
    </row>
    <row r="618" spans="1:3" x14ac:dyDescent="0.25">
      <c r="A618" t="s">
        <v>5729</v>
      </c>
      <c r="C618" t="s">
        <v>999</v>
      </c>
    </row>
    <row r="619" spans="1:3" x14ac:dyDescent="0.25">
      <c r="A619" t="s">
        <v>5516</v>
      </c>
      <c r="C619" t="s">
        <v>1098</v>
      </c>
    </row>
    <row r="620" spans="1:3" x14ac:dyDescent="0.25">
      <c r="A620" t="s">
        <v>5643</v>
      </c>
      <c r="C620" t="s">
        <v>5413</v>
      </c>
    </row>
    <row r="621" spans="1:3" x14ac:dyDescent="0.25">
      <c r="A621" t="s">
        <v>2345</v>
      </c>
      <c r="C621" t="s">
        <v>5014</v>
      </c>
    </row>
    <row r="622" spans="1:3" x14ac:dyDescent="0.25">
      <c r="A622" t="s">
        <v>5906</v>
      </c>
      <c r="C622" t="s">
        <v>4524</v>
      </c>
    </row>
    <row r="623" spans="1:3" x14ac:dyDescent="0.25">
      <c r="A623" t="s">
        <v>685</v>
      </c>
      <c r="C623" t="s">
        <v>3208</v>
      </c>
    </row>
    <row r="624" spans="1:3" x14ac:dyDescent="0.25">
      <c r="A624" t="s">
        <v>1311</v>
      </c>
      <c r="C624" t="s">
        <v>276</v>
      </c>
    </row>
    <row r="625" spans="1:3" x14ac:dyDescent="0.25">
      <c r="A625" t="s">
        <v>6986</v>
      </c>
      <c r="C625" t="s">
        <v>5872</v>
      </c>
    </row>
    <row r="626" spans="1:3" x14ac:dyDescent="0.25">
      <c r="A626" t="s">
        <v>3641</v>
      </c>
      <c r="C626" t="s">
        <v>3396</v>
      </c>
    </row>
    <row r="627" spans="1:3" x14ac:dyDescent="0.25">
      <c r="A627" t="s">
        <v>4165</v>
      </c>
      <c r="C627" t="s">
        <v>5931</v>
      </c>
    </row>
    <row r="628" spans="1:3" x14ac:dyDescent="0.25">
      <c r="A628" t="s">
        <v>6439</v>
      </c>
      <c r="C628" t="s">
        <v>5322</v>
      </c>
    </row>
    <row r="629" spans="1:3" x14ac:dyDescent="0.25">
      <c r="A629" t="s">
        <v>7135</v>
      </c>
      <c r="C629" t="s">
        <v>495</v>
      </c>
    </row>
    <row r="630" spans="1:3" x14ac:dyDescent="0.25">
      <c r="A630" t="s">
        <v>4962</v>
      </c>
      <c r="C630" t="s">
        <v>2019</v>
      </c>
    </row>
    <row r="631" spans="1:3" x14ac:dyDescent="0.25">
      <c r="A631" t="s">
        <v>3844</v>
      </c>
      <c r="C631" t="s">
        <v>3654</v>
      </c>
    </row>
    <row r="632" spans="1:3" x14ac:dyDescent="0.25">
      <c r="A632" t="s">
        <v>2748</v>
      </c>
      <c r="C632" t="s">
        <v>6896</v>
      </c>
    </row>
    <row r="633" spans="1:3" x14ac:dyDescent="0.25">
      <c r="A633" t="s">
        <v>5417</v>
      </c>
      <c r="C633" t="s">
        <v>4102</v>
      </c>
    </row>
    <row r="634" spans="1:3" x14ac:dyDescent="0.25">
      <c r="A634" t="s">
        <v>6452</v>
      </c>
      <c r="C634" t="s">
        <v>6905</v>
      </c>
    </row>
    <row r="635" spans="1:3" x14ac:dyDescent="0.25">
      <c r="A635" t="s">
        <v>3401</v>
      </c>
      <c r="C635" t="s">
        <v>5813</v>
      </c>
    </row>
    <row r="636" spans="1:3" x14ac:dyDescent="0.25">
      <c r="A636" t="s">
        <v>389</v>
      </c>
      <c r="C636" t="s">
        <v>1974</v>
      </c>
    </row>
    <row r="637" spans="1:3" x14ac:dyDescent="0.25">
      <c r="A637" t="s">
        <v>4799</v>
      </c>
      <c r="C637" t="s">
        <v>4595</v>
      </c>
    </row>
    <row r="638" spans="1:3" x14ac:dyDescent="0.25">
      <c r="A638" t="s">
        <v>529</v>
      </c>
      <c r="C638" t="s">
        <v>1923</v>
      </c>
    </row>
    <row r="639" spans="1:3" x14ac:dyDescent="0.25">
      <c r="A639" t="s">
        <v>2808</v>
      </c>
      <c r="C639" t="s">
        <v>1172</v>
      </c>
    </row>
    <row r="640" spans="1:3" x14ac:dyDescent="0.25">
      <c r="A640" t="s">
        <v>3576</v>
      </c>
      <c r="C640" t="s">
        <v>1597</v>
      </c>
    </row>
    <row r="641" spans="1:3" x14ac:dyDescent="0.25">
      <c r="A641" t="s">
        <v>5611</v>
      </c>
      <c r="C641" t="s">
        <v>2092</v>
      </c>
    </row>
    <row r="642" spans="1:3" x14ac:dyDescent="0.25">
      <c r="A642" t="s">
        <v>2941</v>
      </c>
      <c r="C642" t="s">
        <v>5623</v>
      </c>
    </row>
    <row r="643" spans="1:3" x14ac:dyDescent="0.25">
      <c r="A643" t="s">
        <v>1781</v>
      </c>
      <c r="C643" t="s">
        <v>5111</v>
      </c>
    </row>
    <row r="644" spans="1:3" x14ac:dyDescent="0.25">
      <c r="A644" t="s">
        <v>7168</v>
      </c>
      <c r="C644" t="s">
        <v>2500</v>
      </c>
    </row>
    <row r="645" spans="1:3" x14ac:dyDescent="0.25">
      <c r="A645" t="s">
        <v>2033</v>
      </c>
      <c r="C645" t="s">
        <v>3055</v>
      </c>
    </row>
    <row r="646" spans="1:3" x14ac:dyDescent="0.25">
      <c r="A646" t="s">
        <v>4296</v>
      </c>
      <c r="C646" t="s">
        <v>2278</v>
      </c>
    </row>
    <row r="647" spans="1:3" x14ac:dyDescent="0.25">
      <c r="A647" t="s">
        <v>981</v>
      </c>
      <c r="C647" t="s">
        <v>3009</v>
      </c>
    </row>
    <row r="648" spans="1:3" x14ac:dyDescent="0.25">
      <c r="A648" t="s">
        <v>3307</v>
      </c>
      <c r="C648" t="s">
        <v>217</v>
      </c>
    </row>
    <row r="649" spans="1:3" x14ac:dyDescent="0.25">
      <c r="A649" t="s">
        <v>1802</v>
      </c>
      <c r="C649" t="s">
        <v>3864</v>
      </c>
    </row>
    <row r="650" spans="1:3" x14ac:dyDescent="0.25">
      <c r="A650" t="s">
        <v>5123</v>
      </c>
      <c r="C650" t="s">
        <v>991</v>
      </c>
    </row>
    <row r="651" spans="1:3" x14ac:dyDescent="0.25">
      <c r="A651" t="s">
        <v>3453</v>
      </c>
      <c r="C651" t="s">
        <v>986</v>
      </c>
    </row>
    <row r="652" spans="1:3" x14ac:dyDescent="0.25">
      <c r="A652" t="s">
        <v>1678</v>
      </c>
      <c r="C652" t="s">
        <v>2878</v>
      </c>
    </row>
    <row r="653" spans="1:3" x14ac:dyDescent="0.25">
      <c r="A653" t="s">
        <v>1205</v>
      </c>
      <c r="C653" t="s">
        <v>2694</v>
      </c>
    </row>
    <row r="654" spans="1:3" x14ac:dyDescent="0.25">
      <c r="A654" t="s">
        <v>4372</v>
      </c>
      <c r="C654" t="s">
        <v>3504</v>
      </c>
    </row>
    <row r="655" spans="1:3" x14ac:dyDescent="0.25">
      <c r="A655" t="s">
        <v>5236</v>
      </c>
      <c r="C655" t="s">
        <v>6182</v>
      </c>
    </row>
    <row r="656" spans="1:3" x14ac:dyDescent="0.25">
      <c r="A656" t="s">
        <v>3070</v>
      </c>
      <c r="C656" t="s">
        <v>1233</v>
      </c>
    </row>
    <row r="657" spans="1:3" x14ac:dyDescent="0.25">
      <c r="A657" t="s">
        <v>5486</v>
      </c>
      <c r="C657" t="s">
        <v>1982</v>
      </c>
    </row>
    <row r="658" spans="1:3" x14ac:dyDescent="0.25">
      <c r="A658" t="s">
        <v>3268</v>
      </c>
      <c r="C658" t="s">
        <v>5156</v>
      </c>
    </row>
    <row r="659" spans="1:3" x14ac:dyDescent="0.25">
      <c r="A659" t="s">
        <v>3657</v>
      </c>
      <c r="C659" t="s">
        <v>1894</v>
      </c>
    </row>
    <row r="660" spans="1:3" x14ac:dyDescent="0.25">
      <c r="A660" t="s">
        <v>6388</v>
      </c>
      <c r="C660" t="s">
        <v>5760</v>
      </c>
    </row>
    <row r="661" spans="1:3" x14ac:dyDescent="0.25">
      <c r="A661" t="s">
        <v>2415</v>
      </c>
      <c r="C661" t="s">
        <v>4476</v>
      </c>
    </row>
    <row r="662" spans="1:3" x14ac:dyDescent="0.25">
      <c r="A662" t="s">
        <v>4121</v>
      </c>
      <c r="C662" t="s">
        <v>5233</v>
      </c>
    </row>
    <row r="663" spans="1:3" x14ac:dyDescent="0.25">
      <c r="A663" t="s">
        <v>1606</v>
      </c>
      <c r="C663" t="s">
        <v>289</v>
      </c>
    </row>
    <row r="664" spans="1:3" x14ac:dyDescent="0.25">
      <c r="A664" t="s">
        <v>2321</v>
      </c>
      <c r="C664" t="s">
        <v>207</v>
      </c>
    </row>
    <row r="665" spans="1:3" x14ac:dyDescent="0.25">
      <c r="A665" t="s">
        <v>352</v>
      </c>
      <c r="C665" t="s">
        <v>7266</v>
      </c>
    </row>
    <row r="666" spans="1:3" x14ac:dyDescent="0.25">
      <c r="A666" t="s">
        <v>4790</v>
      </c>
      <c r="C666" t="s">
        <v>6464</v>
      </c>
    </row>
    <row r="667" spans="1:3" x14ac:dyDescent="0.25">
      <c r="A667" t="s">
        <v>6379</v>
      </c>
      <c r="C667" t="s">
        <v>1043</v>
      </c>
    </row>
    <row r="668" spans="1:3" x14ac:dyDescent="0.25">
      <c r="A668" t="s">
        <v>5807</v>
      </c>
      <c r="C668" t="s">
        <v>5654</v>
      </c>
    </row>
    <row r="669" spans="1:3" x14ac:dyDescent="0.25">
      <c r="A669" t="s">
        <v>2647</v>
      </c>
      <c r="C669" t="s">
        <v>1611</v>
      </c>
    </row>
    <row r="670" spans="1:3" x14ac:dyDescent="0.25">
      <c r="A670" t="s">
        <v>3411</v>
      </c>
      <c r="C670" t="s">
        <v>3962</v>
      </c>
    </row>
    <row r="671" spans="1:3" x14ac:dyDescent="0.25">
      <c r="A671" t="s">
        <v>3976</v>
      </c>
      <c r="C671" t="s">
        <v>2355</v>
      </c>
    </row>
    <row r="672" spans="1:3" x14ac:dyDescent="0.25">
      <c r="A672" t="s">
        <v>4437</v>
      </c>
      <c r="C672" t="s">
        <v>2348</v>
      </c>
    </row>
    <row r="673" spans="1:3" x14ac:dyDescent="0.25">
      <c r="A673" t="s">
        <v>6469</v>
      </c>
      <c r="C673" t="s">
        <v>7231</v>
      </c>
    </row>
    <row r="674" spans="1:3" x14ac:dyDescent="0.25">
      <c r="A674" t="s">
        <v>1089</v>
      </c>
      <c r="C674" t="s">
        <v>2612</v>
      </c>
    </row>
    <row r="675" spans="1:3" x14ac:dyDescent="0.25">
      <c r="A675" t="s">
        <v>1420</v>
      </c>
      <c r="C675" t="s">
        <v>5319</v>
      </c>
    </row>
    <row r="676" spans="1:3" x14ac:dyDescent="0.25">
      <c r="A676" t="s">
        <v>1993</v>
      </c>
      <c r="C676" t="s">
        <v>2670</v>
      </c>
    </row>
    <row r="677" spans="1:3" x14ac:dyDescent="0.25">
      <c r="A677" t="s">
        <v>5994</v>
      </c>
      <c r="C677" t="s">
        <v>2041</v>
      </c>
    </row>
    <row r="678" spans="1:3" x14ac:dyDescent="0.25">
      <c r="A678" t="s">
        <v>4851</v>
      </c>
      <c r="C678" t="s">
        <v>4808</v>
      </c>
    </row>
    <row r="679" spans="1:3" x14ac:dyDescent="0.25">
      <c r="A679" t="s">
        <v>7238</v>
      </c>
      <c r="C679" t="s">
        <v>1355</v>
      </c>
    </row>
    <row r="680" spans="1:3" x14ac:dyDescent="0.25">
      <c r="A680" t="s">
        <v>4646</v>
      </c>
      <c r="C680" t="s">
        <v>5454</v>
      </c>
    </row>
    <row r="681" spans="1:3" x14ac:dyDescent="0.25">
      <c r="A681" t="s">
        <v>2484</v>
      </c>
      <c r="C681" t="s">
        <v>6917</v>
      </c>
    </row>
    <row r="682" spans="1:3" x14ac:dyDescent="0.25">
      <c r="A682" t="s">
        <v>6226</v>
      </c>
      <c r="C682" t="s">
        <v>4488</v>
      </c>
    </row>
    <row r="683" spans="1:3" x14ac:dyDescent="0.25">
      <c r="A683" t="s">
        <v>2757</v>
      </c>
      <c r="C683" t="s">
        <v>3901</v>
      </c>
    </row>
    <row r="684" spans="1:3" x14ac:dyDescent="0.25">
      <c r="A684" t="s">
        <v>2835</v>
      </c>
      <c r="C684" t="s">
        <v>3808</v>
      </c>
    </row>
    <row r="685" spans="1:3" x14ac:dyDescent="0.25">
      <c r="A685" t="s">
        <v>4756</v>
      </c>
      <c r="C685" t="s">
        <v>5583</v>
      </c>
    </row>
    <row r="686" spans="1:3" x14ac:dyDescent="0.25">
      <c r="A686" t="s">
        <v>4312</v>
      </c>
      <c r="C686" t="s">
        <v>5892</v>
      </c>
    </row>
    <row r="687" spans="1:3" x14ac:dyDescent="0.25">
      <c r="A687" t="s">
        <v>513</v>
      </c>
      <c r="C687" t="s">
        <v>1961</v>
      </c>
    </row>
    <row r="688" spans="1:3" x14ac:dyDescent="0.25">
      <c r="A688" t="s">
        <v>1295</v>
      </c>
      <c r="C688" t="s">
        <v>4433</v>
      </c>
    </row>
    <row r="689" spans="1:3" x14ac:dyDescent="0.25">
      <c r="A689" t="s">
        <v>2946</v>
      </c>
      <c r="C689" t="s">
        <v>2905</v>
      </c>
    </row>
    <row r="690" spans="1:3" x14ac:dyDescent="0.25">
      <c r="A690" t="s">
        <v>2700</v>
      </c>
      <c r="C690" t="s">
        <v>1478</v>
      </c>
    </row>
    <row r="691" spans="1:3" x14ac:dyDescent="0.25">
      <c r="A691" t="s">
        <v>3361</v>
      </c>
      <c r="C691" t="s">
        <v>3620</v>
      </c>
    </row>
    <row r="692" spans="1:3" x14ac:dyDescent="0.25">
      <c r="A692" t="s">
        <v>6457</v>
      </c>
      <c r="C692" t="s">
        <v>4675</v>
      </c>
    </row>
    <row r="693" spans="1:3" x14ac:dyDescent="0.25">
      <c r="A693" t="s">
        <v>1187</v>
      </c>
      <c r="C693" t="s">
        <v>933</v>
      </c>
    </row>
    <row r="694" spans="1:3" x14ac:dyDescent="0.25">
      <c r="A694" t="s">
        <v>6325</v>
      </c>
      <c r="C694" t="s">
        <v>548</v>
      </c>
    </row>
    <row r="695" spans="1:3" x14ac:dyDescent="0.25">
      <c r="A695" t="s">
        <v>5095</v>
      </c>
      <c r="C695" t="s">
        <v>5446</v>
      </c>
    </row>
    <row r="696" spans="1:3" x14ac:dyDescent="0.25">
      <c r="A696" t="s">
        <v>1315</v>
      </c>
      <c r="C696" t="s">
        <v>6764</v>
      </c>
    </row>
    <row r="697" spans="1:3" x14ac:dyDescent="0.25">
      <c r="A697" t="s">
        <v>3236</v>
      </c>
      <c r="C697" t="s">
        <v>730</v>
      </c>
    </row>
    <row r="698" spans="1:3" x14ac:dyDescent="0.25">
      <c r="A698" t="s">
        <v>2328</v>
      </c>
      <c r="C698" t="s">
        <v>4288</v>
      </c>
    </row>
    <row r="699" spans="1:3" x14ac:dyDescent="0.25">
      <c r="A699" t="s">
        <v>2652</v>
      </c>
      <c r="C699" t="s">
        <v>4107</v>
      </c>
    </row>
    <row r="700" spans="1:3" x14ac:dyDescent="0.25">
      <c r="A700" t="s">
        <v>3541</v>
      </c>
      <c r="C700" t="s">
        <v>4704</v>
      </c>
    </row>
    <row r="701" spans="1:3" x14ac:dyDescent="0.25">
      <c r="A701" t="s">
        <v>5522</v>
      </c>
      <c r="C701" t="s">
        <v>6364</v>
      </c>
    </row>
    <row r="702" spans="1:3" x14ac:dyDescent="0.25">
      <c r="A702" t="s">
        <v>410</v>
      </c>
      <c r="C702" t="s">
        <v>3849</v>
      </c>
    </row>
    <row r="703" spans="1:3" x14ac:dyDescent="0.25">
      <c r="A703" t="s">
        <v>2568</v>
      </c>
      <c r="C703" t="s">
        <v>5880</v>
      </c>
    </row>
    <row r="704" spans="1:3" x14ac:dyDescent="0.25">
      <c r="A704" t="s">
        <v>5687</v>
      </c>
      <c r="C704" t="s">
        <v>5268</v>
      </c>
    </row>
    <row r="705" spans="1:3" x14ac:dyDescent="0.25">
      <c r="A705" t="s">
        <v>3885</v>
      </c>
      <c r="C705" t="s">
        <v>2515</v>
      </c>
    </row>
    <row r="706" spans="1:3" x14ac:dyDescent="0.25">
      <c r="A706" t="s">
        <v>4146</v>
      </c>
      <c r="C706" t="s">
        <v>5825</v>
      </c>
    </row>
    <row r="707" spans="1:3" x14ac:dyDescent="0.25">
      <c r="A707" t="s">
        <v>6504</v>
      </c>
      <c r="C707" t="s">
        <v>4250</v>
      </c>
    </row>
    <row r="708" spans="1:3" x14ac:dyDescent="0.25">
      <c r="A708" t="s">
        <v>504</v>
      </c>
      <c r="C708" t="s">
        <v>4529</v>
      </c>
    </row>
    <row r="709" spans="1:3" x14ac:dyDescent="0.25">
      <c r="A709" t="s">
        <v>4831</v>
      </c>
      <c r="C709" t="s">
        <v>1554</v>
      </c>
    </row>
    <row r="710" spans="1:3" x14ac:dyDescent="0.25">
      <c r="A710" t="s">
        <v>5402</v>
      </c>
      <c r="C710" t="s">
        <v>5259</v>
      </c>
    </row>
    <row r="711" spans="1:3" x14ac:dyDescent="0.25">
      <c r="A711" t="s">
        <v>4268</v>
      </c>
      <c r="C711" t="s">
        <v>4205</v>
      </c>
    </row>
    <row r="712" spans="1:3" x14ac:dyDescent="0.25">
      <c r="A712" t="s">
        <v>928</v>
      </c>
      <c r="C712" t="s">
        <v>1378</v>
      </c>
    </row>
    <row r="713" spans="1:3" x14ac:dyDescent="0.25">
      <c r="A713" t="s">
        <v>2292</v>
      </c>
      <c r="C713" t="s">
        <v>5567</v>
      </c>
    </row>
    <row r="714" spans="1:3" x14ac:dyDescent="0.25">
      <c r="A714" t="s">
        <v>2262</v>
      </c>
      <c r="C714" t="s">
        <v>5839</v>
      </c>
    </row>
    <row r="715" spans="1:3" x14ac:dyDescent="0.25">
      <c r="A715" t="s">
        <v>6686</v>
      </c>
      <c r="C715" t="s">
        <v>1854</v>
      </c>
    </row>
    <row r="716" spans="1:3" x14ac:dyDescent="0.25">
      <c r="A716" t="s">
        <v>1063</v>
      </c>
      <c r="C716" t="s">
        <v>5528</v>
      </c>
    </row>
    <row r="717" spans="1:3" x14ac:dyDescent="0.25">
      <c r="A717" t="s">
        <v>4239</v>
      </c>
      <c r="C717" t="s">
        <v>1539</v>
      </c>
    </row>
    <row r="718" spans="1:3" x14ac:dyDescent="0.25">
      <c r="A718" t="s">
        <v>1115</v>
      </c>
      <c r="C718" t="s">
        <v>248</v>
      </c>
    </row>
    <row r="719" spans="1:3" x14ac:dyDescent="0.25">
      <c r="A719" t="s">
        <v>6037</v>
      </c>
      <c r="C719" t="s">
        <v>2978</v>
      </c>
    </row>
    <row r="720" spans="1:3" x14ac:dyDescent="0.25">
      <c r="A720" t="s">
        <v>6494</v>
      </c>
      <c r="C720" t="s">
        <v>3279</v>
      </c>
    </row>
    <row r="721" spans="1:3" x14ac:dyDescent="0.25">
      <c r="A721" t="s">
        <v>7224</v>
      </c>
      <c r="C721" t="s">
        <v>1583</v>
      </c>
    </row>
    <row r="722" spans="1:3" x14ac:dyDescent="0.25">
      <c r="A722" t="s">
        <v>4186</v>
      </c>
      <c r="C722" t="s">
        <v>7203</v>
      </c>
    </row>
    <row r="723" spans="1:3" x14ac:dyDescent="0.25">
      <c r="A723" t="s">
        <v>6508</v>
      </c>
      <c r="C723" t="s">
        <v>5133</v>
      </c>
    </row>
    <row r="724" spans="1:3" x14ac:dyDescent="0.25">
      <c r="A724" t="s">
        <v>2096</v>
      </c>
      <c r="C724" t="s">
        <v>4628</v>
      </c>
    </row>
    <row r="725" spans="1:3" x14ac:dyDescent="0.25">
      <c r="A725" t="s">
        <v>5855</v>
      </c>
      <c r="C725" t="s">
        <v>6972</v>
      </c>
    </row>
    <row r="726" spans="1:3" x14ac:dyDescent="0.25">
      <c r="A726" t="s">
        <v>4317</v>
      </c>
      <c r="C726" t="s">
        <v>5067</v>
      </c>
    </row>
    <row r="727" spans="1:3" x14ac:dyDescent="0.25">
      <c r="A727" t="s">
        <v>2391</v>
      </c>
      <c r="C727" t="s">
        <v>5651</v>
      </c>
    </row>
    <row r="728" spans="1:3" x14ac:dyDescent="0.25">
      <c r="A728" t="s">
        <v>7162</v>
      </c>
      <c r="C728" t="s">
        <v>5557</v>
      </c>
    </row>
    <row r="729" spans="1:3" x14ac:dyDescent="0.25">
      <c r="A729" t="s">
        <v>6490</v>
      </c>
      <c r="C729" t="s">
        <v>6034</v>
      </c>
    </row>
    <row r="730" spans="1:3" x14ac:dyDescent="0.25">
      <c r="A730" t="s">
        <v>4968</v>
      </c>
      <c r="C730" t="s">
        <v>2608</v>
      </c>
    </row>
    <row r="731" spans="1:3" x14ac:dyDescent="0.25">
      <c r="A731" t="s">
        <v>6730</v>
      </c>
      <c r="C731" t="s">
        <v>1081</v>
      </c>
    </row>
    <row r="732" spans="1:3" x14ac:dyDescent="0.25">
      <c r="A732" t="s">
        <v>1834</v>
      </c>
      <c r="C732" t="s">
        <v>668</v>
      </c>
    </row>
    <row r="733" spans="1:3" x14ac:dyDescent="0.25">
      <c r="A733" t="s">
        <v>2496</v>
      </c>
      <c r="C733" t="s">
        <v>3861</v>
      </c>
    </row>
    <row r="734" spans="1:3" x14ac:dyDescent="0.25">
      <c r="A734" t="s">
        <v>3672</v>
      </c>
      <c r="C734" t="s">
        <v>4973</v>
      </c>
    </row>
    <row r="735" spans="1:3" x14ac:dyDescent="0.25">
      <c r="A735" t="s">
        <v>2637</v>
      </c>
      <c r="C735" t="s">
        <v>1628</v>
      </c>
    </row>
    <row r="736" spans="1:3" x14ac:dyDescent="0.25">
      <c r="A736" t="s">
        <v>6976</v>
      </c>
      <c r="C736" t="s">
        <v>1656</v>
      </c>
    </row>
    <row r="737" spans="1:3" x14ac:dyDescent="0.25">
      <c r="A737" t="s">
        <v>6940</v>
      </c>
      <c r="C737" t="s">
        <v>4900</v>
      </c>
    </row>
    <row r="738" spans="1:3" x14ac:dyDescent="0.25">
      <c r="A738" t="s">
        <v>3790</v>
      </c>
      <c r="C738" t="s">
        <v>2023</v>
      </c>
    </row>
    <row r="739" spans="1:3" x14ac:dyDescent="0.25">
      <c r="A739" t="s">
        <v>4340</v>
      </c>
      <c r="C739" t="s">
        <v>2591</v>
      </c>
    </row>
    <row r="740" spans="1:3" x14ac:dyDescent="0.25">
      <c r="A740" t="s">
        <v>2545</v>
      </c>
      <c r="C740" t="s">
        <v>5708</v>
      </c>
    </row>
    <row r="741" spans="1:3" x14ac:dyDescent="0.25">
      <c r="A741" t="s">
        <v>3342</v>
      </c>
      <c r="C741" t="s">
        <v>5151</v>
      </c>
    </row>
    <row r="742" spans="1:3" x14ac:dyDescent="0.25">
      <c r="A742" t="s">
        <v>5244</v>
      </c>
      <c r="C742" t="s">
        <v>4078</v>
      </c>
    </row>
    <row r="743" spans="1:3" x14ac:dyDescent="0.25">
      <c r="A743" t="s">
        <v>3508</v>
      </c>
      <c r="C743" t="s">
        <v>2117</v>
      </c>
    </row>
    <row r="744" spans="1:3" x14ac:dyDescent="0.25">
      <c r="A744" t="s">
        <v>5966</v>
      </c>
      <c r="C744" t="s">
        <v>1771</v>
      </c>
    </row>
    <row r="745" spans="1:3" x14ac:dyDescent="0.25">
      <c r="A745" t="s">
        <v>577</v>
      </c>
      <c r="C745" t="s">
        <v>1902</v>
      </c>
    </row>
    <row r="746" spans="1:3" x14ac:dyDescent="0.25">
      <c r="A746" t="s">
        <v>1928</v>
      </c>
      <c r="C746" t="s">
        <v>4652</v>
      </c>
    </row>
    <row r="747" spans="1:3" x14ac:dyDescent="0.25">
      <c r="A747" t="s">
        <v>7144</v>
      </c>
      <c r="C747" t="s">
        <v>5551</v>
      </c>
    </row>
    <row r="748" spans="1:3" x14ac:dyDescent="0.25">
      <c r="A748" t="s">
        <v>7157</v>
      </c>
      <c r="C748" t="s">
        <v>1263</v>
      </c>
    </row>
    <row r="749" spans="1:3" x14ac:dyDescent="0.25">
      <c r="A749" t="s">
        <v>2697</v>
      </c>
      <c r="C749" t="s">
        <v>5519</v>
      </c>
    </row>
    <row r="750" spans="1:3" x14ac:dyDescent="0.25">
      <c r="A750" t="s">
        <v>2596</v>
      </c>
      <c r="C750" t="s">
        <v>3201</v>
      </c>
    </row>
    <row r="751" spans="1:3" x14ac:dyDescent="0.25">
      <c r="C751" t="s">
        <v>2192</v>
      </c>
    </row>
  </sheetData>
  <sortState ref="A4:A1600">
    <sortCondition ref="A4"/>
  </sortState>
  <mergeCells count="1">
    <mergeCell ref="A1:C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ORIGINAL COPY</vt:lpstr>
      <vt:lpstr>UPDATED OP COPY</vt:lpstr>
      <vt:lpstr>UPDATED SEPT.</vt:lpstr>
      <vt:lpstr>'UPDATED SEPT.'!Print_Area</vt:lpstr>
      <vt:lpstr>'UPDATED SEPT.'!Print_Titles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Garcia, SandyA</dc:creator>
  <cp:lastModifiedBy>Tyler, Crystal</cp:lastModifiedBy>
  <cp:lastPrinted>2022-09-16T20:39:49Z</cp:lastPrinted>
  <dcterms:created xsi:type="dcterms:W3CDTF">2022-09-07T19:28:54Z</dcterms:created>
  <dcterms:modified xsi:type="dcterms:W3CDTF">2022-09-19T14:49:36Z</dcterms:modified>
</cp:coreProperties>
</file>