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urchasing\BID\2025\25-001 Inmate Medical Services\R25-001.Q&amp;A\"/>
    </mc:Choice>
  </mc:AlternateContent>
  <bookViews>
    <workbookView xWindow="-57720" yWindow="-120" windowWidth="29040" windowHeight="15840"/>
  </bookViews>
  <sheets>
    <sheet name="Fort Bend, TX" sheetId="2" r:id="rId1"/>
  </sheets>
  <definedNames>
    <definedName name="OSRRefB13_0_0x_0" localSheetId="0">'Fort Bend, TX'!$B$75:$B$76</definedName>
    <definedName name="OSRRefB13_0_0x_1" localSheetId="0">'Fort Bend, TX'!$C$75:$C$76</definedName>
    <definedName name="OSRRefB13_0_0x_10" localSheetId="0">'Fort Bend, TX'!$L$75:$L$76</definedName>
    <definedName name="OSRRefB13_0_0x_11" localSheetId="0">'Fort Bend, TX'!$M$75:$M$76</definedName>
    <definedName name="OSRRefB13_0_0x_2" localSheetId="0">'Fort Bend, TX'!$D$75:$D$76</definedName>
    <definedName name="OSRRefB13_0_0x_3" localSheetId="0">'Fort Bend, TX'!$E$75:$E$76</definedName>
    <definedName name="OSRRefB13_0_0x_4" localSheetId="0">'Fort Bend, TX'!$F$75:$F$76</definedName>
    <definedName name="OSRRefB13_0_0x_5" localSheetId="0">'Fort Bend, TX'!$G$75:$G$76</definedName>
    <definedName name="OSRRefB13_0_0x_6" localSheetId="0">'Fort Bend, TX'!$H$75:$H$76</definedName>
    <definedName name="OSRRefB13_0_0x_7" localSheetId="0">'Fort Bend, TX'!$I$75:$I$76</definedName>
    <definedName name="OSRRefB13_0_0x_8" localSheetId="0">'Fort Bend, TX'!$J$75:$J$76</definedName>
    <definedName name="OSRRefB13_0_0x_9" localSheetId="0">'Fort Bend, TX'!$K$75:$K$76</definedName>
    <definedName name="OSRRefB13_1_0x_0" localSheetId="0">'Fort Bend, TX'!$B$81:$B$86</definedName>
    <definedName name="OSRRefB13_1_0x_1" localSheetId="0">'Fort Bend, TX'!$C$81:$C$86</definedName>
    <definedName name="OSRRefB13_1_0x_10" localSheetId="0">'Fort Bend, TX'!$L$81:$L$86</definedName>
    <definedName name="OSRRefB13_1_0x_11" localSheetId="0">'Fort Bend, TX'!$M$81:$M$86</definedName>
    <definedName name="OSRRefB13_1_0x_2" localSheetId="0">'Fort Bend, TX'!$D$81:$D$86</definedName>
    <definedName name="OSRRefB13_1_0x_3" localSheetId="0">'Fort Bend, TX'!$E$81:$E$86</definedName>
    <definedName name="OSRRefB13_1_0x_4" localSheetId="0">'Fort Bend, TX'!$F$81:$F$86</definedName>
    <definedName name="OSRRefB13_1_0x_5" localSheetId="0">'Fort Bend, TX'!$G$81:$G$86</definedName>
    <definedName name="OSRRefB13_1_0x_6" localSheetId="0">'Fort Bend, TX'!$H$81:$H$86</definedName>
    <definedName name="OSRRefB13_1_0x_7" localSheetId="0">'Fort Bend, TX'!$I$81:$I$86</definedName>
    <definedName name="OSRRefB13_1_0x_8" localSheetId="0">'Fort Bend, TX'!$J$81:$J$86</definedName>
    <definedName name="OSRRefB13_1_0x_9" localSheetId="0">'Fort Bend, TX'!$K$81:$K$86</definedName>
    <definedName name="OSRRefB13_1_1x_0" localSheetId="0">'Fort Bend, TX'!$B$88:$B$91</definedName>
    <definedName name="OSRRefB13_1_1x_1" localSheetId="0">'Fort Bend, TX'!$C$88:$C$91</definedName>
    <definedName name="OSRRefB13_1_1x_10" localSheetId="0">'Fort Bend, TX'!$L$88:$L$91</definedName>
    <definedName name="OSRRefB13_1_1x_11" localSheetId="0">'Fort Bend, TX'!$M$88:$M$91</definedName>
    <definedName name="OSRRefB13_1_1x_2" localSheetId="0">'Fort Bend, TX'!$D$88:$D$91</definedName>
    <definedName name="OSRRefB13_1_1x_3" localSheetId="0">'Fort Bend, TX'!$E$88:$E$91</definedName>
    <definedName name="OSRRefB13_1_1x_4" localSheetId="0">'Fort Bend, TX'!$F$88:$F$91</definedName>
    <definedName name="OSRRefB13_1_1x_5" localSheetId="0">'Fort Bend, TX'!$G$88:$G$91</definedName>
    <definedName name="OSRRefB13_1_1x_6" localSheetId="0">'Fort Bend, TX'!$H$88:$H$91</definedName>
    <definedName name="OSRRefB13_1_1x_7" localSheetId="0">'Fort Bend, TX'!$I$88:$I$91</definedName>
    <definedName name="OSRRefB13_1_1x_8" localSheetId="0">'Fort Bend, TX'!$J$88:$J$91</definedName>
    <definedName name="OSRRefB13_1_1x_9" localSheetId="0">'Fort Bend, TX'!$K$88:$K$91</definedName>
    <definedName name="OSRRefB13_2_0x_0" localSheetId="0">'Fort Bend, TX'!$B$96:$B$102</definedName>
    <definedName name="OSRRefB13_2_0x_1" localSheetId="0">'Fort Bend, TX'!$C$96:$C$102</definedName>
    <definedName name="OSRRefB13_2_0x_10" localSheetId="0">'Fort Bend, TX'!$L$96:$L$102</definedName>
    <definedName name="OSRRefB13_2_0x_11" localSheetId="0">'Fort Bend, TX'!$M$96:$M$102</definedName>
    <definedName name="OSRRefB13_2_0x_2" localSheetId="0">'Fort Bend, TX'!$D$96:$D$102</definedName>
    <definedName name="OSRRefB13_2_0x_3" localSheetId="0">'Fort Bend, TX'!$E$96:$E$102</definedName>
    <definedName name="OSRRefB13_2_0x_4" localSheetId="0">'Fort Bend, TX'!$F$96:$F$102</definedName>
    <definedName name="OSRRefB13_2_0x_5" localSheetId="0">'Fort Bend, TX'!$G$96:$G$102</definedName>
    <definedName name="OSRRefB13_2_0x_6" localSheetId="0">'Fort Bend, TX'!$H$96:$H$102</definedName>
    <definedName name="OSRRefB13_2_0x_7" localSheetId="0">'Fort Bend, TX'!$I$96:$I$102</definedName>
    <definedName name="OSRRefB13_2_0x_8" localSheetId="0">'Fort Bend, TX'!$J$96:$J$102</definedName>
    <definedName name="OSRRefB13_2_0x_9" localSheetId="0">'Fort Bend, TX'!$K$96:$K$102</definedName>
    <definedName name="OSRRefB13_3_0x_0" localSheetId="0">'Fort Bend, TX'!$B$107:$B$116</definedName>
    <definedName name="OSRRefB13_3_0x_1" localSheetId="0">'Fort Bend, TX'!$C$107:$C$116</definedName>
    <definedName name="OSRRefB13_3_0x_10" localSheetId="0">'Fort Bend, TX'!$L$107:$L$116</definedName>
    <definedName name="OSRRefB13_3_0x_11" localSheetId="0">'Fort Bend, TX'!$M$107:$M$116</definedName>
    <definedName name="OSRRefB13_3_0x_2" localSheetId="0">'Fort Bend, TX'!$D$107:$D$116</definedName>
    <definedName name="OSRRefB13_3_0x_3" localSheetId="0">'Fort Bend, TX'!$E$107:$E$116</definedName>
    <definedName name="OSRRefB13_3_0x_4" localSheetId="0">'Fort Bend, TX'!$F$107:$F$116</definedName>
    <definedName name="OSRRefB13_3_0x_5" localSheetId="0">'Fort Bend, TX'!$G$107:$G$116</definedName>
    <definedName name="OSRRefB13_3_0x_6" localSheetId="0">'Fort Bend, TX'!$H$107:$H$116</definedName>
    <definedName name="OSRRefB13_3_0x_7" localSheetId="0">'Fort Bend, TX'!$I$107:$I$116</definedName>
    <definedName name="OSRRefB13_3_0x_8" localSheetId="0">'Fort Bend, TX'!$J$107:$J$116</definedName>
    <definedName name="OSRRefB13_3_0x_9" localSheetId="0">'Fort Bend, TX'!$K$107:$K$116</definedName>
    <definedName name="OSRRefB14_0x_0" localSheetId="0">'Fort Bend, TX'!$B$77</definedName>
    <definedName name="OSRRefB14_0x_1" localSheetId="0">'Fort Bend, TX'!$C$77</definedName>
    <definedName name="OSRRefB14_0x_10" localSheetId="0">'Fort Bend, TX'!$L$77</definedName>
    <definedName name="OSRRefB14_0x_11" localSheetId="0">'Fort Bend, TX'!$M$77</definedName>
    <definedName name="OSRRefB14_0x_2" localSheetId="0">'Fort Bend, TX'!$D$77</definedName>
    <definedName name="OSRRefB14_0x_3" localSheetId="0">'Fort Bend, TX'!$E$77</definedName>
    <definedName name="OSRRefB14_0x_4" localSheetId="0">'Fort Bend, TX'!$F$77</definedName>
    <definedName name="OSRRefB14_0x_5" localSheetId="0">'Fort Bend, TX'!$G$77</definedName>
    <definedName name="OSRRefB14_0x_6" localSheetId="0">'Fort Bend, TX'!$H$77</definedName>
    <definedName name="OSRRefB14_0x_7" localSheetId="0">'Fort Bend, TX'!$I$77</definedName>
    <definedName name="OSRRefB14_0x_8" localSheetId="0">'Fort Bend, TX'!$J$77</definedName>
    <definedName name="OSRRefB14_0x_9" localSheetId="0">'Fort Bend, TX'!$K$77</definedName>
    <definedName name="OSRRefB14_1x_0" localSheetId="0">'Fort Bend, TX'!$B$87,'Fort Bend, TX'!$B$92</definedName>
    <definedName name="OSRRefB14_1x_1" localSheetId="0">'Fort Bend, TX'!$C$87,'Fort Bend, TX'!$C$92</definedName>
    <definedName name="OSRRefB14_1x_10" localSheetId="0">'Fort Bend, TX'!$L$87,'Fort Bend, TX'!$L$92</definedName>
    <definedName name="OSRRefB14_1x_11" localSheetId="0">'Fort Bend, TX'!$M$87,'Fort Bend, TX'!$M$92</definedName>
    <definedName name="OSRRefB14_1x_2" localSheetId="0">'Fort Bend, TX'!$D$87,'Fort Bend, TX'!$D$92</definedName>
    <definedName name="OSRRefB14_1x_3" localSheetId="0">'Fort Bend, TX'!$E$87,'Fort Bend, TX'!$E$92</definedName>
    <definedName name="OSRRefB14_1x_4" localSheetId="0">'Fort Bend, TX'!$F$87,'Fort Bend, TX'!$F$92</definedName>
    <definedName name="OSRRefB14_1x_5" localSheetId="0">'Fort Bend, TX'!$G$87,'Fort Bend, TX'!$G$92</definedName>
    <definedName name="OSRRefB14_1x_6" localSheetId="0">'Fort Bend, TX'!$H$87,'Fort Bend, TX'!$H$92</definedName>
    <definedName name="OSRRefB14_1x_7" localSheetId="0">'Fort Bend, TX'!$I$87,'Fort Bend, TX'!$I$92</definedName>
    <definedName name="OSRRefB14_1x_8" localSheetId="0">'Fort Bend, TX'!$J$87,'Fort Bend, TX'!$J$92</definedName>
    <definedName name="OSRRefB14_1x_9" localSheetId="0">'Fort Bend, TX'!$K$87,'Fort Bend, TX'!$K$92</definedName>
    <definedName name="OSRRefB14_2x_0" localSheetId="0">'Fort Bend, TX'!$B$103</definedName>
    <definedName name="OSRRefB14_2x_1" localSheetId="0">'Fort Bend, TX'!$C$103</definedName>
    <definedName name="OSRRefB14_2x_10" localSheetId="0">'Fort Bend, TX'!$L$103</definedName>
    <definedName name="OSRRefB14_2x_11" localSheetId="0">'Fort Bend, TX'!$M$103</definedName>
    <definedName name="OSRRefB14_2x_2" localSheetId="0">'Fort Bend, TX'!$D$103</definedName>
    <definedName name="OSRRefB14_2x_3" localSheetId="0">'Fort Bend, TX'!$E$103</definedName>
    <definedName name="OSRRefB14_2x_4" localSheetId="0">'Fort Bend, TX'!$F$103</definedName>
    <definedName name="OSRRefB14_2x_5" localSheetId="0">'Fort Bend, TX'!$G$103</definedName>
    <definedName name="OSRRefB14_2x_6" localSheetId="0">'Fort Bend, TX'!$H$103</definedName>
    <definedName name="OSRRefB14_2x_7" localSheetId="0">'Fort Bend, TX'!$I$103</definedName>
    <definedName name="OSRRefB14_2x_8" localSheetId="0">'Fort Bend, TX'!$J$103</definedName>
    <definedName name="OSRRefB14_2x_9" localSheetId="0">'Fort Bend, TX'!$K$103</definedName>
    <definedName name="OSRRefB14_3x_0" localSheetId="0">'Fort Bend, TX'!$B$117</definedName>
    <definedName name="OSRRefB14_3x_1" localSheetId="0">'Fort Bend, TX'!$C$117</definedName>
    <definedName name="OSRRefB14_3x_10" localSheetId="0">'Fort Bend, TX'!$L$117</definedName>
    <definedName name="OSRRefB14_3x_11" localSheetId="0">'Fort Bend, TX'!$M$117</definedName>
    <definedName name="OSRRefB14_3x_2" localSheetId="0">'Fort Bend, TX'!$D$117</definedName>
    <definedName name="OSRRefB14_3x_3" localSheetId="0">'Fort Bend, TX'!$E$117</definedName>
    <definedName name="OSRRefB14_3x_4" localSheetId="0">'Fort Bend, TX'!$F$117</definedName>
    <definedName name="OSRRefB14_3x_5" localSheetId="0">'Fort Bend, TX'!$G$117</definedName>
    <definedName name="OSRRefB14_3x_6" localSheetId="0">'Fort Bend, TX'!$H$117</definedName>
    <definedName name="OSRRefB14_3x_7" localSheetId="0">'Fort Bend, TX'!$I$117</definedName>
    <definedName name="OSRRefB14_3x_8" localSheetId="0">'Fort Bend, TX'!$J$117</definedName>
    <definedName name="OSRRefB14_3x_9" localSheetId="0">'Fort Bend, TX'!$K$117</definedName>
    <definedName name="OSRRefB15x_0" localSheetId="0">'Fort Bend, TX'!$B$78,'Fort Bend, TX'!$B$93,'Fort Bend, TX'!$B$104,'Fort Bend, TX'!$B$118</definedName>
    <definedName name="OSRRefB15x_1" localSheetId="0">'Fort Bend, TX'!$C$78,'Fort Bend, TX'!$C$93,'Fort Bend, TX'!$C$104,'Fort Bend, TX'!$C$118</definedName>
    <definedName name="OSRRefB15x_10" localSheetId="0">'Fort Bend, TX'!$L$78,'Fort Bend, TX'!$L$93,'Fort Bend, TX'!$L$104,'Fort Bend, TX'!$L$118</definedName>
    <definedName name="OSRRefB15x_11" localSheetId="0">'Fort Bend, TX'!$M$78,'Fort Bend, TX'!$M$93,'Fort Bend, TX'!$M$104,'Fort Bend, TX'!$M$118</definedName>
    <definedName name="OSRRefB15x_2" localSheetId="0">'Fort Bend, TX'!$D$78,'Fort Bend, TX'!$D$93,'Fort Bend, TX'!$D$104,'Fort Bend, TX'!$D$118</definedName>
    <definedName name="OSRRefB15x_3" localSheetId="0">'Fort Bend, TX'!$E$78,'Fort Bend, TX'!$E$93,'Fort Bend, TX'!$E$104,'Fort Bend, TX'!$E$118</definedName>
    <definedName name="OSRRefB15x_4" localSheetId="0">'Fort Bend, TX'!$F$78,'Fort Bend, TX'!$F$93,'Fort Bend, TX'!$F$104,'Fort Bend, TX'!$F$118</definedName>
    <definedName name="OSRRefB15x_5" localSheetId="0">'Fort Bend, TX'!$G$78,'Fort Bend, TX'!$G$93,'Fort Bend, TX'!$G$104,'Fort Bend, TX'!$G$118</definedName>
    <definedName name="OSRRefB15x_6" localSheetId="0">'Fort Bend, TX'!$H$78,'Fort Bend, TX'!$H$93,'Fort Bend, TX'!$H$104,'Fort Bend, TX'!$H$118</definedName>
    <definedName name="OSRRefB15x_7" localSheetId="0">'Fort Bend, TX'!$I$78,'Fort Bend, TX'!$I$93,'Fort Bend, TX'!$I$104,'Fort Bend, TX'!$I$118</definedName>
    <definedName name="OSRRefB15x_8" localSheetId="0">'Fort Bend, TX'!$J$78,'Fort Bend, TX'!$J$93,'Fort Bend, TX'!$J$104,'Fort Bend, TX'!$J$118</definedName>
    <definedName name="OSRRefB15x_9" localSheetId="0">'Fort Bend, TX'!$K$78,'Fort Bend, TX'!$K$93,'Fort Bend, TX'!$K$104,'Fort Bend, TX'!$K$118</definedName>
    <definedName name="OSRRefB17x_0" localSheetId="0">'Fort Bend, TX'!$B$120</definedName>
    <definedName name="OSRRefB17x_1" localSheetId="0">'Fort Bend, TX'!$C$120</definedName>
    <definedName name="OSRRefB17x_10" localSheetId="0">'Fort Bend, TX'!$L$120</definedName>
    <definedName name="OSRRefB17x_11" localSheetId="0">'Fort Bend, TX'!$M$120</definedName>
    <definedName name="OSRRefB17x_2" localSheetId="0">'Fort Bend, TX'!$D$120</definedName>
    <definedName name="OSRRefB17x_3" localSheetId="0">'Fort Bend, TX'!$E$120</definedName>
    <definedName name="OSRRefB17x_4" localSheetId="0">'Fort Bend, TX'!$F$120</definedName>
    <definedName name="OSRRefB17x_5" localSheetId="0">'Fort Bend, TX'!$G$120</definedName>
    <definedName name="OSRRefB17x_6" localSheetId="0">'Fort Bend, TX'!$H$120</definedName>
    <definedName name="OSRRefB17x_7" localSheetId="0">'Fort Bend, TX'!$I$120</definedName>
    <definedName name="OSRRefB17x_8" localSheetId="0">'Fort Bend, TX'!$J$120</definedName>
    <definedName name="OSRRefB17x_9" localSheetId="0">'Fort Bend, TX'!$K$120</definedName>
    <definedName name="OSRRefB20_0_0x_0" localSheetId="0">'Fort Bend, TX'!$B$123:$B$129</definedName>
    <definedName name="OSRRefB20_0_0x_1" localSheetId="0">'Fort Bend, TX'!$C$123:$C$129</definedName>
    <definedName name="OSRRefB20_0_0x_10" localSheetId="0">'Fort Bend, TX'!$L$123:$L$129</definedName>
    <definedName name="OSRRefB20_0_0x_11" localSheetId="0">'Fort Bend, TX'!$M$123:$M$129</definedName>
    <definedName name="OSRRefB20_0_0x_2" localSheetId="0">'Fort Bend, TX'!$D$123:$D$129</definedName>
    <definedName name="OSRRefB20_0_0x_3" localSheetId="0">'Fort Bend, TX'!$E$123:$E$129</definedName>
    <definedName name="OSRRefB20_0_0x_4" localSheetId="0">'Fort Bend, TX'!$F$123:$F$129</definedName>
    <definedName name="OSRRefB20_0_0x_5" localSheetId="0">'Fort Bend, TX'!$G$123:$G$129</definedName>
    <definedName name="OSRRefB20_0_0x_6" localSheetId="0">'Fort Bend, TX'!$H$123:$H$129</definedName>
    <definedName name="OSRRefB20_0_0x_7" localSheetId="0">'Fort Bend, TX'!$I$123:$I$129</definedName>
    <definedName name="OSRRefB20_0_0x_8" localSheetId="0">'Fort Bend, TX'!$J$123:$J$129</definedName>
    <definedName name="OSRRefB20_0_0x_9" localSheetId="0">'Fort Bend, TX'!$K$123:$K$129</definedName>
    <definedName name="OSRRefB20_0_1x_0" localSheetId="0">'Fort Bend, TX'!$B$131:$B$136</definedName>
    <definedName name="OSRRefB20_0_1x_1" localSheetId="0">'Fort Bend, TX'!$C$131:$C$136</definedName>
    <definedName name="OSRRefB20_0_1x_10" localSheetId="0">'Fort Bend, TX'!$L$131:$L$136</definedName>
    <definedName name="OSRRefB20_0_1x_11" localSheetId="0">'Fort Bend, TX'!$M$131:$M$136</definedName>
    <definedName name="OSRRefB20_0_1x_2" localSheetId="0">'Fort Bend, TX'!$D$131:$D$136</definedName>
    <definedName name="OSRRefB20_0_1x_3" localSheetId="0">'Fort Bend, TX'!$E$131:$E$136</definedName>
    <definedName name="OSRRefB20_0_1x_4" localSheetId="0">'Fort Bend, TX'!$F$131:$F$136</definedName>
    <definedName name="OSRRefB20_0_1x_5" localSheetId="0">'Fort Bend, TX'!$G$131:$G$136</definedName>
    <definedName name="OSRRefB20_0_1x_6" localSheetId="0">'Fort Bend, TX'!$H$131:$H$136</definedName>
    <definedName name="OSRRefB20_0_1x_7" localSheetId="0">'Fort Bend, TX'!$I$131:$I$136</definedName>
    <definedName name="OSRRefB20_0_1x_8" localSheetId="0">'Fort Bend, TX'!$J$131:$J$136</definedName>
    <definedName name="OSRRefB20_0_1x_9" localSheetId="0">'Fort Bend, TX'!$K$131:$K$136</definedName>
    <definedName name="OSRRefB20_0_2x_0" localSheetId="0">'Fort Bend, TX'!$B$138:$B$140</definedName>
    <definedName name="OSRRefB20_0_2x_1" localSheetId="0">'Fort Bend, TX'!$C$138:$C$140</definedName>
    <definedName name="OSRRefB20_0_2x_10" localSheetId="0">'Fort Bend, TX'!$L$138:$L$140</definedName>
    <definedName name="OSRRefB20_0_2x_11" localSheetId="0">'Fort Bend, TX'!$M$138:$M$140</definedName>
    <definedName name="OSRRefB20_0_2x_2" localSheetId="0">'Fort Bend, TX'!$D$138:$D$140</definedName>
    <definedName name="OSRRefB20_0_2x_3" localSheetId="0">'Fort Bend, TX'!$E$138:$E$140</definedName>
    <definedName name="OSRRefB20_0_2x_4" localSheetId="0">'Fort Bend, TX'!$F$138:$F$140</definedName>
    <definedName name="OSRRefB20_0_2x_5" localSheetId="0">'Fort Bend, TX'!$G$138:$G$140</definedName>
    <definedName name="OSRRefB20_0_2x_6" localSheetId="0">'Fort Bend, TX'!$H$138:$H$140</definedName>
    <definedName name="OSRRefB20_0_2x_7" localSheetId="0">'Fort Bend, TX'!$I$138:$I$140</definedName>
    <definedName name="OSRRefB20_0_2x_8" localSheetId="0">'Fort Bend, TX'!$J$138:$J$140</definedName>
    <definedName name="OSRRefB20_0_2x_9" localSheetId="0">'Fort Bend, TX'!$K$138:$K$140</definedName>
    <definedName name="OSRRefB21_0x_0" localSheetId="0">'Fort Bend, TX'!$B$130,'Fort Bend, TX'!$B$137,'Fort Bend, TX'!$B$141</definedName>
    <definedName name="OSRRefB21_0x_1" localSheetId="0">'Fort Bend, TX'!$C$130,'Fort Bend, TX'!$C$137,'Fort Bend, TX'!$C$141</definedName>
    <definedName name="OSRRefB21_0x_10" localSheetId="0">'Fort Bend, TX'!$L$130,'Fort Bend, TX'!$L$137,'Fort Bend, TX'!$L$141</definedName>
    <definedName name="OSRRefB21_0x_11" localSheetId="0">'Fort Bend, TX'!$M$130,'Fort Bend, TX'!$M$137,'Fort Bend, TX'!$M$141</definedName>
    <definedName name="OSRRefB21_0x_2" localSheetId="0">'Fort Bend, TX'!$D$130,'Fort Bend, TX'!$D$137,'Fort Bend, TX'!$D$141</definedName>
    <definedName name="OSRRefB21_0x_3" localSheetId="0">'Fort Bend, TX'!$E$130,'Fort Bend, TX'!$E$137,'Fort Bend, TX'!$E$141</definedName>
    <definedName name="OSRRefB21_0x_4" localSheetId="0">'Fort Bend, TX'!$F$130,'Fort Bend, TX'!$F$137,'Fort Bend, TX'!$F$141</definedName>
    <definedName name="OSRRefB21_0x_5" localSheetId="0">'Fort Bend, TX'!$G$130,'Fort Bend, TX'!$G$137,'Fort Bend, TX'!$G$141</definedName>
    <definedName name="OSRRefB21_0x_6" localSheetId="0">'Fort Bend, TX'!$H$130,'Fort Bend, TX'!$H$137,'Fort Bend, TX'!$H$141</definedName>
    <definedName name="OSRRefB21_0x_7" localSheetId="0">'Fort Bend, TX'!$I$130,'Fort Bend, TX'!$I$137,'Fort Bend, TX'!$I$141</definedName>
    <definedName name="OSRRefB21_0x_8" localSheetId="0">'Fort Bend, TX'!$J$130,'Fort Bend, TX'!$J$137,'Fort Bend, TX'!$J$141</definedName>
    <definedName name="OSRRefB21_0x_9" localSheetId="0">'Fort Bend, TX'!$K$130,'Fort Bend, TX'!$K$137,'Fort Bend, TX'!$K$141</definedName>
    <definedName name="OSRRefB22x_0" localSheetId="0">'Fort Bend, TX'!$B$142</definedName>
    <definedName name="OSRRefB22x_1" localSheetId="0">'Fort Bend, TX'!$C$142</definedName>
    <definedName name="OSRRefB22x_10" localSheetId="0">'Fort Bend, TX'!$L$142</definedName>
    <definedName name="OSRRefB22x_11" localSheetId="0">'Fort Bend, TX'!$M$142</definedName>
    <definedName name="OSRRefB22x_2" localSheetId="0">'Fort Bend, TX'!$D$142</definedName>
    <definedName name="OSRRefB22x_3" localSheetId="0">'Fort Bend, TX'!$E$142</definedName>
    <definedName name="OSRRefB22x_4" localSheetId="0">'Fort Bend, TX'!$F$142</definedName>
    <definedName name="OSRRefB22x_5" localSheetId="0">'Fort Bend, TX'!$G$142</definedName>
    <definedName name="OSRRefB22x_6" localSheetId="0">'Fort Bend, TX'!$H$142</definedName>
    <definedName name="OSRRefB22x_7" localSheetId="0">'Fort Bend, TX'!$I$142</definedName>
    <definedName name="OSRRefB22x_8" localSheetId="0">'Fort Bend, TX'!$J$142</definedName>
    <definedName name="OSRRefB22x_9" localSheetId="0">'Fort Bend, TX'!$K$142</definedName>
    <definedName name="OSRRefB27_0_0x_0" localSheetId="0">'Fort Bend, TX'!$B$147</definedName>
    <definedName name="OSRRefB27_0_0x_1" localSheetId="0">'Fort Bend, TX'!$C$147</definedName>
    <definedName name="OSRRefB27_0_0x_10" localSheetId="0">'Fort Bend, TX'!$L$147</definedName>
    <definedName name="OSRRefB27_0_0x_11" localSheetId="0">'Fort Bend, TX'!$M$147</definedName>
    <definedName name="OSRRefB27_0_0x_2" localSheetId="0">'Fort Bend, TX'!$D$147</definedName>
    <definedName name="OSRRefB27_0_0x_3" localSheetId="0">'Fort Bend, TX'!$E$147</definedName>
    <definedName name="OSRRefB27_0_0x_4" localSheetId="0">'Fort Bend, TX'!$F$147</definedName>
    <definedName name="OSRRefB27_0_0x_5" localSheetId="0">'Fort Bend, TX'!$G$147</definedName>
    <definedName name="OSRRefB27_0_0x_6" localSheetId="0">'Fort Bend, TX'!$H$147</definedName>
    <definedName name="OSRRefB27_0_0x_7" localSheetId="0">'Fort Bend, TX'!$I$147</definedName>
    <definedName name="OSRRefB27_0_0x_8" localSheetId="0">'Fort Bend, TX'!$J$147</definedName>
    <definedName name="OSRRefB27_0_0x_9" localSheetId="0">'Fort Bend, TX'!$K$147</definedName>
    <definedName name="OSRRefB28_0x_0" localSheetId="0">'Fort Bend, TX'!$B$148</definedName>
    <definedName name="OSRRefB28_0x_1" localSheetId="0">'Fort Bend, TX'!$C$148</definedName>
    <definedName name="OSRRefB28_0x_10" localSheetId="0">'Fort Bend, TX'!$L$148</definedName>
    <definedName name="OSRRefB28_0x_11" localSheetId="0">'Fort Bend, TX'!$M$148</definedName>
    <definedName name="OSRRefB28_0x_2" localSheetId="0">'Fort Bend, TX'!$D$148</definedName>
    <definedName name="OSRRefB28_0x_3" localSheetId="0">'Fort Bend, TX'!$E$148</definedName>
    <definedName name="OSRRefB28_0x_4" localSheetId="0">'Fort Bend, TX'!$F$148</definedName>
    <definedName name="OSRRefB28_0x_5" localSheetId="0">'Fort Bend, TX'!$G$148</definedName>
    <definedName name="OSRRefB28_0x_6" localSheetId="0">'Fort Bend, TX'!$H$148</definedName>
    <definedName name="OSRRefB28_0x_7" localSheetId="0">'Fort Bend, TX'!$I$148</definedName>
    <definedName name="OSRRefB28_0x_8" localSheetId="0">'Fort Bend, TX'!$J$148</definedName>
    <definedName name="OSRRefB28_0x_9" localSheetId="0">'Fort Bend, TX'!$K$148</definedName>
    <definedName name="OSRRefB6_0_0x_0" localSheetId="0">'Fort Bend, TX'!$B$6:$B$17</definedName>
    <definedName name="OSRRefB6_0_0x_1" localSheetId="0">'Fort Bend, TX'!$C$6:$C$17</definedName>
    <definedName name="OSRRefB6_0_0x_10" localSheetId="0">'Fort Bend, TX'!$L$6:$L$17</definedName>
    <definedName name="OSRRefB6_0_0x_11" localSheetId="0">'Fort Bend, TX'!$M$6:$M$17</definedName>
    <definedName name="OSRRefB6_0_0x_2" localSheetId="0">'Fort Bend, TX'!$D$6:$D$17</definedName>
    <definedName name="OSRRefB6_0_0x_3" localSheetId="0">'Fort Bend, TX'!$E$6:$E$17</definedName>
    <definedName name="OSRRefB6_0_0x_4" localSheetId="0">'Fort Bend, TX'!$F$6:$F$17</definedName>
    <definedName name="OSRRefB6_0_0x_5" localSheetId="0">'Fort Bend, TX'!$G$6:$G$17</definedName>
    <definedName name="OSRRefB6_0_0x_6" localSheetId="0">'Fort Bend, TX'!$H$6:$H$17</definedName>
    <definedName name="OSRRefB6_0_0x_7" localSheetId="0">'Fort Bend, TX'!$I$6:$I$17</definedName>
    <definedName name="OSRRefB6_0_0x_8" localSheetId="0">'Fort Bend, TX'!$J$6:$J$17</definedName>
    <definedName name="OSRRefB6_0_0x_9" localSheetId="0">'Fort Bend, TX'!$K$6:$K$17</definedName>
    <definedName name="OSRRefB6_1_0x_0" localSheetId="0">'Fort Bend, TX'!$B$22:$B$29</definedName>
    <definedName name="OSRRefB6_1_0x_1" localSheetId="0">'Fort Bend, TX'!$C$22:$C$29</definedName>
    <definedName name="OSRRefB6_1_0x_10" localSheetId="0">'Fort Bend, TX'!$L$22:$L$29</definedName>
    <definedName name="OSRRefB6_1_0x_11" localSheetId="0">'Fort Bend, TX'!$M$22:$M$29</definedName>
    <definedName name="OSRRefB6_1_0x_2" localSheetId="0">'Fort Bend, TX'!$D$22:$D$29</definedName>
    <definedName name="OSRRefB6_1_0x_3" localSheetId="0">'Fort Bend, TX'!$E$22:$E$29</definedName>
    <definedName name="OSRRefB6_1_0x_4" localSheetId="0">'Fort Bend, TX'!$F$22:$F$29</definedName>
    <definedName name="OSRRefB6_1_0x_5" localSheetId="0">'Fort Bend, TX'!$G$22:$G$29</definedName>
    <definedName name="OSRRefB6_1_0x_6" localSheetId="0">'Fort Bend, TX'!$H$22:$H$29</definedName>
    <definedName name="OSRRefB6_1_0x_7" localSheetId="0">'Fort Bend, TX'!$I$22:$I$29</definedName>
    <definedName name="OSRRefB6_1_0x_8" localSheetId="0">'Fort Bend, TX'!$J$22:$J$29</definedName>
    <definedName name="OSRRefB6_1_0x_9" localSheetId="0">'Fort Bend, TX'!$K$22:$K$29</definedName>
    <definedName name="OSRRefB6_2_0x_0" localSheetId="0">'Fort Bend, TX'!$B$34:$B$36</definedName>
    <definedName name="OSRRefB6_2_0x_1" localSheetId="0">'Fort Bend, TX'!$C$34:$C$36</definedName>
    <definedName name="OSRRefB6_2_0x_10" localSheetId="0">'Fort Bend, TX'!$L$34:$L$36</definedName>
    <definedName name="OSRRefB6_2_0x_11" localSheetId="0">'Fort Bend, TX'!$M$34:$M$36</definedName>
    <definedName name="OSRRefB6_2_0x_2" localSheetId="0">'Fort Bend, TX'!$D$34:$D$36</definedName>
    <definedName name="OSRRefB6_2_0x_3" localSheetId="0">'Fort Bend, TX'!$E$34:$E$36</definedName>
    <definedName name="OSRRefB6_2_0x_4" localSheetId="0">'Fort Bend, TX'!$F$34:$F$36</definedName>
    <definedName name="OSRRefB6_2_0x_5" localSheetId="0">'Fort Bend, TX'!$G$34:$G$36</definedName>
    <definedName name="OSRRefB6_2_0x_6" localSheetId="0">'Fort Bend, TX'!$H$34:$H$36</definedName>
    <definedName name="OSRRefB6_2_0x_7" localSheetId="0">'Fort Bend, TX'!$I$34:$I$36</definedName>
    <definedName name="OSRRefB6_2_0x_8" localSheetId="0">'Fort Bend, TX'!$J$34:$J$36</definedName>
    <definedName name="OSRRefB6_2_0x_9" localSheetId="0">'Fort Bend, TX'!$K$34:$K$36</definedName>
    <definedName name="OSRRefB6_2_1x_0" localSheetId="0">'Fort Bend, TX'!$B$38:$B$40</definedName>
    <definedName name="OSRRefB6_2_1x_1" localSheetId="0">'Fort Bend, TX'!$C$38:$C$40</definedName>
    <definedName name="OSRRefB6_2_1x_10" localSheetId="0">'Fort Bend, TX'!$L$38:$L$40</definedName>
    <definedName name="OSRRefB6_2_1x_11" localSheetId="0">'Fort Bend, TX'!$M$38:$M$40</definedName>
    <definedName name="OSRRefB6_2_1x_2" localSheetId="0">'Fort Bend, TX'!$D$38:$D$40</definedName>
    <definedName name="OSRRefB6_2_1x_3" localSheetId="0">'Fort Bend, TX'!$E$38:$E$40</definedName>
    <definedName name="OSRRefB6_2_1x_4" localSheetId="0">'Fort Bend, TX'!$F$38:$F$40</definedName>
    <definedName name="OSRRefB6_2_1x_5" localSheetId="0">'Fort Bend, TX'!$G$38:$G$40</definedName>
    <definedName name="OSRRefB6_2_1x_6" localSheetId="0">'Fort Bend, TX'!$H$38:$H$40</definedName>
    <definedName name="OSRRefB6_2_1x_7" localSheetId="0">'Fort Bend, TX'!$I$38:$I$40</definedName>
    <definedName name="OSRRefB6_2_1x_8" localSheetId="0">'Fort Bend, TX'!$J$38:$J$40</definedName>
    <definedName name="OSRRefB6_2_1x_9" localSheetId="0">'Fort Bend, TX'!$K$38:$K$40</definedName>
    <definedName name="OSRRefB6_2_2x_0" localSheetId="0">'Fort Bend, TX'!$B$42</definedName>
    <definedName name="OSRRefB6_2_2x_1" localSheetId="0">'Fort Bend, TX'!$C$42</definedName>
    <definedName name="OSRRefB6_2_2x_10" localSheetId="0">'Fort Bend, TX'!$L$42</definedName>
    <definedName name="OSRRefB6_2_2x_11" localSheetId="0">'Fort Bend, TX'!$M$42</definedName>
    <definedName name="OSRRefB6_2_2x_2" localSheetId="0">'Fort Bend, TX'!$D$42</definedName>
    <definedName name="OSRRefB6_2_2x_3" localSheetId="0">'Fort Bend, TX'!$E$42</definedName>
    <definedName name="OSRRefB6_2_2x_4" localSheetId="0">'Fort Bend, TX'!$F$42</definedName>
    <definedName name="OSRRefB6_2_2x_5" localSheetId="0">'Fort Bend, TX'!$G$42</definedName>
    <definedName name="OSRRefB6_2_2x_6" localSheetId="0">'Fort Bend, TX'!$H$42</definedName>
    <definedName name="OSRRefB6_2_2x_7" localSheetId="0">'Fort Bend, TX'!$I$42</definedName>
    <definedName name="OSRRefB6_2_2x_8" localSheetId="0">'Fort Bend, TX'!$J$42</definedName>
    <definedName name="OSRRefB6_2_2x_9" localSheetId="0">'Fort Bend, TX'!$K$42</definedName>
    <definedName name="OSRRefB6_2_3x_0" localSheetId="0">'Fort Bend, TX'!$B$44:$B$46</definedName>
    <definedName name="OSRRefB6_2_3x_1" localSheetId="0">'Fort Bend, TX'!$C$44:$C$46</definedName>
    <definedName name="OSRRefB6_2_3x_10" localSheetId="0">'Fort Bend, TX'!$L$44:$L$46</definedName>
    <definedName name="OSRRefB6_2_3x_11" localSheetId="0">'Fort Bend, TX'!$M$44:$M$46</definedName>
    <definedName name="OSRRefB6_2_3x_2" localSheetId="0">'Fort Bend, TX'!$D$44:$D$46</definedName>
    <definedName name="OSRRefB6_2_3x_3" localSheetId="0">'Fort Bend, TX'!$E$44:$E$46</definedName>
    <definedName name="OSRRefB6_2_3x_4" localSheetId="0">'Fort Bend, TX'!$F$44:$F$46</definedName>
    <definedName name="OSRRefB6_2_3x_5" localSheetId="0">'Fort Bend, TX'!$G$44:$G$46</definedName>
    <definedName name="OSRRefB6_2_3x_6" localSheetId="0">'Fort Bend, TX'!$H$44:$H$46</definedName>
    <definedName name="OSRRefB6_2_3x_7" localSheetId="0">'Fort Bend, TX'!$I$44:$I$46</definedName>
    <definedName name="OSRRefB6_2_3x_8" localSheetId="0">'Fort Bend, TX'!$J$44:$J$46</definedName>
    <definedName name="OSRRefB6_2_3x_9" localSheetId="0">'Fort Bend, TX'!$K$44:$K$46</definedName>
    <definedName name="OSRRefB6_3_0x_0" localSheetId="0">'Fort Bend, TX'!$B$51:$B$57</definedName>
    <definedName name="OSRRefB6_3_0x_1" localSheetId="0">'Fort Bend, TX'!$C$51:$C$57</definedName>
    <definedName name="OSRRefB6_3_0x_10" localSheetId="0">'Fort Bend, TX'!$L$51:$L$57</definedName>
    <definedName name="OSRRefB6_3_0x_11" localSheetId="0">'Fort Bend, TX'!$M$51:$M$57</definedName>
    <definedName name="OSRRefB6_3_0x_2" localSheetId="0">'Fort Bend, TX'!$D$51:$D$57</definedName>
    <definedName name="OSRRefB6_3_0x_3" localSheetId="0">'Fort Bend, TX'!$E$51:$E$57</definedName>
    <definedName name="OSRRefB6_3_0x_4" localSheetId="0">'Fort Bend, TX'!$F$51:$F$57</definedName>
    <definedName name="OSRRefB6_3_0x_5" localSheetId="0">'Fort Bend, TX'!$G$51:$G$57</definedName>
    <definedName name="OSRRefB6_3_0x_6" localSheetId="0">'Fort Bend, TX'!$H$51:$H$57</definedName>
    <definedName name="OSRRefB6_3_0x_7" localSheetId="0">'Fort Bend, TX'!$I$51:$I$57</definedName>
    <definedName name="OSRRefB6_3_0x_8" localSheetId="0">'Fort Bend, TX'!$J$51:$J$57</definedName>
    <definedName name="OSRRefB6_3_0x_9" localSheetId="0">'Fort Bend, TX'!$K$51:$K$57</definedName>
    <definedName name="OSRRefB6_4_0x_0" localSheetId="0">'Fort Bend, TX'!$B$62:$B$68</definedName>
    <definedName name="OSRRefB6_4_0x_1" localSheetId="0">'Fort Bend, TX'!$C$62:$C$68</definedName>
    <definedName name="OSRRefB6_4_0x_10" localSheetId="0">'Fort Bend, TX'!$L$62:$L$68</definedName>
    <definedName name="OSRRefB6_4_0x_11" localSheetId="0">'Fort Bend, TX'!$M$62:$M$68</definedName>
    <definedName name="OSRRefB6_4_0x_2" localSheetId="0">'Fort Bend, TX'!$D$62:$D$68</definedName>
    <definedName name="OSRRefB6_4_0x_3" localSheetId="0">'Fort Bend, TX'!$E$62:$E$68</definedName>
    <definedName name="OSRRefB6_4_0x_4" localSheetId="0">'Fort Bend, TX'!$F$62:$F$68</definedName>
    <definedName name="OSRRefB6_4_0x_5" localSheetId="0">'Fort Bend, TX'!$G$62:$G$68</definedName>
    <definedName name="OSRRefB6_4_0x_6" localSheetId="0">'Fort Bend, TX'!$H$62:$H$68</definedName>
    <definedName name="OSRRefB6_4_0x_7" localSheetId="0">'Fort Bend, TX'!$I$62:$I$68</definedName>
    <definedName name="OSRRefB6_4_0x_8" localSheetId="0">'Fort Bend, TX'!$J$62:$J$68</definedName>
    <definedName name="OSRRefB6_4_0x_9" localSheetId="0">'Fort Bend, TX'!$K$62:$K$68</definedName>
    <definedName name="OSRRefB7_0x_0" localSheetId="0">'Fort Bend, TX'!$B$18</definedName>
    <definedName name="OSRRefB7_0x_1" localSheetId="0">'Fort Bend, TX'!$C$18</definedName>
    <definedName name="OSRRefB7_0x_10" localSheetId="0">'Fort Bend, TX'!$L$18</definedName>
    <definedName name="OSRRefB7_0x_11" localSheetId="0">'Fort Bend, TX'!$M$18</definedName>
    <definedName name="OSRRefB7_0x_2" localSheetId="0">'Fort Bend, TX'!$D$18</definedName>
    <definedName name="OSRRefB7_0x_3" localSheetId="0">'Fort Bend, TX'!$E$18</definedName>
    <definedName name="OSRRefB7_0x_4" localSheetId="0">'Fort Bend, TX'!$F$18</definedName>
    <definedName name="OSRRefB7_0x_5" localSheetId="0">'Fort Bend, TX'!$G$18</definedName>
    <definedName name="OSRRefB7_0x_6" localSheetId="0">'Fort Bend, TX'!$H$18</definedName>
    <definedName name="OSRRefB7_0x_7" localSheetId="0">'Fort Bend, TX'!$I$18</definedName>
    <definedName name="OSRRefB7_0x_8" localSheetId="0">'Fort Bend, TX'!$J$18</definedName>
    <definedName name="OSRRefB7_0x_9" localSheetId="0">'Fort Bend, TX'!$K$18</definedName>
    <definedName name="OSRRefB7_1x_0" localSheetId="0">'Fort Bend, TX'!$B$30</definedName>
    <definedName name="OSRRefB7_1x_1" localSheetId="0">'Fort Bend, TX'!$C$30</definedName>
    <definedName name="OSRRefB7_1x_10" localSheetId="0">'Fort Bend, TX'!$L$30</definedName>
    <definedName name="OSRRefB7_1x_11" localSheetId="0">'Fort Bend, TX'!$M$30</definedName>
    <definedName name="OSRRefB7_1x_2" localSheetId="0">'Fort Bend, TX'!$D$30</definedName>
    <definedName name="OSRRefB7_1x_3" localSheetId="0">'Fort Bend, TX'!$E$30</definedName>
    <definedName name="OSRRefB7_1x_4" localSheetId="0">'Fort Bend, TX'!$F$30</definedName>
    <definedName name="OSRRefB7_1x_5" localSheetId="0">'Fort Bend, TX'!$G$30</definedName>
    <definedName name="OSRRefB7_1x_6" localSheetId="0">'Fort Bend, TX'!$H$30</definedName>
    <definedName name="OSRRefB7_1x_7" localSheetId="0">'Fort Bend, TX'!$I$30</definedName>
    <definedName name="OSRRefB7_1x_8" localSheetId="0">'Fort Bend, TX'!$J$30</definedName>
    <definedName name="OSRRefB7_1x_9" localSheetId="0">'Fort Bend, TX'!$K$30</definedName>
    <definedName name="OSRRefB7_2x_0" localSheetId="0">'Fort Bend, TX'!$B$37,'Fort Bend, TX'!$B$41,'Fort Bend, TX'!$B$43,'Fort Bend, TX'!$B$47</definedName>
    <definedName name="OSRRefB7_2x_1" localSheetId="0">'Fort Bend, TX'!$C$37,'Fort Bend, TX'!$C$41,'Fort Bend, TX'!$C$43,'Fort Bend, TX'!$C$47</definedName>
    <definedName name="OSRRefB7_2x_10" localSheetId="0">'Fort Bend, TX'!$L$37,'Fort Bend, TX'!$L$41,'Fort Bend, TX'!$L$43,'Fort Bend, TX'!$L$47</definedName>
    <definedName name="OSRRefB7_2x_11" localSheetId="0">'Fort Bend, TX'!$M$37,'Fort Bend, TX'!$M$41,'Fort Bend, TX'!$M$43,'Fort Bend, TX'!$M$47</definedName>
    <definedName name="OSRRefB7_2x_2" localSheetId="0">'Fort Bend, TX'!$D$37,'Fort Bend, TX'!$D$41,'Fort Bend, TX'!$D$43,'Fort Bend, TX'!$D$47</definedName>
    <definedName name="OSRRefB7_2x_3" localSheetId="0">'Fort Bend, TX'!$E$37,'Fort Bend, TX'!$E$41,'Fort Bend, TX'!$E$43,'Fort Bend, TX'!$E$47</definedName>
    <definedName name="OSRRefB7_2x_4" localSheetId="0">'Fort Bend, TX'!$F$37,'Fort Bend, TX'!$F$41,'Fort Bend, TX'!$F$43,'Fort Bend, TX'!$F$47</definedName>
    <definedName name="OSRRefB7_2x_5" localSheetId="0">'Fort Bend, TX'!$G$37,'Fort Bend, TX'!$G$41,'Fort Bend, TX'!$G$43,'Fort Bend, TX'!$G$47</definedName>
    <definedName name="OSRRefB7_2x_6" localSheetId="0">'Fort Bend, TX'!$H$37,'Fort Bend, TX'!$H$41,'Fort Bend, TX'!$H$43,'Fort Bend, TX'!$H$47</definedName>
    <definedName name="OSRRefB7_2x_7" localSheetId="0">'Fort Bend, TX'!$I$37,'Fort Bend, TX'!$I$41,'Fort Bend, TX'!$I$43,'Fort Bend, TX'!$I$47</definedName>
    <definedName name="OSRRefB7_2x_8" localSheetId="0">'Fort Bend, TX'!$J$37,'Fort Bend, TX'!$J$41,'Fort Bend, TX'!$J$43,'Fort Bend, TX'!$J$47</definedName>
    <definedName name="OSRRefB7_2x_9" localSheetId="0">'Fort Bend, TX'!$K$37,'Fort Bend, TX'!$K$41,'Fort Bend, TX'!$K$43,'Fort Bend, TX'!$K$47</definedName>
    <definedName name="OSRRefB7_3x_0" localSheetId="0">'Fort Bend, TX'!$B$58</definedName>
    <definedName name="OSRRefB7_3x_1" localSheetId="0">'Fort Bend, TX'!$C$58</definedName>
    <definedName name="OSRRefB7_3x_10" localSheetId="0">'Fort Bend, TX'!$L$58</definedName>
    <definedName name="OSRRefB7_3x_11" localSheetId="0">'Fort Bend, TX'!$M$58</definedName>
    <definedName name="OSRRefB7_3x_2" localSheetId="0">'Fort Bend, TX'!$D$58</definedName>
    <definedName name="OSRRefB7_3x_3" localSheetId="0">'Fort Bend, TX'!$E$58</definedName>
    <definedName name="OSRRefB7_3x_4" localSheetId="0">'Fort Bend, TX'!$F$58</definedName>
    <definedName name="OSRRefB7_3x_5" localSheetId="0">'Fort Bend, TX'!$G$58</definedName>
    <definedName name="OSRRefB7_3x_6" localSheetId="0">'Fort Bend, TX'!$H$58</definedName>
    <definedName name="OSRRefB7_3x_7" localSheetId="0">'Fort Bend, TX'!$I$58</definedName>
    <definedName name="OSRRefB7_3x_8" localSheetId="0">'Fort Bend, TX'!$J$58</definedName>
    <definedName name="OSRRefB7_3x_9" localSheetId="0">'Fort Bend, TX'!$K$58</definedName>
    <definedName name="OSRRefB7_4x_0" localSheetId="0">'Fort Bend, TX'!$B$69</definedName>
    <definedName name="OSRRefB7_4x_1" localSheetId="0">'Fort Bend, TX'!$C$69</definedName>
    <definedName name="OSRRefB7_4x_10" localSheetId="0">'Fort Bend, TX'!$L$69</definedName>
    <definedName name="OSRRefB7_4x_11" localSheetId="0">'Fort Bend, TX'!$M$69</definedName>
    <definedName name="OSRRefB7_4x_2" localSheetId="0">'Fort Bend, TX'!$D$69</definedName>
    <definedName name="OSRRefB7_4x_3" localSheetId="0">'Fort Bend, TX'!$E$69</definedName>
    <definedName name="OSRRefB7_4x_4" localSheetId="0">'Fort Bend, TX'!$F$69</definedName>
    <definedName name="OSRRefB7_4x_5" localSheetId="0">'Fort Bend, TX'!$G$69</definedName>
    <definedName name="OSRRefB7_4x_6" localSheetId="0">'Fort Bend, TX'!$H$69</definedName>
    <definedName name="OSRRefB7_4x_7" localSheetId="0">'Fort Bend, TX'!$I$69</definedName>
    <definedName name="OSRRefB7_4x_8" localSheetId="0">'Fort Bend, TX'!$J$69</definedName>
    <definedName name="OSRRefB7_4x_9" localSheetId="0">'Fort Bend, TX'!$K$69</definedName>
    <definedName name="OSRRefB8x_0" localSheetId="0">'Fort Bend, TX'!$B$19,'Fort Bend, TX'!$B$31,'Fort Bend, TX'!$B$48,'Fort Bend, TX'!$B$59,'Fort Bend, TX'!$B$70</definedName>
    <definedName name="OSRRefB8x_1" localSheetId="0">'Fort Bend, TX'!$C$19,'Fort Bend, TX'!$C$31,'Fort Bend, TX'!$C$48,'Fort Bend, TX'!$C$59,'Fort Bend, TX'!$C$70</definedName>
    <definedName name="OSRRefB8x_10" localSheetId="0">'Fort Bend, TX'!$L$19,'Fort Bend, TX'!$L$31,'Fort Bend, TX'!$L$48,'Fort Bend, TX'!$L$59,'Fort Bend, TX'!$L$70</definedName>
    <definedName name="OSRRefB8x_11" localSheetId="0">'Fort Bend, TX'!$M$19,'Fort Bend, TX'!$M$31,'Fort Bend, TX'!$M$48,'Fort Bend, TX'!$M$59,'Fort Bend, TX'!$M$70</definedName>
    <definedName name="OSRRefB8x_2" localSheetId="0">'Fort Bend, TX'!$D$19,'Fort Bend, TX'!$D$31,'Fort Bend, TX'!$D$48,'Fort Bend, TX'!$D$59,'Fort Bend, TX'!$D$70</definedName>
    <definedName name="OSRRefB8x_3" localSheetId="0">'Fort Bend, TX'!$E$19,'Fort Bend, TX'!$E$31,'Fort Bend, TX'!$E$48,'Fort Bend, TX'!$E$59,'Fort Bend, TX'!$E$70</definedName>
    <definedName name="OSRRefB8x_4" localSheetId="0">'Fort Bend, TX'!$F$19,'Fort Bend, TX'!$F$31,'Fort Bend, TX'!$F$48,'Fort Bend, TX'!$F$59,'Fort Bend, TX'!$F$70</definedName>
    <definedName name="OSRRefB8x_5" localSheetId="0">'Fort Bend, TX'!$G$19,'Fort Bend, TX'!$G$31,'Fort Bend, TX'!$G$48,'Fort Bend, TX'!$G$59,'Fort Bend, TX'!$G$70</definedName>
    <definedName name="OSRRefB8x_6" localSheetId="0">'Fort Bend, TX'!$H$19,'Fort Bend, TX'!$H$31,'Fort Bend, TX'!$H$48,'Fort Bend, TX'!$H$59,'Fort Bend, TX'!$H$70</definedName>
    <definedName name="OSRRefB8x_7" localSheetId="0">'Fort Bend, TX'!$I$19,'Fort Bend, TX'!$I$31,'Fort Bend, TX'!$I$48,'Fort Bend, TX'!$I$59,'Fort Bend, TX'!$I$70</definedName>
    <definedName name="OSRRefB8x_8" localSheetId="0">'Fort Bend, TX'!$J$19,'Fort Bend, TX'!$J$31,'Fort Bend, TX'!$J$48,'Fort Bend, TX'!$J$59,'Fort Bend, TX'!$J$70</definedName>
    <definedName name="OSRRefB8x_9" localSheetId="0">'Fort Bend, TX'!$K$19,'Fort Bend, TX'!$K$31,'Fort Bend, TX'!$K$48,'Fort Bend, TX'!$K$59,'Fort Bend, TX'!$K$70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2" l="1"/>
  <c r="A6" i="2"/>
  <c r="B6" i="2"/>
  <c r="C6" i="2"/>
  <c r="D6" i="2"/>
  <c r="E6" i="2"/>
  <c r="F6" i="2"/>
  <c r="G6" i="2"/>
  <c r="H6" i="2"/>
  <c r="I6" i="2"/>
  <c r="J6" i="2"/>
  <c r="K6" i="2"/>
  <c r="L6" i="2"/>
  <c r="M6" i="2"/>
  <c r="A7" i="2"/>
  <c r="B7" i="2"/>
  <c r="C7" i="2"/>
  <c r="D7" i="2"/>
  <c r="E7" i="2"/>
  <c r="F7" i="2"/>
  <c r="G7" i="2"/>
  <c r="H7" i="2"/>
  <c r="I7" i="2"/>
  <c r="J7" i="2"/>
  <c r="K7" i="2"/>
  <c r="L7" i="2"/>
  <c r="M7" i="2"/>
  <c r="A8" i="2"/>
  <c r="B8" i="2"/>
  <c r="C8" i="2"/>
  <c r="D8" i="2"/>
  <c r="E8" i="2"/>
  <c r="F8" i="2"/>
  <c r="G8" i="2"/>
  <c r="H8" i="2"/>
  <c r="I8" i="2"/>
  <c r="J8" i="2"/>
  <c r="K8" i="2"/>
  <c r="L8" i="2"/>
  <c r="M8" i="2"/>
  <c r="A9" i="2"/>
  <c r="B9" i="2"/>
  <c r="C9" i="2"/>
  <c r="D9" i="2"/>
  <c r="E9" i="2"/>
  <c r="F9" i="2"/>
  <c r="G9" i="2"/>
  <c r="H9" i="2"/>
  <c r="I9" i="2"/>
  <c r="J9" i="2"/>
  <c r="K9" i="2"/>
  <c r="L9" i="2"/>
  <c r="M9" i="2"/>
  <c r="A10" i="2"/>
  <c r="B10" i="2"/>
  <c r="C10" i="2"/>
  <c r="D10" i="2"/>
  <c r="E10" i="2"/>
  <c r="F10" i="2"/>
  <c r="G10" i="2"/>
  <c r="H10" i="2"/>
  <c r="I10" i="2"/>
  <c r="J10" i="2"/>
  <c r="K10" i="2"/>
  <c r="L10" i="2"/>
  <c r="M10" i="2"/>
  <c r="A11" i="2"/>
  <c r="B11" i="2"/>
  <c r="C11" i="2"/>
  <c r="D11" i="2"/>
  <c r="E11" i="2"/>
  <c r="F11" i="2"/>
  <c r="G11" i="2"/>
  <c r="H11" i="2"/>
  <c r="I11" i="2"/>
  <c r="J11" i="2"/>
  <c r="K11" i="2"/>
  <c r="L11" i="2"/>
  <c r="M11" i="2"/>
  <c r="A12" i="2"/>
  <c r="B12" i="2"/>
  <c r="C12" i="2"/>
  <c r="D12" i="2"/>
  <c r="E12" i="2"/>
  <c r="F12" i="2"/>
  <c r="G12" i="2"/>
  <c r="H12" i="2"/>
  <c r="I12" i="2"/>
  <c r="J12" i="2"/>
  <c r="K12" i="2"/>
  <c r="L12" i="2"/>
  <c r="M12" i="2"/>
  <c r="A13" i="2"/>
  <c r="B13" i="2"/>
  <c r="C13" i="2"/>
  <c r="D13" i="2"/>
  <c r="E13" i="2"/>
  <c r="F13" i="2"/>
  <c r="G13" i="2"/>
  <c r="H13" i="2"/>
  <c r="I13" i="2"/>
  <c r="J13" i="2"/>
  <c r="K13" i="2"/>
  <c r="L13" i="2"/>
  <c r="M13" i="2"/>
  <c r="A14" i="2"/>
  <c r="B14" i="2"/>
  <c r="C14" i="2"/>
  <c r="D14" i="2"/>
  <c r="E14" i="2"/>
  <c r="F14" i="2"/>
  <c r="G14" i="2"/>
  <c r="H14" i="2"/>
  <c r="I14" i="2"/>
  <c r="J14" i="2"/>
  <c r="K14" i="2"/>
  <c r="L14" i="2"/>
  <c r="M14" i="2"/>
  <c r="A15" i="2"/>
  <c r="B15" i="2"/>
  <c r="C15" i="2"/>
  <c r="D15" i="2"/>
  <c r="E15" i="2"/>
  <c r="F15" i="2"/>
  <c r="G15" i="2"/>
  <c r="H15" i="2"/>
  <c r="I15" i="2"/>
  <c r="J15" i="2"/>
  <c r="K15" i="2"/>
  <c r="L15" i="2"/>
  <c r="M15" i="2"/>
  <c r="A16" i="2"/>
  <c r="B16" i="2"/>
  <c r="C16" i="2"/>
  <c r="D16" i="2"/>
  <c r="E16" i="2"/>
  <c r="F16" i="2"/>
  <c r="G16" i="2"/>
  <c r="H16" i="2"/>
  <c r="I16" i="2"/>
  <c r="J16" i="2"/>
  <c r="K16" i="2"/>
  <c r="L16" i="2"/>
  <c r="M16" i="2"/>
  <c r="A17" i="2"/>
  <c r="B17" i="2"/>
  <c r="C17" i="2"/>
  <c r="D17" i="2"/>
  <c r="E17" i="2"/>
  <c r="F17" i="2"/>
  <c r="G17" i="2"/>
  <c r="H17" i="2"/>
  <c r="I17" i="2"/>
  <c r="J17" i="2"/>
  <c r="K17" i="2"/>
  <c r="L17" i="2"/>
  <c r="M17" i="2"/>
  <c r="A19" i="2"/>
  <c r="A21" i="2"/>
  <c r="A22" i="2"/>
  <c r="B22" i="2"/>
  <c r="C22" i="2"/>
  <c r="D22" i="2"/>
  <c r="E22" i="2"/>
  <c r="F22" i="2"/>
  <c r="G22" i="2"/>
  <c r="H22" i="2"/>
  <c r="I22" i="2"/>
  <c r="J22" i="2"/>
  <c r="K22" i="2"/>
  <c r="L22" i="2"/>
  <c r="M22" i="2"/>
  <c r="A23" i="2"/>
  <c r="B23" i="2"/>
  <c r="C23" i="2"/>
  <c r="D23" i="2"/>
  <c r="E23" i="2"/>
  <c r="F23" i="2"/>
  <c r="G23" i="2"/>
  <c r="H23" i="2"/>
  <c r="I23" i="2"/>
  <c r="J23" i="2"/>
  <c r="K23" i="2"/>
  <c r="L23" i="2"/>
  <c r="M23" i="2"/>
  <c r="A24" i="2"/>
  <c r="B24" i="2"/>
  <c r="C24" i="2"/>
  <c r="D24" i="2"/>
  <c r="E24" i="2"/>
  <c r="F24" i="2"/>
  <c r="G24" i="2"/>
  <c r="H24" i="2"/>
  <c r="I24" i="2"/>
  <c r="J24" i="2"/>
  <c r="J30" i="2" s="1"/>
  <c r="J31" i="2" s="1"/>
  <c r="K24" i="2"/>
  <c r="L24" i="2"/>
  <c r="M24" i="2"/>
  <c r="A25" i="2"/>
  <c r="B25" i="2"/>
  <c r="C25" i="2"/>
  <c r="D25" i="2"/>
  <c r="E25" i="2"/>
  <c r="F25" i="2"/>
  <c r="G25" i="2"/>
  <c r="H25" i="2"/>
  <c r="I25" i="2"/>
  <c r="J25" i="2"/>
  <c r="K25" i="2"/>
  <c r="L25" i="2"/>
  <c r="M25" i="2"/>
  <c r="A26" i="2"/>
  <c r="B26" i="2"/>
  <c r="C26" i="2"/>
  <c r="D26" i="2"/>
  <c r="E26" i="2"/>
  <c r="F26" i="2"/>
  <c r="G26" i="2"/>
  <c r="H26" i="2"/>
  <c r="I26" i="2"/>
  <c r="J26" i="2"/>
  <c r="K26" i="2"/>
  <c r="L26" i="2"/>
  <c r="M26" i="2"/>
  <c r="A27" i="2"/>
  <c r="B27" i="2"/>
  <c r="C27" i="2"/>
  <c r="D27" i="2"/>
  <c r="E27" i="2"/>
  <c r="F27" i="2"/>
  <c r="G27" i="2"/>
  <c r="H27" i="2"/>
  <c r="I27" i="2"/>
  <c r="J27" i="2"/>
  <c r="K27" i="2"/>
  <c r="L27" i="2"/>
  <c r="M27" i="2"/>
  <c r="A28" i="2"/>
  <c r="B28" i="2"/>
  <c r="B30" i="2" s="1"/>
  <c r="C28" i="2"/>
  <c r="D28" i="2"/>
  <c r="E28" i="2"/>
  <c r="F28" i="2"/>
  <c r="G28" i="2"/>
  <c r="H28" i="2"/>
  <c r="I28" i="2"/>
  <c r="J28" i="2"/>
  <c r="K28" i="2"/>
  <c r="L28" i="2"/>
  <c r="M28" i="2"/>
  <c r="A29" i="2"/>
  <c r="B29" i="2"/>
  <c r="C29" i="2"/>
  <c r="D29" i="2"/>
  <c r="E29" i="2"/>
  <c r="F29" i="2"/>
  <c r="G29" i="2"/>
  <c r="H29" i="2"/>
  <c r="I29" i="2"/>
  <c r="J29" i="2"/>
  <c r="K29" i="2"/>
  <c r="L29" i="2"/>
  <c r="M29" i="2"/>
  <c r="A31" i="2"/>
  <c r="A33" i="2"/>
  <c r="A34" i="2"/>
  <c r="B34" i="2"/>
  <c r="C34" i="2"/>
  <c r="D34" i="2"/>
  <c r="D37" i="2" s="1"/>
  <c r="E34" i="2"/>
  <c r="E37" i="2" s="1"/>
  <c r="F34" i="2"/>
  <c r="G34" i="2"/>
  <c r="H34" i="2"/>
  <c r="I34" i="2"/>
  <c r="J34" i="2"/>
  <c r="K34" i="2"/>
  <c r="L34" i="2"/>
  <c r="L37" i="2" s="1"/>
  <c r="M34" i="2"/>
  <c r="M37" i="2" s="1"/>
  <c r="A35" i="2"/>
  <c r="B35" i="2"/>
  <c r="C35" i="2"/>
  <c r="D35" i="2"/>
  <c r="E35" i="2"/>
  <c r="F35" i="2"/>
  <c r="G35" i="2"/>
  <c r="H35" i="2"/>
  <c r="I35" i="2"/>
  <c r="J35" i="2"/>
  <c r="K35" i="2"/>
  <c r="L35" i="2"/>
  <c r="M35" i="2"/>
  <c r="A36" i="2"/>
  <c r="B36" i="2"/>
  <c r="C36" i="2"/>
  <c r="D36" i="2"/>
  <c r="E36" i="2"/>
  <c r="F36" i="2"/>
  <c r="G36" i="2"/>
  <c r="H36" i="2"/>
  <c r="I36" i="2"/>
  <c r="J36" i="2"/>
  <c r="K36" i="2"/>
  <c r="K37" i="2" s="1"/>
  <c r="L36" i="2"/>
  <c r="M36" i="2"/>
  <c r="A38" i="2"/>
  <c r="B38" i="2"/>
  <c r="C38" i="2"/>
  <c r="D38" i="2"/>
  <c r="E38" i="2"/>
  <c r="F38" i="2"/>
  <c r="G38" i="2"/>
  <c r="H38" i="2"/>
  <c r="H41" i="2" s="1"/>
  <c r="I38" i="2"/>
  <c r="J38" i="2"/>
  <c r="K38" i="2"/>
  <c r="L38" i="2"/>
  <c r="M38" i="2"/>
  <c r="A39" i="2"/>
  <c r="B39" i="2"/>
  <c r="C39" i="2"/>
  <c r="D39" i="2"/>
  <c r="E39" i="2"/>
  <c r="F39" i="2"/>
  <c r="G39" i="2"/>
  <c r="H39" i="2"/>
  <c r="I39" i="2"/>
  <c r="J39" i="2"/>
  <c r="J41" i="2" s="1"/>
  <c r="K39" i="2"/>
  <c r="L39" i="2"/>
  <c r="M39" i="2"/>
  <c r="A40" i="2"/>
  <c r="B40" i="2"/>
  <c r="C40" i="2"/>
  <c r="D40" i="2"/>
  <c r="E40" i="2"/>
  <c r="F40" i="2"/>
  <c r="G40" i="2"/>
  <c r="H40" i="2"/>
  <c r="I40" i="2"/>
  <c r="J40" i="2"/>
  <c r="K40" i="2"/>
  <c r="L40" i="2"/>
  <c r="M40" i="2"/>
  <c r="M41" i="2" s="1"/>
  <c r="E41" i="2"/>
  <c r="A42" i="2"/>
  <c r="B42" i="2"/>
  <c r="B43" i="2" s="1"/>
  <c r="C42" i="2"/>
  <c r="E42" i="2"/>
  <c r="E43" i="2" s="1"/>
  <c r="F42" i="2"/>
  <c r="F43" i="2" s="1"/>
  <c r="G42" i="2"/>
  <c r="H42" i="2"/>
  <c r="H43" i="2" s="1"/>
  <c r="I42" i="2"/>
  <c r="I43" i="2" s="1"/>
  <c r="J42" i="2"/>
  <c r="J43" i="2" s="1"/>
  <c r="K42" i="2"/>
  <c r="L42" i="2"/>
  <c r="M42" i="2"/>
  <c r="M43" i="2" s="1"/>
  <c r="C43" i="2"/>
  <c r="D43" i="2"/>
  <c r="K43" i="2"/>
  <c r="L43" i="2"/>
  <c r="A44" i="2"/>
  <c r="B44" i="2"/>
  <c r="O44" i="2" s="1"/>
  <c r="C44" i="2"/>
  <c r="C47" i="2" s="1"/>
  <c r="D44" i="2"/>
  <c r="D47" i="2" s="1"/>
  <c r="E44" i="2"/>
  <c r="F44" i="2"/>
  <c r="G44" i="2"/>
  <c r="H44" i="2"/>
  <c r="I44" i="2"/>
  <c r="J44" i="2"/>
  <c r="K44" i="2"/>
  <c r="K47" i="2" s="1"/>
  <c r="L44" i="2"/>
  <c r="L47" i="2" s="1"/>
  <c r="M44" i="2"/>
  <c r="A45" i="2"/>
  <c r="B45" i="2"/>
  <c r="C45" i="2"/>
  <c r="D45" i="2"/>
  <c r="E45" i="2"/>
  <c r="F45" i="2"/>
  <c r="G45" i="2"/>
  <c r="H45" i="2"/>
  <c r="I45" i="2"/>
  <c r="J45" i="2"/>
  <c r="K45" i="2"/>
  <c r="L45" i="2"/>
  <c r="M45" i="2"/>
  <c r="A46" i="2"/>
  <c r="B46" i="2"/>
  <c r="C46" i="2"/>
  <c r="D46" i="2"/>
  <c r="E46" i="2"/>
  <c r="F46" i="2"/>
  <c r="G46" i="2"/>
  <c r="H46" i="2"/>
  <c r="I46" i="2"/>
  <c r="J46" i="2"/>
  <c r="K46" i="2"/>
  <c r="L46" i="2"/>
  <c r="M46" i="2"/>
  <c r="E47" i="2"/>
  <c r="J47" i="2"/>
  <c r="A48" i="2"/>
  <c r="A50" i="2"/>
  <c r="A51" i="2"/>
  <c r="B51" i="2"/>
  <c r="O51" i="2" s="1"/>
  <c r="C51" i="2"/>
  <c r="D51" i="2"/>
  <c r="E51" i="2"/>
  <c r="F51" i="2"/>
  <c r="G51" i="2"/>
  <c r="H51" i="2"/>
  <c r="I51" i="2"/>
  <c r="J51" i="2"/>
  <c r="K51" i="2"/>
  <c r="L51" i="2"/>
  <c r="M51" i="2"/>
  <c r="A52" i="2"/>
  <c r="B52" i="2"/>
  <c r="C52" i="2"/>
  <c r="D52" i="2"/>
  <c r="E52" i="2"/>
  <c r="F52" i="2"/>
  <c r="G52" i="2"/>
  <c r="H52" i="2"/>
  <c r="I52" i="2"/>
  <c r="J52" i="2"/>
  <c r="K52" i="2"/>
  <c r="L52" i="2"/>
  <c r="M52" i="2"/>
  <c r="M58" i="2" s="1"/>
  <c r="M59" i="2" s="1"/>
  <c r="A53" i="2"/>
  <c r="B53" i="2"/>
  <c r="C53" i="2"/>
  <c r="D53" i="2"/>
  <c r="E53" i="2"/>
  <c r="F53" i="2"/>
  <c r="G53" i="2"/>
  <c r="H53" i="2"/>
  <c r="I53" i="2"/>
  <c r="J53" i="2"/>
  <c r="K53" i="2"/>
  <c r="L53" i="2"/>
  <c r="M53" i="2"/>
  <c r="A54" i="2"/>
  <c r="B54" i="2"/>
  <c r="O54" i="2" s="1"/>
  <c r="C54" i="2"/>
  <c r="D54" i="2"/>
  <c r="E54" i="2"/>
  <c r="F54" i="2"/>
  <c r="G54" i="2"/>
  <c r="H54" i="2"/>
  <c r="I54" i="2"/>
  <c r="J54" i="2"/>
  <c r="K54" i="2"/>
  <c r="L54" i="2"/>
  <c r="M54" i="2"/>
  <c r="A55" i="2"/>
  <c r="B55" i="2"/>
  <c r="C55" i="2"/>
  <c r="D55" i="2"/>
  <c r="E55" i="2"/>
  <c r="F55" i="2"/>
  <c r="G55" i="2"/>
  <c r="H55" i="2"/>
  <c r="I55" i="2"/>
  <c r="J55" i="2"/>
  <c r="K55" i="2"/>
  <c r="L55" i="2"/>
  <c r="M55" i="2"/>
  <c r="A56" i="2"/>
  <c r="B56" i="2"/>
  <c r="C56" i="2"/>
  <c r="D56" i="2"/>
  <c r="E56" i="2"/>
  <c r="F56" i="2"/>
  <c r="G56" i="2"/>
  <c r="H56" i="2"/>
  <c r="I56" i="2"/>
  <c r="J56" i="2"/>
  <c r="K56" i="2"/>
  <c r="L56" i="2"/>
  <c r="M56" i="2"/>
  <c r="A57" i="2"/>
  <c r="B57" i="2"/>
  <c r="C57" i="2"/>
  <c r="D57" i="2"/>
  <c r="E57" i="2"/>
  <c r="F57" i="2"/>
  <c r="G57" i="2"/>
  <c r="H57" i="2"/>
  <c r="I57" i="2"/>
  <c r="J57" i="2"/>
  <c r="K57" i="2"/>
  <c r="L57" i="2"/>
  <c r="M57" i="2"/>
  <c r="A59" i="2"/>
  <c r="A61" i="2"/>
  <c r="A62" i="2"/>
  <c r="B62" i="2"/>
  <c r="C62" i="2"/>
  <c r="D62" i="2"/>
  <c r="E62" i="2"/>
  <c r="F62" i="2"/>
  <c r="G62" i="2"/>
  <c r="H62" i="2"/>
  <c r="I62" i="2"/>
  <c r="J62" i="2"/>
  <c r="K62" i="2"/>
  <c r="L62" i="2"/>
  <c r="M62" i="2"/>
  <c r="A63" i="2"/>
  <c r="B63" i="2"/>
  <c r="C63" i="2"/>
  <c r="D63" i="2"/>
  <c r="E63" i="2"/>
  <c r="F63" i="2"/>
  <c r="G63" i="2"/>
  <c r="H63" i="2"/>
  <c r="I63" i="2"/>
  <c r="J63" i="2"/>
  <c r="K63" i="2"/>
  <c r="L63" i="2"/>
  <c r="M63" i="2"/>
  <c r="A64" i="2"/>
  <c r="B64" i="2"/>
  <c r="C64" i="2"/>
  <c r="D64" i="2"/>
  <c r="E64" i="2"/>
  <c r="F64" i="2"/>
  <c r="G64" i="2"/>
  <c r="H64" i="2"/>
  <c r="I64" i="2"/>
  <c r="J64" i="2"/>
  <c r="K64" i="2"/>
  <c r="L64" i="2"/>
  <c r="M64" i="2"/>
  <c r="A65" i="2"/>
  <c r="B65" i="2"/>
  <c r="C65" i="2"/>
  <c r="D65" i="2"/>
  <c r="O65" i="2" s="1"/>
  <c r="E65" i="2"/>
  <c r="F65" i="2"/>
  <c r="G65" i="2"/>
  <c r="H65" i="2"/>
  <c r="I65" i="2"/>
  <c r="J65" i="2"/>
  <c r="K65" i="2"/>
  <c r="L65" i="2"/>
  <c r="M65" i="2"/>
  <c r="A66" i="2"/>
  <c r="B66" i="2"/>
  <c r="C66" i="2"/>
  <c r="D66" i="2"/>
  <c r="E66" i="2"/>
  <c r="F66" i="2"/>
  <c r="G66" i="2"/>
  <c r="H66" i="2"/>
  <c r="I66" i="2"/>
  <c r="J66" i="2"/>
  <c r="K66" i="2"/>
  <c r="L66" i="2"/>
  <c r="M66" i="2"/>
  <c r="A67" i="2"/>
  <c r="B67" i="2"/>
  <c r="C67" i="2"/>
  <c r="D67" i="2"/>
  <c r="E67" i="2"/>
  <c r="F67" i="2"/>
  <c r="G67" i="2"/>
  <c r="H67" i="2"/>
  <c r="I67" i="2"/>
  <c r="J67" i="2"/>
  <c r="K67" i="2"/>
  <c r="L67" i="2"/>
  <c r="M67" i="2"/>
  <c r="A68" i="2"/>
  <c r="B68" i="2"/>
  <c r="C68" i="2"/>
  <c r="D68" i="2"/>
  <c r="O68" i="2" s="1"/>
  <c r="E68" i="2"/>
  <c r="F68" i="2"/>
  <c r="G68" i="2"/>
  <c r="H68" i="2"/>
  <c r="I68" i="2"/>
  <c r="J68" i="2"/>
  <c r="K68" i="2"/>
  <c r="L68" i="2"/>
  <c r="M68" i="2"/>
  <c r="A70" i="2"/>
  <c r="A74" i="2"/>
  <c r="A75" i="2"/>
  <c r="B75" i="2"/>
  <c r="C75" i="2"/>
  <c r="D75" i="2"/>
  <c r="D77" i="2" s="1"/>
  <c r="D78" i="2" s="1"/>
  <c r="E75" i="2"/>
  <c r="F75" i="2"/>
  <c r="G75" i="2"/>
  <c r="H75" i="2"/>
  <c r="H77" i="2" s="1"/>
  <c r="H78" i="2" s="1"/>
  <c r="I75" i="2"/>
  <c r="J75" i="2"/>
  <c r="K75" i="2"/>
  <c r="L75" i="2"/>
  <c r="M75" i="2"/>
  <c r="A76" i="2"/>
  <c r="B76" i="2"/>
  <c r="C76" i="2"/>
  <c r="D76" i="2"/>
  <c r="E76" i="2"/>
  <c r="F76" i="2"/>
  <c r="G76" i="2"/>
  <c r="H76" i="2"/>
  <c r="I76" i="2"/>
  <c r="J76" i="2"/>
  <c r="K76" i="2"/>
  <c r="L76" i="2"/>
  <c r="M76" i="2"/>
  <c r="F77" i="2"/>
  <c r="A78" i="2"/>
  <c r="F78" i="2"/>
  <c r="A80" i="2"/>
  <c r="A81" i="2"/>
  <c r="B81" i="2"/>
  <c r="C81" i="2"/>
  <c r="D81" i="2"/>
  <c r="D87" i="2" s="1"/>
  <c r="E81" i="2"/>
  <c r="F81" i="2"/>
  <c r="G81" i="2"/>
  <c r="H81" i="2"/>
  <c r="I81" i="2"/>
  <c r="J81" i="2"/>
  <c r="K81" i="2"/>
  <c r="L81" i="2"/>
  <c r="M81" i="2"/>
  <c r="A82" i="2"/>
  <c r="B82" i="2"/>
  <c r="O82" i="2" s="1"/>
  <c r="C82" i="2"/>
  <c r="D82" i="2"/>
  <c r="E82" i="2"/>
  <c r="F82" i="2"/>
  <c r="G82" i="2"/>
  <c r="H82" i="2"/>
  <c r="I82" i="2"/>
  <c r="J82" i="2"/>
  <c r="K82" i="2"/>
  <c r="L82" i="2"/>
  <c r="M82" i="2"/>
  <c r="A83" i="2"/>
  <c r="B83" i="2"/>
  <c r="C83" i="2"/>
  <c r="D83" i="2"/>
  <c r="E83" i="2"/>
  <c r="F83" i="2"/>
  <c r="G83" i="2"/>
  <c r="H83" i="2"/>
  <c r="H87" i="2" s="1"/>
  <c r="I83" i="2"/>
  <c r="J83" i="2"/>
  <c r="K83" i="2"/>
  <c r="L83" i="2"/>
  <c r="M83" i="2"/>
  <c r="A84" i="2"/>
  <c r="B84" i="2"/>
  <c r="C84" i="2"/>
  <c r="D84" i="2"/>
  <c r="E84" i="2"/>
  <c r="F84" i="2"/>
  <c r="G84" i="2"/>
  <c r="H84" i="2"/>
  <c r="I84" i="2"/>
  <c r="J84" i="2"/>
  <c r="K84" i="2"/>
  <c r="L84" i="2"/>
  <c r="M84" i="2"/>
  <c r="A85" i="2"/>
  <c r="B85" i="2"/>
  <c r="C85" i="2"/>
  <c r="D85" i="2"/>
  <c r="E85" i="2"/>
  <c r="F85" i="2"/>
  <c r="G85" i="2"/>
  <c r="H85" i="2"/>
  <c r="I85" i="2"/>
  <c r="J85" i="2"/>
  <c r="K85" i="2"/>
  <c r="L85" i="2"/>
  <c r="M85" i="2"/>
  <c r="A86" i="2"/>
  <c r="B86" i="2"/>
  <c r="O86" i="2" s="1"/>
  <c r="C86" i="2"/>
  <c r="D86" i="2"/>
  <c r="E86" i="2"/>
  <c r="F86" i="2"/>
  <c r="G86" i="2"/>
  <c r="H86" i="2"/>
  <c r="I86" i="2"/>
  <c r="J86" i="2"/>
  <c r="K86" i="2"/>
  <c r="L86" i="2"/>
  <c r="M86" i="2"/>
  <c r="A88" i="2"/>
  <c r="B88" i="2"/>
  <c r="C88" i="2"/>
  <c r="C92" i="2" s="1"/>
  <c r="D88" i="2"/>
  <c r="E88" i="2"/>
  <c r="F88" i="2"/>
  <c r="G88" i="2"/>
  <c r="H88" i="2"/>
  <c r="I88" i="2"/>
  <c r="J88" i="2"/>
  <c r="J92" i="2" s="1"/>
  <c r="K88" i="2"/>
  <c r="K92" i="2" s="1"/>
  <c r="L88" i="2"/>
  <c r="M88" i="2"/>
  <c r="A89" i="2"/>
  <c r="B89" i="2"/>
  <c r="C89" i="2"/>
  <c r="D89" i="2"/>
  <c r="E89" i="2"/>
  <c r="F89" i="2"/>
  <c r="G89" i="2"/>
  <c r="H89" i="2"/>
  <c r="I89" i="2"/>
  <c r="J89" i="2"/>
  <c r="K89" i="2"/>
  <c r="L89" i="2"/>
  <c r="M89" i="2"/>
  <c r="A90" i="2"/>
  <c r="B90" i="2"/>
  <c r="C90" i="2"/>
  <c r="D90" i="2"/>
  <c r="E90" i="2"/>
  <c r="F90" i="2"/>
  <c r="G90" i="2"/>
  <c r="H90" i="2"/>
  <c r="I90" i="2"/>
  <c r="J90" i="2"/>
  <c r="K90" i="2"/>
  <c r="L90" i="2"/>
  <c r="M90" i="2"/>
  <c r="A91" i="2"/>
  <c r="B91" i="2"/>
  <c r="C91" i="2"/>
  <c r="D91" i="2"/>
  <c r="E91" i="2"/>
  <c r="F91" i="2"/>
  <c r="G91" i="2"/>
  <c r="H91" i="2"/>
  <c r="I91" i="2"/>
  <c r="J91" i="2"/>
  <c r="K91" i="2"/>
  <c r="L91" i="2"/>
  <c r="M91" i="2"/>
  <c r="A93" i="2"/>
  <c r="A95" i="2"/>
  <c r="A96" i="2"/>
  <c r="B96" i="2"/>
  <c r="C96" i="2"/>
  <c r="D96" i="2"/>
  <c r="E96" i="2"/>
  <c r="E103" i="2" s="1"/>
  <c r="E104" i="2" s="1"/>
  <c r="F96" i="2"/>
  <c r="G96" i="2"/>
  <c r="H96" i="2"/>
  <c r="I96" i="2"/>
  <c r="J96" i="2"/>
  <c r="K96" i="2"/>
  <c r="L96" i="2"/>
  <c r="L103" i="2" s="1"/>
  <c r="L104" i="2" s="1"/>
  <c r="M96" i="2"/>
  <c r="M103" i="2" s="1"/>
  <c r="M104" i="2" s="1"/>
  <c r="A97" i="2"/>
  <c r="B97" i="2"/>
  <c r="C97" i="2"/>
  <c r="D97" i="2"/>
  <c r="E97" i="2"/>
  <c r="F97" i="2"/>
  <c r="G97" i="2"/>
  <c r="H97" i="2"/>
  <c r="I97" i="2"/>
  <c r="J97" i="2"/>
  <c r="K97" i="2"/>
  <c r="L97" i="2"/>
  <c r="M97" i="2"/>
  <c r="A98" i="2"/>
  <c r="B98" i="2"/>
  <c r="C98" i="2"/>
  <c r="D98" i="2"/>
  <c r="E98" i="2"/>
  <c r="F98" i="2"/>
  <c r="G98" i="2"/>
  <c r="H98" i="2"/>
  <c r="I98" i="2"/>
  <c r="J98" i="2"/>
  <c r="K98" i="2"/>
  <c r="L98" i="2"/>
  <c r="M98" i="2"/>
  <c r="A99" i="2"/>
  <c r="C99" i="2"/>
  <c r="D99" i="2"/>
  <c r="F99" i="2"/>
  <c r="G99" i="2"/>
  <c r="O99" i="2" s="1"/>
  <c r="H99" i="2"/>
  <c r="I99" i="2"/>
  <c r="J99" i="2"/>
  <c r="K99" i="2"/>
  <c r="L99" i="2"/>
  <c r="M99" i="2"/>
  <c r="A100" i="2"/>
  <c r="B100" i="2"/>
  <c r="C100" i="2"/>
  <c r="D100" i="2"/>
  <c r="D103" i="2" s="1"/>
  <c r="D104" i="2" s="1"/>
  <c r="E100" i="2"/>
  <c r="F100" i="2"/>
  <c r="G100" i="2"/>
  <c r="H100" i="2"/>
  <c r="I100" i="2"/>
  <c r="J100" i="2"/>
  <c r="K100" i="2"/>
  <c r="L100" i="2"/>
  <c r="M100" i="2"/>
  <c r="A101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A102" i="2"/>
  <c r="B102" i="2"/>
  <c r="B103" i="2" s="1"/>
  <c r="B104" i="2" s="1"/>
  <c r="C102" i="2"/>
  <c r="D102" i="2"/>
  <c r="E102" i="2"/>
  <c r="F102" i="2"/>
  <c r="G102" i="2"/>
  <c r="H102" i="2"/>
  <c r="I102" i="2"/>
  <c r="J102" i="2"/>
  <c r="K102" i="2"/>
  <c r="L102" i="2"/>
  <c r="M102" i="2"/>
  <c r="A104" i="2"/>
  <c r="A106" i="2"/>
  <c r="A107" i="2"/>
  <c r="B107" i="2"/>
  <c r="C107" i="2"/>
  <c r="D107" i="2"/>
  <c r="D117" i="2" s="1"/>
  <c r="D118" i="2" s="1"/>
  <c r="E107" i="2"/>
  <c r="F107" i="2"/>
  <c r="G107" i="2"/>
  <c r="H107" i="2"/>
  <c r="I107" i="2"/>
  <c r="J107" i="2"/>
  <c r="K107" i="2"/>
  <c r="L107" i="2"/>
  <c r="M107" i="2"/>
  <c r="A108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A109" i="2"/>
  <c r="B109" i="2"/>
  <c r="O109" i="2" s="1"/>
  <c r="C109" i="2"/>
  <c r="D109" i="2"/>
  <c r="E109" i="2"/>
  <c r="F109" i="2"/>
  <c r="G109" i="2"/>
  <c r="H109" i="2"/>
  <c r="I109" i="2"/>
  <c r="J109" i="2"/>
  <c r="K109" i="2"/>
  <c r="L109" i="2"/>
  <c r="M109" i="2"/>
  <c r="A110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A111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A112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A113" i="2"/>
  <c r="B113" i="2"/>
  <c r="O113" i="2" s="1"/>
  <c r="C113" i="2"/>
  <c r="D113" i="2"/>
  <c r="E113" i="2"/>
  <c r="F113" i="2"/>
  <c r="G113" i="2"/>
  <c r="H113" i="2"/>
  <c r="I113" i="2"/>
  <c r="J113" i="2"/>
  <c r="K113" i="2"/>
  <c r="L113" i="2"/>
  <c r="M113" i="2"/>
  <c r="A114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A115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A116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A118" i="2"/>
  <c r="A122" i="2"/>
  <c r="A123" i="2"/>
  <c r="E123" i="2"/>
  <c r="F123" i="2"/>
  <c r="G123" i="2"/>
  <c r="H123" i="2"/>
  <c r="I123" i="2"/>
  <c r="J123" i="2"/>
  <c r="K123" i="2"/>
  <c r="L123" i="2"/>
  <c r="M123" i="2"/>
  <c r="A124" i="2"/>
  <c r="B124" i="2"/>
  <c r="C124" i="2"/>
  <c r="D124" i="2"/>
  <c r="D130" i="2" s="1"/>
  <c r="E124" i="2"/>
  <c r="F124" i="2"/>
  <c r="G124" i="2"/>
  <c r="H124" i="2"/>
  <c r="I124" i="2"/>
  <c r="J124" i="2"/>
  <c r="K124" i="2"/>
  <c r="L124" i="2"/>
  <c r="M124" i="2"/>
  <c r="A125" i="2"/>
  <c r="O125" i="2"/>
  <c r="D125" i="2"/>
  <c r="E130" i="2"/>
  <c r="F125" i="2"/>
  <c r="G125" i="2"/>
  <c r="H125" i="2"/>
  <c r="I125" i="2"/>
  <c r="J125" i="2"/>
  <c r="K125" i="2"/>
  <c r="L125" i="2"/>
  <c r="M125" i="2"/>
  <c r="A126" i="2"/>
  <c r="C126" i="2"/>
  <c r="E126" i="2"/>
  <c r="F126" i="2"/>
  <c r="G126" i="2"/>
  <c r="H126" i="2"/>
  <c r="I126" i="2"/>
  <c r="J126" i="2"/>
  <c r="K126" i="2"/>
  <c r="L126" i="2"/>
  <c r="M126" i="2"/>
  <c r="A127" i="2"/>
  <c r="B127" i="2"/>
  <c r="B130" i="2" s="1"/>
  <c r="C127" i="2"/>
  <c r="D127" i="2"/>
  <c r="E127" i="2"/>
  <c r="F127" i="2"/>
  <c r="G127" i="2"/>
  <c r="H127" i="2"/>
  <c r="I127" i="2"/>
  <c r="J127" i="2"/>
  <c r="K127" i="2"/>
  <c r="L127" i="2"/>
  <c r="M127" i="2"/>
  <c r="A128" i="2"/>
  <c r="B128" i="2"/>
  <c r="C128" i="2"/>
  <c r="D128" i="2"/>
  <c r="E128" i="2"/>
  <c r="F128" i="2"/>
  <c r="G128" i="2"/>
  <c r="H128" i="2"/>
  <c r="I128" i="2"/>
  <c r="J128" i="2"/>
  <c r="J130" i="2" s="1"/>
  <c r="K128" i="2"/>
  <c r="L128" i="2"/>
  <c r="M128" i="2"/>
  <c r="A129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A131" i="2"/>
  <c r="B131" i="2"/>
  <c r="C131" i="2"/>
  <c r="D131" i="2"/>
  <c r="E131" i="2"/>
  <c r="F131" i="2"/>
  <c r="G131" i="2"/>
  <c r="H131" i="2"/>
  <c r="I131" i="2"/>
  <c r="I137" i="2" s="1"/>
  <c r="J131" i="2"/>
  <c r="K131" i="2"/>
  <c r="L131" i="2"/>
  <c r="L137" i="2" s="1"/>
  <c r="M131" i="2"/>
  <c r="A132" i="2"/>
  <c r="B132" i="2"/>
  <c r="C132" i="2"/>
  <c r="D132" i="2"/>
  <c r="E132" i="2"/>
  <c r="F132" i="2"/>
  <c r="F137" i="2" s="1"/>
  <c r="G132" i="2"/>
  <c r="H132" i="2"/>
  <c r="I132" i="2"/>
  <c r="J132" i="2"/>
  <c r="K132" i="2"/>
  <c r="L132" i="2"/>
  <c r="M132" i="2"/>
  <c r="A133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A134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A135" i="2"/>
  <c r="B135" i="2"/>
  <c r="C135" i="2"/>
  <c r="D135" i="2"/>
  <c r="E135" i="2"/>
  <c r="F135" i="2"/>
  <c r="G135" i="2"/>
  <c r="H135" i="2"/>
  <c r="O135" i="2" s="1"/>
  <c r="I135" i="2"/>
  <c r="J135" i="2"/>
  <c r="K135" i="2"/>
  <c r="L135" i="2"/>
  <c r="M135" i="2"/>
  <c r="A136" i="2"/>
  <c r="B136" i="2"/>
  <c r="C136" i="2"/>
  <c r="D136" i="2"/>
  <c r="E136" i="2"/>
  <c r="F136" i="2"/>
  <c r="G136" i="2"/>
  <c r="H136" i="2"/>
  <c r="I136" i="2"/>
  <c r="J136" i="2"/>
  <c r="K136" i="2"/>
  <c r="K137" i="2" s="1"/>
  <c r="L136" i="2"/>
  <c r="M136" i="2"/>
  <c r="A138" i="2"/>
  <c r="B138" i="2"/>
  <c r="O138" i="2" s="1"/>
  <c r="C138" i="2"/>
  <c r="D138" i="2"/>
  <c r="D141" i="2" s="1"/>
  <c r="E138" i="2"/>
  <c r="F138" i="2"/>
  <c r="G138" i="2"/>
  <c r="H138" i="2"/>
  <c r="I138" i="2"/>
  <c r="J138" i="2"/>
  <c r="K138" i="2"/>
  <c r="L138" i="2"/>
  <c r="M138" i="2"/>
  <c r="A139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A140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G141" i="2"/>
  <c r="L141" i="2"/>
  <c r="A142" i="2"/>
  <c r="A146" i="2"/>
  <c r="A147" i="2"/>
  <c r="B147" i="2"/>
  <c r="C147" i="2"/>
  <c r="C148" i="2" s="1"/>
  <c r="C149" i="2" s="1"/>
  <c r="D147" i="2"/>
  <c r="D148" i="2" s="1"/>
  <c r="D149" i="2" s="1"/>
  <c r="E147" i="2"/>
  <c r="F147" i="2"/>
  <c r="F148" i="2" s="1"/>
  <c r="F149" i="2" s="1"/>
  <c r="G147" i="2"/>
  <c r="G148" i="2" s="1"/>
  <c r="G149" i="2" s="1"/>
  <c r="H147" i="2"/>
  <c r="H148" i="2" s="1"/>
  <c r="H149" i="2" s="1"/>
  <c r="I147" i="2"/>
  <c r="I148" i="2" s="1"/>
  <c r="I149" i="2" s="1"/>
  <c r="J147" i="2"/>
  <c r="J148" i="2" s="1"/>
  <c r="J149" i="2" s="1"/>
  <c r="K147" i="2"/>
  <c r="K148" i="2" s="1"/>
  <c r="K149" i="2" s="1"/>
  <c r="L147" i="2"/>
  <c r="L148" i="2" s="1"/>
  <c r="L149" i="2" s="1"/>
  <c r="M147" i="2"/>
  <c r="E148" i="2"/>
  <c r="E149" i="2" s="1"/>
  <c r="M148" i="2"/>
  <c r="M149" i="2" s="1"/>
  <c r="A149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3" i="2"/>
  <c r="G18" i="2" l="1"/>
  <c r="G19" i="2" s="1"/>
  <c r="O136" i="2"/>
  <c r="G103" i="2"/>
  <c r="G104" i="2" s="1"/>
  <c r="G77" i="2"/>
  <c r="G78" i="2" s="1"/>
  <c r="L69" i="2"/>
  <c r="L70" i="2" s="1"/>
  <c r="I69" i="2"/>
  <c r="I70" i="2" s="1"/>
  <c r="H47" i="2"/>
  <c r="F47" i="2"/>
  <c r="F18" i="2"/>
  <c r="F19" i="2" s="1"/>
  <c r="O126" i="2"/>
  <c r="I103" i="2"/>
  <c r="I104" i="2" s="1"/>
  <c r="F103" i="2"/>
  <c r="F104" i="2" s="1"/>
  <c r="H69" i="2"/>
  <c r="H70" i="2" s="1"/>
  <c r="M69" i="2"/>
  <c r="M70" i="2" s="1"/>
  <c r="E69" i="2"/>
  <c r="E70" i="2" s="1"/>
  <c r="G47" i="2"/>
  <c r="M47" i="2"/>
  <c r="M48" i="2" s="1"/>
  <c r="F30" i="2"/>
  <c r="F31" i="2" s="1"/>
  <c r="O14" i="2"/>
  <c r="O13" i="2"/>
  <c r="K18" i="2"/>
  <c r="K19" i="2" s="1"/>
  <c r="C18" i="2"/>
  <c r="C19" i="2" s="1"/>
  <c r="H18" i="2"/>
  <c r="H19" i="2" s="1"/>
  <c r="M117" i="2"/>
  <c r="M118" i="2" s="1"/>
  <c r="M30" i="2"/>
  <c r="M31" i="2" s="1"/>
  <c r="C137" i="2"/>
  <c r="H137" i="2"/>
  <c r="M130" i="2"/>
  <c r="J103" i="2"/>
  <c r="J104" i="2" s="1"/>
  <c r="O98" i="2"/>
  <c r="F87" i="2"/>
  <c r="K87" i="2"/>
  <c r="C87" i="2"/>
  <c r="C93" i="2" s="1"/>
  <c r="L77" i="2"/>
  <c r="L78" i="2" s="1"/>
  <c r="O45" i="2"/>
  <c r="C30" i="2"/>
  <c r="C31" i="2" s="1"/>
  <c r="K103" i="2"/>
  <c r="K104" i="2" s="1"/>
  <c r="O55" i="2"/>
  <c r="O28" i="2"/>
  <c r="O15" i="2"/>
  <c r="F141" i="2"/>
  <c r="M137" i="2"/>
  <c r="E137" i="2"/>
  <c r="J137" i="2"/>
  <c r="J142" i="2" s="1"/>
  <c r="B137" i="2"/>
  <c r="L130" i="2"/>
  <c r="L142" i="2" s="1"/>
  <c r="O114" i="2"/>
  <c r="O101" i="2"/>
  <c r="O90" i="2"/>
  <c r="L92" i="2"/>
  <c r="D92" i="2"/>
  <c r="D93" i="2" s="1"/>
  <c r="D120" i="2" s="1"/>
  <c r="I92" i="2"/>
  <c r="M87" i="2"/>
  <c r="E87" i="2"/>
  <c r="K77" i="2"/>
  <c r="K78" i="2" s="1"/>
  <c r="C77" i="2"/>
  <c r="C78" i="2" s="1"/>
  <c r="L41" i="2"/>
  <c r="L48" i="2" s="1"/>
  <c r="D41" i="2"/>
  <c r="D48" i="2" s="1"/>
  <c r="I41" i="2"/>
  <c r="F41" i="2"/>
  <c r="L58" i="2"/>
  <c r="L59" i="2" s="1"/>
  <c r="D30" i="2"/>
  <c r="D31" i="2" s="1"/>
  <c r="E30" i="2"/>
  <c r="E31" i="2" s="1"/>
  <c r="J141" i="2"/>
  <c r="M141" i="2"/>
  <c r="E141" i="2"/>
  <c r="O134" i="2"/>
  <c r="D137" i="2"/>
  <c r="D142" i="2" s="1"/>
  <c r="M77" i="2"/>
  <c r="M78" i="2" s="1"/>
  <c r="E77" i="2"/>
  <c r="E78" i="2" s="1"/>
  <c r="J77" i="2"/>
  <c r="J78" i="2" s="1"/>
  <c r="D69" i="2"/>
  <c r="D70" i="2" s="1"/>
  <c r="F37" i="2"/>
  <c r="O10" i="2"/>
  <c r="O127" i="2"/>
  <c r="C103" i="2"/>
  <c r="C104" i="2" s="1"/>
  <c r="F117" i="2"/>
  <c r="F118" i="2" s="1"/>
  <c r="K117" i="2"/>
  <c r="K118" i="2" s="1"/>
  <c r="C117" i="2"/>
  <c r="C118" i="2" s="1"/>
  <c r="H117" i="2"/>
  <c r="H118" i="2" s="1"/>
  <c r="O100" i="2"/>
  <c r="C37" i="2"/>
  <c r="H37" i="2"/>
  <c r="K93" i="2"/>
  <c r="E48" i="2"/>
  <c r="D58" i="2"/>
  <c r="D59" i="2" s="1"/>
  <c r="F130" i="2"/>
  <c r="G92" i="2"/>
  <c r="O91" i="2"/>
  <c r="B41" i="2"/>
  <c r="O39" i="2"/>
  <c r="G41" i="2"/>
  <c r="O38" i="2"/>
  <c r="K30" i="2"/>
  <c r="K31" i="2" s="1"/>
  <c r="G130" i="2"/>
  <c r="O111" i="2"/>
  <c r="O110" i="2"/>
  <c r="J117" i="2"/>
  <c r="J118" i="2" s="1"/>
  <c r="O108" i="2"/>
  <c r="G117" i="2"/>
  <c r="G118" i="2" s="1"/>
  <c r="G87" i="2"/>
  <c r="F69" i="2"/>
  <c r="F70" i="2" s="1"/>
  <c r="O64" i="2"/>
  <c r="O124" i="2"/>
  <c r="O34" i="2"/>
  <c r="O84" i="2"/>
  <c r="J87" i="2"/>
  <c r="J93" i="2" s="1"/>
  <c r="O35" i="2"/>
  <c r="O16" i="2"/>
  <c r="O140" i="2"/>
  <c r="B141" i="2"/>
  <c r="L117" i="2"/>
  <c r="L118" i="2" s="1"/>
  <c r="O67" i="2"/>
  <c r="G69" i="2"/>
  <c r="G70" i="2" s="1"/>
  <c r="L30" i="2"/>
  <c r="L31" i="2" s="1"/>
  <c r="B87" i="2"/>
  <c r="O81" i="2"/>
  <c r="I87" i="2"/>
  <c r="B117" i="2"/>
  <c r="E117" i="2"/>
  <c r="E118" i="2" s="1"/>
  <c r="I77" i="2"/>
  <c r="I78" i="2" s="1"/>
  <c r="F58" i="2"/>
  <c r="F59" i="2" s="1"/>
  <c r="O83" i="2"/>
  <c r="O36" i="2"/>
  <c r="O6" i="2"/>
  <c r="L87" i="2"/>
  <c r="I130" i="2"/>
  <c r="O123" i="2"/>
  <c r="O88" i="2"/>
  <c r="B92" i="2"/>
  <c r="O56" i="2"/>
  <c r="J58" i="2"/>
  <c r="J59" i="2" s="1"/>
  <c r="O53" i="2"/>
  <c r="G58" i="2"/>
  <c r="G59" i="2" s="1"/>
  <c r="E58" i="2"/>
  <c r="E59" i="2" s="1"/>
  <c r="O147" i="2"/>
  <c r="B148" i="2"/>
  <c r="O115" i="2"/>
  <c r="O46" i="2"/>
  <c r="O29" i="2"/>
  <c r="O27" i="2"/>
  <c r="O8" i="2"/>
  <c r="E18" i="2"/>
  <c r="E19" i="2" s="1"/>
  <c r="K141" i="2"/>
  <c r="G137" i="2"/>
  <c r="O128" i="2"/>
  <c r="H130" i="2"/>
  <c r="O112" i="2"/>
  <c r="H103" i="2"/>
  <c r="H104" i="2" s="1"/>
  <c r="O96" i="2"/>
  <c r="O89" i="2"/>
  <c r="H92" i="2"/>
  <c r="H93" i="2" s="1"/>
  <c r="O85" i="2"/>
  <c r="O57" i="2"/>
  <c r="K58" i="2"/>
  <c r="K59" i="2" s="1"/>
  <c r="C58" i="2"/>
  <c r="C59" i="2" s="1"/>
  <c r="O40" i="2"/>
  <c r="B31" i="2"/>
  <c r="O17" i="2"/>
  <c r="L18" i="2"/>
  <c r="L19" i="2" s="1"/>
  <c r="D18" i="2"/>
  <c r="D19" i="2" s="1"/>
  <c r="O133" i="2"/>
  <c r="O131" i="2"/>
  <c r="O76" i="2"/>
  <c r="J69" i="2"/>
  <c r="J70" i="2" s="1"/>
  <c r="B69" i="2"/>
  <c r="O62" i="2"/>
  <c r="G43" i="2"/>
  <c r="O43" i="2" s="1"/>
  <c r="O42" i="2"/>
  <c r="J37" i="2"/>
  <c r="J48" i="2" s="1"/>
  <c r="B37" i="2"/>
  <c r="O22" i="2"/>
  <c r="O7" i="2"/>
  <c r="O102" i="2"/>
  <c r="O97" i="2"/>
  <c r="F92" i="2"/>
  <c r="B77" i="2"/>
  <c r="O75" i="2"/>
  <c r="K41" i="2"/>
  <c r="K48" i="2" s="1"/>
  <c r="G30" i="2"/>
  <c r="G31" i="2" s="1"/>
  <c r="I30" i="2"/>
  <c r="I31" i="2" s="1"/>
  <c r="O12" i="2"/>
  <c r="O11" i="2"/>
  <c r="O9" i="2"/>
  <c r="B18" i="2"/>
  <c r="O151" i="2"/>
  <c r="O139" i="2"/>
  <c r="H141" i="2"/>
  <c r="O132" i="2"/>
  <c r="O129" i="2"/>
  <c r="K130" i="2"/>
  <c r="C130" i="2"/>
  <c r="O107" i="2"/>
  <c r="M92" i="2"/>
  <c r="M93" i="2" s="1"/>
  <c r="M120" i="2" s="1"/>
  <c r="E92" i="2"/>
  <c r="E93" i="2" s="1"/>
  <c r="O66" i="2"/>
  <c r="K69" i="2"/>
  <c r="K70" i="2" s="1"/>
  <c r="C69" i="2"/>
  <c r="C70" i="2" s="1"/>
  <c r="O52" i="2"/>
  <c r="H58" i="2"/>
  <c r="H59" i="2" s="1"/>
  <c r="B47" i="2"/>
  <c r="O24" i="2"/>
  <c r="H30" i="2"/>
  <c r="H31" i="2" s="1"/>
  <c r="I18" i="2"/>
  <c r="I19" i="2" s="1"/>
  <c r="M18" i="2"/>
  <c r="M19" i="2" s="1"/>
  <c r="C141" i="2"/>
  <c r="O116" i="2"/>
  <c r="C41" i="2"/>
  <c r="J18" i="2"/>
  <c r="J19" i="2" s="1"/>
  <c r="I141" i="2"/>
  <c r="I117" i="2"/>
  <c r="I118" i="2" s="1"/>
  <c r="O63" i="2"/>
  <c r="B58" i="2"/>
  <c r="I58" i="2"/>
  <c r="I59" i="2" s="1"/>
  <c r="I47" i="2"/>
  <c r="I37" i="2"/>
  <c r="G37" i="2"/>
  <c r="O26" i="2"/>
  <c r="O25" i="2"/>
  <c r="O23" i="2"/>
  <c r="L93" i="2" l="1"/>
  <c r="I93" i="2"/>
  <c r="I120" i="2" s="1"/>
  <c r="H48" i="2"/>
  <c r="C120" i="2"/>
  <c r="E120" i="2"/>
  <c r="B142" i="2"/>
  <c r="G48" i="2"/>
  <c r="C48" i="2"/>
  <c r="F48" i="2"/>
  <c r="H120" i="2"/>
  <c r="E142" i="2"/>
  <c r="M142" i="2"/>
  <c r="M144" i="2" s="1"/>
  <c r="M153" i="2" s="1"/>
  <c r="F142" i="2"/>
  <c r="O137" i="2"/>
  <c r="I48" i="2"/>
  <c r="F93" i="2"/>
  <c r="F120" i="2" s="1"/>
  <c r="K120" i="2"/>
  <c r="O103" i="2"/>
  <c r="O104" i="2"/>
  <c r="H142" i="2"/>
  <c r="L120" i="2"/>
  <c r="L144" i="2" s="1"/>
  <c r="L153" i="2" s="1"/>
  <c r="C142" i="2"/>
  <c r="D144" i="2"/>
  <c r="D153" i="2" s="1"/>
  <c r="G93" i="2"/>
  <c r="G120" i="2" s="1"/>
  <c r="O130" i="2"/>
  <c r="J120" i="2"/>
  <c r="J144" i="2" s="1"/>
  <c r="J153" i="2" s="1"/>
  <c r="B118" i="2"/>
  <c r="O118" i="2" s="1"/>
  <c r="O117" i="2"/>
  <c r="O92" i="2"/>
  <c r="B59" i="2"/>
  <c r="O59" i="2" s="1"/>
  <c r="O58" i="2"/>
  <c r="O47" i="2"/>
  <c r="O31" i="2"/>
  <c r="B70" i="2"/>
  <c r="O70" i="2" s="1"/>
  <c r="O69" i="2"/>
  <c r="O148" i="2"/>
  <c r="B149" i="2"/>
  <c r="O30" i="2"/>
  <c r="O41" i="2"/>
  <c r="K142" i="2"/>
  <c r="O18" i="2"/>
  <c r="B19" i="2"/>
  <c r="O19" i="2" s="1"/>
  <c r="B93" i="2"/>
  <c r="O87" i="2"/>
  <c r="G142" i="2"/>
  <c r="B48" i="2"/>
  <c r="O37" i="2"/>
  <c r="O77" i="2"/>
  <c r="B78" i="2"/>
  <c r="I142" i="2"/>
  <c r="O141" i="2"/>
  <c r="E144" i="2" l="1"/>
  <c r="E153" i="2" s="1"/>
  <c r="F144" i="2"/>
  <c r="F153" i="2" s="1"/>
  <c r="C144" i="2"/>
  <c r="C153" i="2" s="1"/>
  <c r="O48" i="2"/>
  <c r="K144" i="2"/>
  <c r="K153" i="2" s="1"/>
  <c r="H144" i="2"/>
  <c r="H153" i="2" s="1"/>
  <c r="G144" i="2"/>
  <c r="G153" i="2" s="1"/>
  <c r="I144" i="2"/>
  <c r="I153" i="2" s="1"/>
  <c r="O93" i="2"/>
  <c r="O149" i="2"/>
  <c r="O78" i="2"/>
  <c r="B120" i="2"/>
  <c r="O142" i="2"/>
  <c r="O120" i="2" l="1"/>
  <c r="B144" i="2"/>
  <c r="O144" i="2" l="1"/>
  <c r="O153" i="2" s="1"/>
  <c r="B153" i="2"/>
</calcChain>
</file>

<file path=xl/sharedStrings.xml><?xml version="1.0" encoding="utf-8"?>
<sst xmlns="http://schemas.openxmlformats.org/spreadsheetml/2006/main" count="26" uniqueCount="26">
  <si>
    <t>Total Expenses</t>
  </si>
  <si>
    <t>Management Fee</t>
  </si>
  <si>
    <t>Depreciation Expense</t>
  </si>
  <si>
    <t>Total Operating Expenses</t>
  </si>
  <si>
    <t>Other Operating Expense</t>
  </si>
  <si>
    <t>Facility Expense</t>
  </si>
  <si>
    <t>Administrative Expense</t>
  </si>
  <si>
    <t>Total Medical Services and Supplies</t>
  </si>
  <si>
    <t>Offsite Healthcare Expense</t>
  </si>
  <si>
    <t>Other On-Site Medical Expense</t>
  </si>
  <si>
    <t>Pharmacy Returns</t>
  </si>
  <si>
    <t>Pharmacy Expense</t>
  </si>
  <si>
    <t>On-Site Professional Fees</t>
  </si>
  <si>
    <t>Medical Services</t>
  </si>
  <si>
    <t>Insurance Expense</t>
  </si>
  <si>
    <t>Travel &amp; Other</t>
  </si>
  <si>
    <t>Payroll Taxes</t>
  </si>
  <si>
    <t>Incentive Pay</t>
  </si>
  <si>
    <t>Employee Expense</t>
  </si>
  <si>
    <t>Benefits Expense</t>
  </si>
  <si>
    <t>Contract Labor</t>
  </si>
  <si>
    <t>Salaries &amp; Wages</t>
  </si>
  <si>
    <t>YTD Total</t>
  </si>
  <si>
    <t>ACT</t>
  </si>
  <si>
    <t>Monthly Trended Income Statement</t>
  </si>
  <si>
    <t>TX Fort Bend Cty Jail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</si>
</sst>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yyyy\-mm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43" fontId="0" fillId="0" borderId="0" xfId="1" applyFont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0" fillId="0" borderId="0" xfId="0" applyFont="1"/>
    <xf numFmtId="43" fontId="1" fillId="0" borderId="0" xfId="1" applyFont="1" applyBorder="1" applyAlignment="1">
      <alignment horizontal="center"/>
    </xf>
    <xf numFmtId="43" fontId="2" fillId="0" borderId="0" xfId="1" applyFont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3" xfId="1" applyNumberFormat="1" applyFont="1" applyFill="1" applyBorder="1" applyAlignment="1">
      <alignment horizontal="center"/>
    </xf>
    <xf numFmtId="43" fontId="0" fillId="0" borderId="0" xfId="1" applyFont="1" applyFill="1" applyAlignment="1">
      <alignment horizontal="center"/>
    </xf>
    <xf numFmtId="43" fontId="1" fillId="0" borderId="0" xfId="1" applyFont="1" applyFill="1" applyBorder="1" applyAlignment="1">
      <alignment horizontal="center"/>
    </xf>
    <xf numFmtId="165" fontId="2" fillId="0" borderId="2" xfId="1" applyNumberFormat="1" applyFont="1" applyFill="1" applyBorder="1" applyAlignment="1">
      <alignment horizontal="center"/>
    </xf>
    <xf numFmtId="165" fontId="2" fillId="0" borderId="0" xfId="0" applyNumberFormat="1" applyFont="1"/>
    <xf numFmtId="165" fontId="2" fillId="0" borderId="2" xfId="1" applyNumberFormat="1" applyFont="1" applyBorder="1" applyAlignment="1">
      <alignment horizontal="center"/>
    </xf>
    <xf numFmtId="165" fontId="0" fillId="0" borderId="0" xfId="1" applyNumberFormat="1" applyFont="1" applyFill="1" applyAlignment="1">
      <alignment horizontal="center"/>
    </xf>
    <xf numFmtId="165" fontId="0" fillId="0" borderId="0" xfId="0" applyNumberFormat="1"/>
    <xf numFmtId="165" fontId="0" fillId="0" borderId="0" xfId="1" applyNumberFormat="1" applyFont="1" applyAlignment="1">
      <alignment horizontal="center"/>
    </xf>
    <xf numFmtId="165" fontId="1" fillId="0" borderId="0" xfId="1" applyNumberFormat="1" applyFont="1" applyFill="1" applyBorder="1" applyAlignment="1">
      <alignment horizontal="center"/>
    </xf>
    <xf numFmtId="165" fontId="0" fillId="0" borderId="0" xfId="0" applyNumberFormat="1" applyFont="1"/>
    <xf numFmtId="165" fontId="1" fillId="0" borderId="0" xfId="1" applyNumberFormat="1" applyFont="1" applyBorder="1" applyAlignment="1">
      <alignment horizontal="center"/>
    </xf>
    <xf numFmtId="165" fontId="2" fillId="0" borderId="0" xfId="1" applyNumberFormat="1" applyFont="1" applyFill="1" applyAlignment="1">
      <alignment horizontal="center"/>
    </xf>
    <xf numFmtId="165" fontId="2" fillId="0" borderId="0" xfId="1" applyNumberFormat="1" applyFont="1" applyAlignment="1">
      <alignment horizontal="center"/>
    </xf>
    <xf numFmtId="165" fontId="2" fillId="0" borderId="1" xfId="1" applyNumberFormat="1" applyFont="1" applyFill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43" fontId="2" fillId="0" borderId="0" xfId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4"/>
  <sheetViews>
    <sheetView tabSelected="1" view="pageBreakPreview" zoomScale="60" zoomScaleNormal="80" workbookViewId="0">
      <pane ySplit="4" topLeftCell="A5" activePane="bottomLeft" state="frozen"/>
      <selection pane="bottomLeft" activeCell="S121" sqref="S121"/>
    </sheetView>
  </sheetViews>
  <sheetFormatPr defaultRowHeight="15" outlineLevelRow="2" x14ac:dyDescent="0.25"/>
  <cols>
    <col min="1" max="1" width="38.7109375" customWidth="1"/>
    <col min="2" max="13" width="16.7109375" style="1" customWidth="1"/>
    <col min="14" max="14" width="0.28515625" customWidth="1"/>
    <col min="15" max="15" width="16.7109375" style="1" customWidth="1"/>
  </cols>
  <sheetData>
    <row r="1" spans="1:15" x14ac:dyDescent="0.25">
      <c r="A1" s="8" t="s">
        <v>25</v>
      </c>
    </row>
    <row r="2" spans="1:15" x14ac:dyDescent="0.25">
      <c r="A2" s="8" t="s">
        <v>24</v>
      </c>
    </row>
    <row r="3" spans="1:15" x14ac:dyDescent="0.25">
      <c r="A3" s="8"/>
      <c r="B3" s="25" t="s">
        <v>23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6"/>
    </row>
    <row r="4" spans="1:15" x14ac:dyDescent="0.25">
      <c r="B4" s="9">
        <v>44500</v>
      </c>
      <c r="C4" s="9">
        <v>44530</v>
      </c>
      <c r="D4" s="9">
        <v>44561</v>
      </c>
      <c r="E4" s="9">
        <v>44592</v>
      </c>
      <c r="F4" s="9">
        <v>44620</v>
      </c>
      <c r="G4" s="9">
        <v>44651</v>
      </c>
      <c r="H4" s="9">
        <v>44681</v>
      </c>
      <c r="I4" s="9">
        <v>44712</v>
      </c>
      <c r="J4" s="9">
        <v>44742</v>
      </c>
      <c r="K4" s="9">
        <v>44773</v>
      </c>
      <c r="L4" s="9">
        <v>44804</v>
      </c>
      <c r="M4" s="9">
        <v>44834</v>
      </c>
      <c r="O4" s="7" t="s">
        <v>22</v>
      </c>
    </row>
    <row r="5" spans="1:15" hidden="1" outlineLevel="1" x14ac:dyDescent="0.25">
      <c r="A5" s="3" t="str">
        <f>TRIM(MID("2A.Salaries",4,125))</f>
        <v>Salaries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5" hidden="1" outlineLevel="2" x14ac:dyDescent="0.25">
      <c r="A6" t="str">
        <f>("50025")&amp;" - "&amp;("Wages- Psychiatrist")</f>
        <v>50025 - Wages- Psychiatrist</v>
      </c>
      <c r="B6" s="10">
        <f>0+0</f>
        <v>0</v>
      </c>
      <c r="C6" s="10">
        <f>12295+0</f>
        <v>12295</v>
      </c>
      <c r="D6" s="10">
        <f>7747.28+0</f>
        <v>7747.28</v>
      </c>
      <c r="E6" s="10">
        <f>-5045.22+0</f>
        <v>-5045.22</v>
      </c>
      <c r="F6" s="10">
        <f>0+0</f>
        <v>0</v>
      </c>
      <c r="G6" s="10">
        <f>0+0</f>
        <v>0</v>
      </c>
      <c r="H6" s="10">
        <f>0+0</f>
        <v>0</v>
      </c>
      <c r="I6" s="10">
        <f>20980.25+0</f>
        <v>20980.25</v>
      </c>
      <c r="J6" s="10">
        <f>15195.5+0</f>
        <v>15195.5</v>
      </c>
      <c r="K6" s="10">
        <f>16111.89+0</f>
        <v>16111.89</v>
      </c>
      <c r="L6" s="10">
        <f>17627.04+0</f>
        <v>17627.04</v>
      </c>
      <c r="M6" s="10">
        <f>65681.57+0</f>
        <v>65681.570000000007</v>
      </c>
      <c r="O6" s="1">
        <f t="shared" ref="O6:O19" si="0">SUM(B6:N6)</f>
        <v>150593.31</v>
      </c>
    </row>
    <row r="7" spans="1:15" hidden="1" outlineLevel="2" x14ac:dyDescent="0.25">
      <c r="A7" t="str">
        <f>("50125")&amp;" - "&amp;("Wages- B.H. Support")</f>
        <v>50125 - Wages- B.H. Support</v>
      </c>
      <c r="B7" s="10">
        <f>7297.05+0</f>
        <v>7297.05</v>
      </c>
      <c r="C7" s="10">
        <f>4392.44+0</f>
        <v>4392.4399999999996</v>
      </c>
      <c r="D7" s="10">
        <f>10553.41+0</f>
        <v>10553.41</v>
      </c>
      <c r="E7" s="10">
        <f>7670.48+0</f>
        <v>7670.48</v>
      </c>
      <c r="F7" s="10">
        <f>3839.06+0</f>
        <v>3839.06</v>
      </c>
      <c r="G7" s="10">
        <f>17312.21+0</f>
        <v>17312.21</v>
      </c>
      <c r="H7" s="10">
        <f>11273.62+0</f>
        <v>11273.62</v>
      </c>
      <c r="I7" s="10">
        <f>11958.42+0</f>
        <v>11958.42</v>
      </c>
      <c r="J7" s="10">
        <f>12981.89+0</f>
        <v>12981.89</v>
      </c>
      <c r="K7" s="10">
        <f>12378.85+0</f>
        <v>12378.85</v>
      </c>
      <c r="L7" s="10">
        <f>12572.3+0</f>
        <v>12572.3</v>
      </c>
      <c r="M7" s="10">
        <f>19261.48+0</f>
        <v>19261.48</v>
      </c>
      <c r="O7" s="1">
        <f t="shared" si="0"/>
        <v>131491.21000000002</v>
      </c>
    </row>
    <row r="8" spans="1:15" hidden="1" outlineLevel="2" x14ac:dyDescent="0.25">
      <c r="A8" t="str">
        <f>("50175")&amp;" - "&amp;("Wages- DON")</f>
        <v>50175 - Wages- DON</v>
      </c>
      <c r="B8" s="10">
        <f>9630.24+0</f>
        <v>9630.24</v>
      </c>
      <c r="C8" s="10">
        <f>8632.65+0</f>
        <v>8632.65</v>
      </c>
      <c r="D8" s="10">
        <f>11927.54+0</f>
        <v>11927.54</v>
      </c>
      <c r="E8" s="10">
        <f>11069.85+0</f>
        <v>11069.85</v>
      </c>
      <c r="F8" s="10">
        <f>7510.55+0</f>
        <v>7510.55</v>
      </c>
      <c r="G8" s="10">
        <f>9428.11+0</f>
        <v>9428.11</v>
      </c>
      <c r="H8" s="10">
        <f>9048.41+0</f>
        <v>9048.41</v>
      </c>
      <c r="I8" s="10">
        <f>10282.17+0</f>
        <v>10282.17</v>
      </c>
      <c r="J8" s="10">
        <f>8343.2+0</f>
        <v>8343.2000000000007</v>
      </c>
      <c r="K8" s="10">
        <f>9340.32+0</f>
        <v>9340.32</v>
      </c>
      <c r="L8" s="10">
        <f>9358.33+0</f>
        <v>9358.33</v>
      </c>
      <c r="M8" s="10">
        <f>8826.94+0</f>
        <v>8826.94</v>
      </c>
      <c r="O8" s="1">
        <f t="shared" si="0"/>
        <v>113398.31000000001</v>
      </c>
    </row>
    <row r="9" spans="1:15" hidden="1" outlineLevel="2" x14ac:dyDescent="0.25">
      <c r="A9" t="str">
        <f>("50200")&amp;" - "&amp;("Wages- PA/NP/ARNP")</f>
        <v>50200 - Wages- PA/NP/ARNP</v>
      </c>
      <c r="B9" s="10">
        <f>19297.03+0</f>
        <v>19297.03</v>
      </c>
      <c r="C9" s="10">
        <f>16676.42+0</f>
        <v>16676.419999999998</v>
      </c>
      <c r="D9" s="10">
        <f>15697.51+0</f>
        <v>15697.51</v>
      </c>
      <c r="E9" s="10">
        <f>20956.74+0</f>
        <v>20956.740000000002</v>
      </c>
      <c r="F9" s="10">
        <f>16052.54+0</f>
        <v>16052.54</v>
      </c>
      <c r="G9" s="10">
        <f>19313.57+0</f>
        <v>19313.57</v>
      </c>
      <c r="H9" s="10">
        <f>17262.88+0</f>
        <v>17262.88</v>
      </c>
      <c r="I9" s="10">
        <f>18399.77+0</f>
        <v>18399.77</v>
      </c>
      <c r="J9" s="10">
        <f>15026.45+0</f>
        <v>15026.45</v>
      </c>
      <c r="K9" s="10">
        <f>23859.6+0</f>
        <v>23859.599999999999</v>
      </c>
      <c r="L9" s="10">
        <f>16108.13+0</f>
        <v>16108.13</v>
      </c>
      <c r="M9" s="10">
        <f>18944.89+0</f>
        <v>18944.89</v>
      </c>
      <c r="O9" s="1">
        <f t="shared" si="0"/>
        <v>217595.53000000003</v>
      </c>
    </row>
    <row r="10" spans="1:15" hidden="1" outlineLevel="2" x14ac:dyDescent="0.25">
      <c r="A10" t="str">
        <f>("50225")&amp;" - "&amp;("Wages- RN")</f>
        <v>50225 - Wages- RN</v>
      </c>
      <c r="B10" s="10">
        <f>27682.66+0</f>
        <v>27682.66</v>
      </c>
      <c r="C10" s="10">
        <f>34936.43+0</f>
        <v>34936.43</v>
      </c>
      <c r="D10" s="10">
        <f>15938.95+0</f>
        <v>15938.95</v>
      </c>
      <c r="E10" s="10">
        <f>18565.91+0</f>
        <v>18565.91</v>
      </c>
      <c r="F10" s="10">
        <f>25409.67+0</f>
        <v>25409.67</v>
      </c>
      <c r="G10" s="10">
        <f>39957.48+0</f>
        <v>39957.480000000003</v>
      </c>
      <c r="H10" s="10">
        <f>33083.86+0</f>
        <v>33083.86</v>
      </c>
      <c r="I10" s="10">
        <f>23764.51+0</f>
        <v>23764.51</v>
      </c>
      <c r="J10" s="10">
        <f>16676.6+0</f>
        <v>16676.599999999999</v>
      </c>
      <c r="K10" s="10">
        <f>42889.26+0</f>
        <v>42889.26</v>
      </c>
      <c r="L10" s="10">
        <f>36229.46+0</f>
        <v>36229.46</v>
      </c>
      <c r="M10" s="10">
        <f>39615.46+0</f>
        <v>39615.46</v>
      </c>
      <c r="O10" s="1">
        <f t="shared" si="0"/>
        <v>354750.25000000006</v>
      </c>
    </row>
    <row r="11" spans="1:15" hidden="1" outlineLevel="2" x14ac:dyDescent="0.25">
      <c r="A11" t="str">
        <f>("50250")&amp;" - "&amp;("Wages- LPN")</f>
        <v>50250 - Wages- LPN</v>
      </c>
      <c r="B11" s="10">
        <f>76745.3+0</f>
        <v>76745.3</v>
      </c>
      <c r="C11" s="10">
        <f>81103.74+0</f>
        <v>81103.740000000005</v>
      </c>
      <c r="D11" s="10">
        <f>86533.78+0</f>
        <v>86533.78</v>
      </c>
      <c r="E11" s="10">
        <f>63746.65+0</f>
        <v>63746.65</v>
      </c>
      <c r="F11" s="10">
        <f>81172.48+0</f>
        <v>81172.479999999996</v>
      </c>
      <c r="G11" s="10">
        <f>91744.26+0</f>
        <v>91744.26</v>
      </c>
      <c r="H11" s="10">
        <f>81510.91+0</f>
        <v>81510.91</v>
      </c>
      <c r="I11" s="10">
        <f>78801.5+0</f>
        <v>78801.5</v>
      </c>
      <c r="J11" s="10">
        <f>89039.12+0</f>
        <v>89039.12</v>
      </c>
      <c r="K11" s="10">
        <f>106752.73+0</f>
        <v>106752.73</v>
      </c>
      <c r="L11" s="10">
        <f>73552.42+0</f>
        <v>73552.42</v>
      </c>
      <c r="M11" s="10">
        <f>88026.53+0</f>
        <v>88026.53</v>
      </c>
      <c r="O11" s="1">
        <f t="shared" si="0"/>
        <v>998729.42</v>
      </c>
    </row>
    <row r="12" spans="1:15" hidden="1" outlineLevel="2" x14ac:dyDescent="0.25">
      <c r="A12" t="str">
        <f>("50275")&amp;" - "&amp;("Wages- MA/CMA/EMT")</f>
        <v>50275 - Wages- MA/CMA/EMT</v>
      </c>
      <c r="B12" s="10">
        <f>4529.68+0</f>
        <v>4529.68</v>
      </c>
      <c r="C12" s="10">
        <f>3981.44+0</f>
        <v>3981.44</v>
      </c>
      <c r="D12" s="10">
        <f>4184.78+0</f>
        <v>4184.78</v>
      </c>
      <c r="E12" s="10">
        <f>5224.67+0</f>
        <v>5224.67</v>
      </c>
      <c r="F12" s="10">
        <f>7102.38+0</f>
        <v>7102.38</v>
      </c>
      <c r="G12" s="10">
        <f>5353.99+0</f>
        <v>5353.99</v>
      </c>
      <c r="H12" s="10">
        <f>5811.86+0</f>
        <v>5811.86</v>
      </c>
      <c r="I12" s="10">
        <f>4748.32+0</f>
        <v>4748.32</v>
      </c>
      <c r="J12" s="10">
        <f>5577.44+0</f>
        <v>5577.44</v>
      </c>
      <c r="K12" s="10">
        <f>4875.2+0</f>
        <v>4875.2</v>
      </c>
      <c r="L12" s="10">
        <f>4603.06+0</f>
        <v>4603.0600000000004</v>
      </c>
      <c r="M12" s="10">
        <f>3865.68+0</f>
        <v>3865.68</v>
      </c>
      <c r="O12" s="1">
        <f t="shared" si="0"/>
        <v>59858.5</v>
      </c>
    </row>
    <row r="13" spans="1:15" hidden="1" outlineLevel="2" x14ac:dyDescent="0.25">
      <c r="A13" t="str">
        <f>("50300")&amp;" - "&amp;("Wages- Behav. Health")</f>
        <v>50300 - Wages- Behav. Health</v>
      </c>
      <c r="B13" s="10">
        <f>37650.67+0</f>
        <v>37650.67</v>
      </c>
      <c r="C13" s="10">
        <f>35228.19+0</f>
        <v>35228.19</v>
      </c>
      <c r="D13" s="10">
        <f>29314.73+0</f>
        <v>29314.73</v>
      </c>
      <c r="E13" s="10">
        <f>32416.98+0</f>
        <v>32416.98</v>
      </c>
      <c r="F13" s="10">
        <f>28385.84+0</f>
        <v>28385.84</v>
      </c>
      <c r="G13" s="10">
        <f>27649.41+0</f>
        <v>27649.41</v>
      </c>
      <c r="H13" s="10">
        <f>30341.63+0</f>
        <v>30341.63</v>
      </c>
      <c r="I13" s="10">
        <f>40220.73+0</f>
        <v>40220.730000000003</v>
      </c>
      <c r="J13" s="10">
        <f>29608.43+0</f>
        <v>29608.43</v>
      </c>
      <c r="K13" s="10">
        <f>45505.44+0</f>
        <v>45505.440000000002</v>
      </c>
      <c r="L13" s="10">
        <f>28337.8+0</f>
        <v>28337.8</v>
      </c>
      <c r="M13" s="10">
        <f>35300.71+0</f>
        <v>35300.71</v>
      </c>
      <c r="O13" s="1">
        <f t="shared" si="0"/>
        <v>399960.56000000006</v>
      </c>
    </row>
    <row r="14" spans="1:15" hidden="1" outlineLevel="2" x14ac:dyDescent="0.25">
      <c r="A14" t="str">
        <f>("50325")&amp;" - "&amp;("Wages- Dental")</f>
        <v>50325 - Wages- Dental</v>
      </c>
      <c r="B14" s="10">
        <f>13340.21+0</f>
        <v>13340.21</v>
      </c>
      <c r="C14" s="10">
        <f>12911.13+0</f>
        <v>12911.13</v>
      </c>
      <c r="D14" s="10">
        <f>14303.44+0</f>
        <v>14303.44</v>
      </c>
      <c r="E14" s="10">
        <f>18329.81+0</f>
        <v>18329.810000000001</v>
      </c>
      <c r="F14" s="10">
        <f>16214.55+0</f>
        <v>16214.55</v>
      </c>
      <c r="G14" s="10">
        <f>15828.96+0</f>
        <v>15828.96</v>
      </c>
      <c r="H14" s="10">
        <f>11169.79+0</f>
        <v>11169.79</v>
      </c>
      <c r="I14" s="10">
        <f>13415.36+0</f>
        <v>13415.36</v>
      </c>
      <c r="J14" s="10">
        <f>23555.6+0</f>
        <v>23555.599999999999</v>
      </c>
      <c r="K14" s="10">
        <f>8454.79+0</f>
        <v>8454.7900000000009</v>
      </c>
      <c r="L14" s="10">
        <f>14277.28+0</f>
        <v>14277.28</v>
      </c>
      <c r="M14" s="10">
        <f>11447.33+0</f>
        <v>11447.33</v>
      </c>
      <c r="O14" s="1">
        <f t="shared" si="0"/>
        <v>173248.25</v>
      </c>
    </row>
    <row r="15" spans="1:15" hidden="1" outlineLevel="2" x14ac:dyDescent="0.25">
      <c r="A15" t="str">
        <f>("50375")&amp;" - "&amp;("Wages- Medical Records")</f>
        <v>50375 - Wages- Medical Records</v>
      </c>
      <c r="B15" s="10">
        <f>2887.59+0</f>
        <v>2887.59</v>
      </c>
      <c r="C15" s="10">
        <f>2648.57+0</f>
        <v>2648.57</v>
      </c>
      <c r="D15" s="10">
        <f>3381.61+0</f>
        <v>3381.61</v>
      </c>
      <c r="E15" s="10">
        <f>2699.47+0</f>
        <v>2699.47</v>
      </c>
      <c r="F15" s="10">
        <f>2509.45+0</f>
        <v>2509.4499999999998</v>
      </c>
      <c r="G15" s="10">
        <f>2759.67+0</f>
        <v>2759.67</v>
      </c>
      <c r="H15" s="10">
        <f>2654.08+0</f>
        <v>2654.08</v>
      </c>
      <c r="I15" s="10">
        <f>2697.18+0</f>
        <v>2697.18</v>
      </c>
      <c r="J15" s="10">
        <f>2586.97+0</f>
        <v>2586.9699999999998</v>
      </c>
      <c r="K15" s="10">
        <f>2725.43+0</f>
        <v>2725.43</v>
      </c>
      <c r="L15" s="10">
        <f>2872.24+0</f>
        <v>2872.24</v>
      </c>
      <c r="M15" s="10">
        <f>2413+0</f>
        <v>2413</v>
      </c>
      <c r="O15" s="1">
        <f t="shared" si="0"/>
        <v>32835.26</v>
      </c>
    </row>
    <row r="16" spans="1:15" hidden="1" outlineLevel="2" x14ac:dyDescent="0.25">
      <c r="A16" t="str">
        <f>("50400")&amp;" - "&amp;("Wages- H.S.A.")</f>
        <v>50400 - Wages- H.S.A.</v>
      </c>
      <c r="B16" s="10">
        <f>9967.85+0</f>
        <v>9967.85</v>
      </c>
      <c r="C16" s="10">
        <f>9475.74+0</f>
        <v>9475.74</v>
      </c>
      <c r="D16" s="10">
        <f>14712.59+0</f>
        <v>14712.59</v>
      </c>
      <c r="E16" s="10">
        <f>13100.32+0</f>
        <v>13100.32</v>
      </c>
      <c r="F16" s="10">
        <f>7907.26+0</f>
        <v>7907.26</v>
      </c>
      <c r="G16" s="10">
        <f>12003.13+0</f>
        <v>12003.13</v>
      </c>
      <c r="H16" s="10">
        <f>9544.32+0</f>
        <v>9544.32</v>
      </c>
      <c r="I16" s="10">
        <f>9862.45+0</f>
        <v>9862.4500000000007</v>
      </c>
      <c r="J16" s="10">
        <f>9544.3+0</f>
        <v>9544.2999999999993</v>
      </c>
      <c r="K16" s="10">
        <f>9862.45+0</f>
        <v>9862.4500000000007</v>
      </c>
      <c r="L16" s="10">
        <f>9862.45+0</f>
        <v>9862.4500000000007</v>
      </c>
      <c r="M16" s="10">
        <f>9544.31+0</f>
        <v>9544.31</v>
      </c>
      <c r="O16" s="1">
        <f t="shared" si="0"/>
        <v>125387.16999999998</v>
      </c>
    </row>
    <row r="17" spans="1:15" hidden="1" outlineLevel="2" x14ac:dyDescent="0.25">
      <c r="A17" t="str">
        <f>("50425")&amp;" - "&amp;("Wages- Admin. Support")</f>
        <v>50425 - Wages- Admin. Support</v>
      </c>
      <c r="B17" s="10">
        <f>9537.91+0</f>
        <v>9537.91</v>
      </c>
      <c r="C17" s="10">
        <f>882.57+0</f>
        <v>882.57</v>
      </c>
      <c r="D17" s="10">
        <f>10165.71+0</f>
        <v>10165.709999999999</v>
      </c>
      <c r="E17" s="10">
        <f>4539.16+0</f>
        <v>4539.16</v>
      </c>
      <c r="F17" s="10">
        <f>4291.56+0</f>
        <v>4291.5600000000004</v>
      </c>
      <c r="G17" s="10">
        <f>12773.99+0</f>
        <v>12773.99</v>
      </c>
      <c r="H17" s="10">
        <f>10700.71+0</f>
        <v>10700.71</v>
      </c>
      <c r="I17" s="10">
        <f>10045.38+0</f>
        <v>10045.379999999999</v>
      </c>
      <c r="J17" s="10">
        <f>10079.7+0</f>
        <v>10079.700000000001</v>
      </c>
      <c r="K17" s="10">
        <f>10651.23+0</f>
        <v>10651.23</v>
      </c>
      <c r="L17" s="10">
        <f>10655.77+0</f>
        <v>10655.77</v>
      </c>
      <c r="M17" s="10">
        <f>10531.24+0</f>
        <v>10531.24</v>
      </c>
      <c r="O17" s="1">
        <f t="shared" si="0"/>
        <v>104854.93000000001</v>
      </c>
    </row>
    <row r="18" spans="1:15" s="4" customFormat="1" hidden="1" outlineLevel="1" x14ac:dyDescent="0.25">
      <c r="A18" s="3" t="s">
        <v>21</v>
      </c>
      <c r="B18" s="11">
        <f>SUM(OSRRefB6_0_0x_0)</f>
        <v>218566.19</v>
      </c>
      <c r="C18" s="11">
        <f>SUM(OSRRefB6_0_0x_1)</f>
        <v>223164.32</v>
      </c>
      <c r="D18" s="11">
        <f>SUM(OSRRefB6_0_0x_2)</f>
        <v>224461.33</v>
      </c>
      <c r="E18" s="11">
        <f>SUM(OSRRefB6_0_0x_3)</f>
        <v>193274.82</v>
      </c>
      <c r="F18" s="11">
        <f>SUM(OSRRefB6_0_0x_4)</f>
        <v>200395.34</v>
      </c>
      <c r="G18" s="11">
        <f>SUM(OSRRefB6_0_0x_5)</f>
        <v>254124.78</v>
      </c>
      <c r="H18" s="11">
        <f>SUM(OSRRefB6_0_0x_6)</f>
        <v>222402.06999999998</v>
      </c>
      <c r="I18" s="11">
        <f>SUM(OSRRefB6_0_0x_7)</f>
        <v>245176.04000000004</v>
      </c>
      <c r="J18" s="11">
        <f>SUM(OSRRefB6_0_0x_8)</f>
        <v>238215.19999999998</v>
      </c>
      <c r="K18" s="11">
        <f>SUM(OSRRefB6_0_0x_9)</f>
        <v>293407.19</v>
      </c>
      <c r="L18" s="11">
        <f>SUM(OSRRefB6_0_0x_10)</f>
        <v>236056.27999999997</v>
      </c>
      <c r="M18" s="11">
        <f>SUM(OSRRefB6_0_0x_11)</f>
        <v>313459.14</v>
      </c>
      <c r="O18" s="5">
        <f t="shared" si="0"/>
        <v>2862702.7</v>
      </c>
    </row>
    <row r="19" spans="1:15" s="3" customFormat="1" collapsed="1" x14ac:dyDescent="0.25">
      <c r="A19" s="3" t="str">
        <f>"Total "&amp;TRIM(MID("2A.Salaries",4,125))</f>
        <v>Total Salaries</v>
      </c>
      <c r="B19" s="12">
        <f>SUM(OSRRefB7_0x_0)</f>
        <v>218566.19</v>
      </c>
      <c r="C19" s="12">
        <f>SUM(OSRRefB7_0x_1)</f>
        <v>223164.32</v>
      </c>
      <c r="D19" s="12">
        <f>SUM(OSRRefB7_0x_2)</f>
        <v>224461.33</v>
      </c>
      <c r="E19" s="12">
        <f>SUM(OSRRefB7_0x_3)</f>
        <v>193274.82</v>
      </c>
      <c r="F19" s="12">
        <f>SUM(OSRRefB7_0x_4)</f>
        <v>200395.34</v>
      </c>
      <c r="G19" s="12">
        <f>SUM(OSRRefB7_0x_5)</f>
        <v>254124.78</v>
      </c>
      <c r="H19" s="12">
        <f>SUM(OSRRefB7_0x_6)</f>
        <v>222402.06999999998</v>
      </c>
      <c r="I19" s="12">
        <f>SUM(OSRRefB7_0x_7)</f>
        <v>245176.04000000004</v>
      </c>
      <c r="J19" s="12">
        <f>SUM(OSRRefB7_0x_8)</f>
        <v>238215.19999999998</v>
      </c>
      <c r="K19" s="12">
        <f>SUM(OSRRefB7_0x_9)</f>
        <v>293407.19</v>
      </c>
      <c r="L19" s="12">
        <f>SUM(OSRRefB7_0x_10)</f>
        <v>236056.27999999997</v>
      </c>
      <c r="M19" s="12">
        <f>SUM(OSRRefB7_0x_11)</f>
        <v>313459.14</v>
      </c>
      <c r="N19" s="13"/>
      <c r="O19" s="14">
        <f t="shared" si="0"/>
        <v>2862702.7</v>
      </c>
    </row>
    <row r="20" spans="1:15" x14ac:dyDescent="0.25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6"/>
      <c r="O20" s="17"/>
    </row>
    <row r="21" spans="1:15" hidden="1" outlineLevel="1" x14ac:dyDescent="0.25">
      <c r="A21" s="3" t="str">
        <f>TRIM(MID("2B.Contract Labor",4,125))</f>
        <v>Contract Labor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6"/>
      <c r="O21" s="17"/>
    </row>
    <row r="22" spans="1:15" hidden="1" outlineLevel="2" x14ac:dyDescent="0.25">
      <c r="A22" t="str">
        <f>("51000")&amp;" - "&amp;("Contractor Labor - Physician")</f>
        <v>51000 - Contractor Labor - Physician</v>
      </c>
      <c r="B22" s="15">
        <f t="shared" ref="B22:L22" si="1">0+0</f>
        <v>0</v>
      </c>
      <c r="C22" s="15">
        <f t="shared" si="1"/>
        <v>0</v>
      </c>
      <c r="D22" s="15">
        <f t="shared" si="1"/>
        <v>0</v>
      </c>
      <c r="E22" s="15">
        <f t="shared" si="1"/>
        <v>0</v>
      </c>
      <c r="F22" s="15">
        <f t="shared" si="1"/>
        <v>0</v>
      </c>
      <c r="G22" s="15">
        <f t="shared" si="1"/>
        <v>0</v>
      </c>
      <c r="H22" s="15">
        <f t="shared" si="1"/>
        <v>0</v>
      </c>
      <c r="I22" s="15">
        <f t="shared" si="1"/>
        <v>0</v>
      </c>
      <c r="J22" s="15">
        <f t="shared" si="1"/>
        <v>0</v>
      </c>
      <c r="K22" s="15">
        <f t="shared" si="1"/>
        <v>0</v>
      </c>
      <c r="L22" s="15">
        <f t="shared" si="1"/>
        <v>0</v>
      </c>
      <c r="M22" s="15">
        <f>2175+0</f>
        <v>2175</v>
      </c>
      <c r="N22" s="16"/>
      <c r="O22" s="17">
        <f t="shared" ref="O22:O31" si="2">SUM(B22:N22)</f>
        <v>2175</v>
      </c>
    </row>
    <row r="23" spans="1:15" hidden="1" outlineLevel="2" x14ac:dyDescent="0.25">
      <c r="A23" t="str">
        <f>("51010")&amp;" - "&amp;("Agency Labor - Physician")</f>
        <v>51010 - Agency Labor - Physician</v>
      </c>
      <c r="B23" s="15">
        <f t="shared" ref="B23:H23" si="3">1675+0</f>
        <v>1675</v>
      </c>
      <c r="C23" s="15">
        <f t="shared" si="3"/>
        <v>1675</v>
      </c>
      <c r="D23" s="15">
        <f t="shared" si="3"/>
        <v>1675</v>
      </c>
      <c r="E23" s="15">
        <f t="shared" si="3"/>
        <v>1675</v>
      </c>
      <c r="F23" s="15">
        <f t="shared" si="3"/>
        <v>1675</v>
      </c>
      <c r="G23" s="15">
        <f t="shared" si="3"/>
        <v>1675</v>
      </c>
      <c r="H23" s="15">
        <f t="shared" si="3"/>
        <v>1675</v>
      </c>
      <c r="I23" s="15">
        <f>3950+0</f>
        <v>3950</v>
      </c>
      <c r="J23" s="15">
        <f>1675+0</f>
        <v>1675</v>
      </c>
      <c r="K23" s="15">
        <f>1175+0</f>
        <v>1175</v>
      </c>
      <c r="L23" s="15">
        <f>1675+0</f>
        <v>1675</v>
      </c>
      <c r="M23" s="15">
        <f>0+0</f>
        <v>0</v>
      </c>
      <c r="N23" s="16"/>
      <c r="O23" s="17">
        <f t="shared" si="2"/>
        <v>20200</v>
      </c>
    </row>
    <row r="24" spans="1:15" hidden="1" outlineLevel="2" x14ac:dyDescent="0.25">
      <c r="A24" t="str">
        <f>("51100")&amp;" - "&amp;("Contractor Labor - Psychiatrist")</f>
        <v>51100 - Contractor Labor - Psychiatrist</v>
      </c>
      <c r="B24" s="15">
        <f t="shared" ref="B24:L24" si="4">0+0</f>
        <v>0</v>
      </c>
      <c r="C24" s="15">
        <f t="shared" si="4"/>
        <v>0</v>
      </c>
      <c r="D24" s="15">
        <f t="shared" si="4"/>
        <v>0</v>
      </c>
      <c r="E24" s="15">
        <f t="shared" si="4"/>
        <v>0</v>
      </c>
      <c r="F24" s="15">
        <f t="shared" si="4"/>
        <v>0</v>
      </c>
      <c r="G24" s="15">
        <f t="shared" si="4"/>
        <v>0</v>
      </c>
      <c r="H24" s="15">
        <f t="shared" si="4"/>
        <v>0</v>
      </c>
      <c r="I24" s="15">
        <f t="shared" si="4"/>
        <v>0</v>
      </c>
      <c r="J24" s="15">
        <f t="shared" si="4"/>
        <v>0</v>
      </c>
      <c r="K24" s="15">
        <f t="shared" si="4"/>
        <v>0</v>
      </c>
      <c r="L24" s="15">
        <f t="shared" si="4"/>
        <v>0</v>
      </c>
      <c r="M24" s="15">
        <f>1300+0</f>
        <v>1300</v>
      </c>
      <c r="N24" s="16"/>
      <c r="O24" s="17">
        <f t="shared" si="2"/>
        <v>1300</v>
      </c>
    </row>
    <row r="25" spans="1:15" hidden="1" outlineLevel="2" x14ac:dyDescent="0.25">
      <c r="A25" t="str">
        <f>("51110")&amp;" - "&amp;("Agency Labor - Psychiatrist")</f>
        <v>51110 - Agency Labor - Psychiatrist</v>
      </c>
      <c r="B25" s="15">
        <f>9725+0</f>
        <v>9725</v>
      </c>
      <c r="C25" s="15">
        <f>0+0</f>
        <v>0</v>
      </c>
      <c r="D25" s="15">
        <f>416.67+0</f>
        <v>416.67</v>
      </c>
      <c r="E25" s="15">
        <f>416.67+0</f>
        <v>416.67</v>
      </c>
      <c r="F25" s="15">
        <f>416.67+0</f>
        <v>416.67</v>
      </c>
      <c r="G25" s="15">
        <f>5383.32+0</f>
        <v>5383.32</v>
      </c>
      <c r="H25" s="15">
        <f>1300+0</f>
        <v>1300</v>
      </c>
      <c r="I25" s="15">
        <f>650+0</f>
        <v>650</v>
      </c>
      <c r="J25" s="15">
        <f>1300+0</f>
        <v>1300</v>
      </c>
      <c r="K25" s="15">
        <f>1950+0</f>
        <v>1950</v>
      </c>
      <c r="L25" s="15">
        <f>1900+0</f>
        <v>1900</v>
      </c>
      <c r="M25" s="15">
        <f>0+0</f>
        <v>0</v>
      </c>
      <c r="N25" s="16"/>
      <c r="O25" s="17">
        <f t="shared" si="2"/>
        <v>23458.33</v>
      </c>
    </row>
    <row r="26" spans="1:15" hidden="1" outlineLevel="2" x14ac:dyDescent="0.25">
      <c r="A26" t="str">
        <f>("51510")&amp;" - "&amp;("Agency Labor - Nursing")</f>
        <v>51510 - Agency Labor - Nursing</v>
      </c>
      <c r="B26" s="15">
        <f>0+0</f>
        <v>0</v>
      </c>
      <c r="C26" s="15">
        <f>0+0</f>
        <v>0</v>
      </c>
      <c r="D26" s="15">
        <f>0+0</f>
        <v>0</v>
      </c>
      <c r="E26" s="15">
        <f>720+0</f>
        <v>720</v>
      </c>
      <c r="F26" s="15">
        <f>9465+0</f>
        <v>9465</v>
      </c>
      <c r="G26" s="15">
        <f>2205+0</f>
        <v>2205</v>
      </c>
      <c r="H26" s="15">
        <f>5790+0</f>
        <v>5790</v>
      </c>
      <c r="I26" s="15">
        <f>2175+0</f>
        <v>2175</v>
      </c>
      <c r="J26" s="15">
        <f>0+0</f>
        <v>0</v>
      </c>
      <c r="K26" s="15">
        <f>0+0</f>
        <v>0</v>
      </c>
      <c r="L26" s="15">
        <f>4380+0</f>
        <v>4380</v>
      </c>
      <c r="M26" s="15">
        <f>0+0</f>
        <v>0</v>
      </c>
      <c r="N26" s="16"/>
      <c r="O26" s="17">
        <f t="shared" si="2"/>
        <v>24735</v>
      </c>
    </row>
    <row r="27" spans="1:15" hidden="1" outlineLevel="2" x14ac:dyDescent="0.25">
      <c r="A27" t="str">
        <f>("51700")&amp;" - "&amp;("Contractor Labor - Medical Supp")</f>
        <v>51700 - Contractor Labor - Medical Supp</v>
      </c>
      <c r="B27" s="15">
        <f>0+0</f>
        <v>0</v>
      </c>
      <c r="C27" s="15">
        <f>0+0</f>
        <v>0</v>
      </c>
      <c r="D27" s="15">
        <f>0+0</f>
        <v>0</v>
      </c>
      <c r="E27" s="15">
        <f>0+0</f>
        <v>0</v>
      </c>
      <c r="F27" s="15">
        <f>0+0</f>
        <v>0</v>
      </c>
      <c r="G27" s="15">
        <f>0+0</f>
        <v>0</v>
      </c>
      <c r="H27" s="15">
        <f>0+0</f>
        <v>0</v>
      </c>
      <c r="I27" s="15">
        <f>0+0</f>
        <v>0</v>
      </c>
      <c r="J27" s="15">
        <f>0+0</f>
        <v>0</v>
      </c>
      <c r="K27" s="15">
        <f>0+0</f>
        <v>0</v>
      </c>
      <c r="L27" s="15">
        <f>0+0</f>
        <v>0</v>
      </c>
      <c r="M27" s="15">
        <f>5002.4+0</f>
        <v>5002.3999999999996</v>
      </c>
      <c r="N27" s="16"/>
      <c r="O27" s="17">
        <f t="shared" si="2"/>
        <v>5002.3999999999996</v>
      </c>
    </row>
    <row r="28" spans="1:15" hidden="1" outlineLevel="2" x14ac:dyDescent="0.25">
      <c r="A28" t="str">
        <f>("51710")&amp;" - "&amp;("Agency Labor - Medical Support")</f>
        <v>51710 - Agency Labor - Medical Support</v>
      </c>
      <c r="B28" s="15">
        <f>3347.5+0</f>
        <v>3347.5</v>
      </c>
      <c r="C28" s="15">
        <f>3152.5+0</f>
        <v>3152.5</v>
      </c>
      <c r="D28" s="15">
        <f>4160+0</f>
        <v>4160</v>
      </c>
      <c r="E28" s="15">
        <f>3087.5+0</f>
        <v>3087.5</v>
      </c>
      <c r="F28" s="15">
        <f>2271.1+0</f>
        <v>2271.1</v>
      </c>
      <c r="G28" s="15">
        <f>1849.9+0</f>
        <v>1849.9</v>
      </c>
      <c r="H28" s="15">
        <f>3766.1+0</f>
        <v>3766.1</v>
      </c>
      <c r="I28" s="15">
        <f>2743+0</f>
        <v>2743</v>
      </c>
      <c r="J28" s="15">
        <f>2926.3+0</f>
        <v>2926.3</v>
      </c>
      <c r="K28" s="15">
        <f>2511.6+0</f>
        <v>2511.6</v>
      </c>
      <c r="L28" s="15">
        <f>2830.1+0</f>
        <v>2830.1</v>
      </c>
      <c r="M28" s="15">
        <f>0+0</f>
        <v>0</v>
      </c>
      <c r="N28" s="16"/>
      <c r="O28" s="17">
        <f t="shared" si="2"/>
        <v>32645.599999999995</v>
      </c>
    </row>
    <row r="29" spans="1:15" hidden="1" outlineLevel="2" x14ac:dyDescent="0.25">
      <c r="A29" t="str">
        <f>("51900")&amp;" - "&amp;("Contractor Labor - Accrual")</f>
        <v>51900 - Contractor Labor - Accrual</v>
      </c>
      <c r="B29" s="15">
        <f>-7070.83+0</f>
        <v>-7070.83</v>
      </c>
      <c r="C29" s="15">
        <f>276.67+0</f>
        <v>276.67</v>
      </c>
      <c r="D29" s="15">
        <f>-2416.67+0</f>
        <v>-2416.67</v>
      </c>
      <c r="E29" s="15">
        <f>-1287+0</f>
        <v>-1287</v>
      </c>
      <c r="F29" s="15">
        <f>-49.67+0</f>
        <v>-49.67</v>
      </c>
      <c r="G29" s="15">
        <f>49.67+0</f>
        <v>49.67</v>
      </c>
      <c r="H29" s="15">
        <f>381.9+0</f>
        <v>381.9</v>
      </c>
      <c r="I29" s="15">
        <f>3237.33+0</f>
        <v>3237.33</v>
      </c>
      <c r="J29" s="15">
        <f>-631.3+0</f>
        <v>-631.29999999999995</v>
      </c>
      <c r="K29" s="15">
        <f>1534.9+0</f>
        <v>1534.9</v>
      </c>
      <c r="L29" s="15">
        <f>-4202.5+0</f>
        <v>-4202.5</v>
      </c>
      <c r="M29" s="15">
        <f>4019.2+0</f>
        <v>4019.2</v>
      </c>
      <c r="N29" s="16"/>
      <c r="O29" s="17">
        <f t="shared" si="2"/>
        <v>-6158.3</v>
      </c>
    </row>
    <row r="30" spans="1:15" s="4" customFormat="1" hidden="1" outlineLevel="1" x14ac:dyDescent="0.25">
      <c r="A30" s="3" t="s">
        <v>20</v>
      </c>
      <c r="B30" s="18">
        <f>SUM(OSRRefB6_1_0x_0)</f>
        <v>7676.67</v>
      </c>
      <c r="C30" s="18">
        <f>SUM(OSRRefB6_1_0x_1)</f>
        <v>5104.17</v>
      </c>
      <c r="D30" s="18">
        <f>SUM(OSRRefB6_1_0x_2)</f>
        <v>3835</v>
      </c>
      <c r="E30" s="18">
        <f>SUM(OSRRefB6_1_0x_3)</f>
        <v>4612.17</v>
      </c>
      <c r="F30" s="18">
        <f>SUM(OSRRefB6_1_0x_4)</f>
        <v>13778.1</v>
      </c>
      <c r="G30" s="18">
        <f>SUM(OSRRefB6_1_0x_5)</f>
        <v>11162.89</v>
      </c>
      <c r="H30" s="18">
        <f>SUM(OSRRefB6_1_0x_6)</f>
        <v>12913</v>
      </c>
      <c r="I30" s="18">
        <f>SUM(OSRRefB6_1_0x_7)</f>
        <v>12755.33</v>
      </c>
      <c r="J30" s="18">
        <f>SUM(OSRRefB6_1_0x_8)</f>
        <v>5270</v>
      </c>
      <c r="K30" s="18">
        <f>SUM(OSRRefB6_1_0x_9)</f>
        <v>7171.5</v>
      </c>
      <c r="L30" s="18">
        <f>SUM(OSRRefB6_1_0x_10)</f>
        <v>6582.6</v>
      </c>
      <c r="M30" s="18">
        <f>SUM(OSRRefB6_1_0x_11)</f>
        <v>12496.599999999999</v>
      </c>
      <c r="N30" s="19"/>
      <c r="O30" s="20">
        <f t="shared" si="2"/>
        <v>103358.03</v>
      </c>
    </row>
    <row r="31" spans="1:15" s="3" customFormat="1" collapsed="1" x14ac:dyDescent="0.25">
      <c r="A31" s="3" t="str">
        <f>"Total "&amp;TRIM(MID("2B.Contract Labor",4,125))</f>
        <v>Total Contract Labor</v>
      </c>
      <c r="B31" s="12">
        <f>SUM(OSRRefB7_1x_0)</f>
        <v>7676.67</v>
      </c>
      <c r="C31" s="12">
        <f>SUM(OSRRefB7_1x_1)</f>
        <v>5104.17</v>
      </c>
      <c r="D31" s="12">
        <f>SUM(OSRRefB7_1x_2)</f>
        <v>3835</v>
      </c>
      <c r="E31" s="12">
        <f>SUM(OSRRefB7_1x_3)</f>
        <v>4612.17</v>
      </c>
      <c r="F31" s="12">
        <f>SUM(OSRRefB7_1x_4)</f>
        <v>13778.1</v>
      </c>
      <c r="G31" s="12">
        <f>SUM(OSRRefB7_1x_5)</f>
        <v>11162.89</v>
      </c>
      <c r="H31" s="12">
        <f>SUM(OSRRefB7_1x_6)</f>
        <v>12913</v>
      </c>
      <c r="I31" s="12">
        <f>SUM(OSRRefB7_1x_7)</f>
        <v>12755.33</v>
      </c>
      <c r="J31" s="12">
        <f>SUM(OSRRefB7_1x_8)</f>
        <v>5270</v>
      </c>
      <c r="K31" s="12">
        <f>SUM(OSRRefB7_1x_9)</f>
        <v>7171.5</v>
      </c>
      <c r="L31" s="12">
        <f>SUM(OSRRefB7_1x_10)</f>
        <v>6582.6</v>
      </c>
      <c r="M31" s="12">
        <f>SUM(OSRRefB7_1x_11)</f>
        <v>12496.599999999999</v>
      </c>
      <c r="N31" s="13"/>
      <c r="O31" s="14">
        <f t="shared" si="2"/>
        <v>103358.03</v>
      </c>
    </row>
    <row r="32" spans="1:15" x14ac:dyDescent="0.25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6"/>
      <c r="O32" s="17"/>
    </row>
    <row r="33" spans="1:15" hidden="1" outlineLevel="1" x14ac:dyDescent="0.25">
      <c r="A33" s="3" t="str">
        <f>TRIM(MID("2C.Benefits",4,125))</f>
        <v>Benefits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6"/>
      <c r="O33" s="17"/>
    </row>
    <row r="34" spans="1:15" hidden="1" outlineLevel="2" x14ac:dyDescent="0.25">
      <c r="A34" t="str">
        <f>("55100")&amp;" - "&amp;("Benefits - CCS Plan EE Expense")</f>
        <v>55100 - Benefits - CCS Plan EE Expense</v>
      </c>
      <c r="B34" s="15">
        <f>25730.83+0</f>
        <v>25730.83</v>
      </c>
      <c r="C34" s="15">
        <f>20800+0</f>
        <v>20800</v>
      </c>
      <c r="D34" s="15">
        <f>21517.06+0</f>
        <v>21517.06</v>
      </c>
      <c r="E34" s="15">
        <f>20289.65+0</f>
        <v>20289.650000000001</v>
      </c>
      <c r="F34" s="15">
        <f>19047.78+0</f>
        <v>19047.78</v>
      </c>
      <c r="G34" s="15">
        <f>19388.63+0</f>
        <v>19388.63</v>
      </c>
      <c r="H34" s="15">
        <f>13813.92+0</f>
        <v>13813.92</v>
      </c>
      <c r="I34" s="15">
        <f>10806.98+0</f>
        <v>10806.98</v>
      </c>
      <c r="J34" s="15">
        <f>12708.19+0</f>
        <v>12708.19</v>
      </c>
      <c r="K34" s="15">
        <f>18051.47+0</f>
        <v>18051.47</v>
      </c>
      <c r="L34" s="15">
        <f>17260.58+0</f>
        <v>17260.580000000002</v>
      </c>
      <c r="M34" s="15">
        <f>20777.21+0</f>
        <v>20777.21</v>
      </c>
      <c r="N34" s="16"/>
      <c r="O34" s="17">
        <f t="shared" ref="O34:O48" si="5">SUM(B34:N34)</f>
        <v>220192.30000000002</v>
      </c>
    </row>
    <row r="35" spans="1:15" hidden="1" outlineLevel="2" x14ac:dyDescent="0.25">
      <c r="A35" t="str">
        <f>("55110")&amp;" - "&amp;("Benefits: PC Plan EE Expense")</f>
        <v>55110 - Benefits: PC Plan EE Expense</v>
      </c>
      <c r="B35" s="15">
        <f>607.98+0</f>
        <v>607.98</v>
      </c>
      <c r="C35" s="15">
        <f>631.25+0</f>
        <v>631.25</v>
      </c>
      <c r="D35" s="15">
        <f>839.26+0</f>
        <v>839.26</v>
      </c>
      <c r="E35" s="15">
        <f>628.17+0</f>
        <v>628.16999999999996</v>
      </c>
      <c r="F35" s="15">
        <f t="shared" ref="F35:M35" si="6">0+0</f>
        <v>0</v>
      </c>
      <c r="G35" s="15">
        <f t="shared" si="6"/>
        <v>0</v>
      </c>
      <c r="H35" s="15">
        <f t="shared" si="6"/>
        <v>0</v>
      </c>
      <c r="I35" s="15">
        <f t="shared" si="6"/>
        <v>0</v>
      </c>
      <c r="J35" s="15">
        <f t="shared" si="6"/>
        <v>0</v>
      </c>
      <c r="K35" s="15">
        <f t="shared" si="6"/>
        <v>0</v>
      </c>
      <c r="L35" s="15">
        <f t="shared" si="6"/>
        <v>0</v>
      </c>
      <c r="M35" s="15">
        <f t="shared" si="6"/>
        <v>0</v>
      </c>
      <c r="N35" s="16"/>
      <c r="O35" s="17">
        <f t="shared" si="5"/>
        <v>2706.66</v>
      </c>
    </row>
    <row r="36" spans="1:15" hidden="1" outlineLevel="2" x14ac:dyDescent="0.25">
      <c r="A36" t="str">
        <f>("55200")&amp;" - "&amp;("Benefits- 401K Employer Match")</f>
        <v>55200 - Benefits- 401K Employer Match</v>
      </c>
      <c r="B36" s="15">
        <f>2604.94+0</f>
        <v>2604.94</v>
      </c>
      <c r="C36" s="15">
        <f>1478.77+0</f>
        <v>1478.77</v>
      </c>
      <c r="D36" s="15">
        <f>2638.09+0</f>
        <v>2638.09</v>
      </c>
      <c r="E36" s="15">
        <f>2457.17+0</f>
        <v>2457.17</v>
      </c>
      <c r="F36" s="15">
        <f>1542.01+0</f>
        <v>1542.01</v>
      </c>
      <c r="G36" s="15">
        <f>1545.35+0</f>
        <v>1545.35</v>
      </c>
      <c r="H36" s="15">
        <f>1332.99+0</f>
        <v>1332.99</v>
      </c>
      <c r="I36" s="15">
        <f>2628.41+0</f>
        <v>2628.41</v>
      </c>
      <c r="J36" s="15">
        <f>2279.41+0</f>
        <v>2279.41</v>
      </c>
      <c r="K36" s="15">
        <f>2449.54+0</f>
        <v>2449.54</v>
      </c>
      <c r="L36" s="15">
        <f>2449.54+0</f>
        <v>2449.54</v>
      </c>
      <c r="M36" s="15">
        <f>-16684.42+0</f>
        <v>-16684.419999999998</v>
      </c>
      <c r="N36" s="16"/>
      <c r="O36" s="17">
        <f t="shared" si="5"/>
        <v>6721.8000000000029</v>
      </c>
    </row>
    <row r="37" spans="1:15" s="4" customFormat="1" hidden="1" outlineLevel="1" x14ac:dyDescent="0.25">
      <c r="A37" s="3" t="s">
        <v>19</v>
      </c>
      <c r="B37" s="18">
        <f>SUM(OSRRefB6_2_0x_0)</f>
        <v>28943.75</v>
      </c>
      <c r="C37" s="18">
        <f>SUM(OSRRefB6_2_0x_1)</f>
        <v>22910.02</v>
      </c>
      <c r="D37" s="18">
        <f>SUM(OSRRefB6_2_0x_2)</f>
        <v>24994.41</v>
      </c>
      <c r="E37" s="18">
        <f>SUM(OSRRefB6_2_0x_3)</f>
        <v>23374.989999999998</v>
      </c>
      <c r="F37" s="18">
        <f>SUM(OSRRefB6_2_0x_4)</f>
        <v>20589.789999999997</v>
      </c>
      <c r="G37" s="18">
        <f>SUM(OSRRefB6_2_0x_5)</f>
        <v>20933.98</v>
      </c>
      <c r="H37" s="18">
        <f>SUM(OSRRefB6_2_0x_6)</f>
        <v>15146.91</v>
      </c>
      <c r="I37" s="18">
        <f>SUM(OSRRefB6_2_0x_7)</f>
        <v>13435.39</v>
      </c>
      <c r="J37" s="18">
        <f>SUM(OSRRefB6_2_0x_8)</f>
        <v>14987.6</v>
      </c>
      <c r="K37" s="18">
        <f>SUM(OSRRefB6_2_0x_9)</f>
        <v>20501.010000000002</v>
      </c>
      <c r="L37" s="18">
        <f>SUM(OSRRefB6_2_0x_10)</f>
        <v>19710.120000000003</v>
      </c>
      <c r="M37" s="18">
        <f>SUM(OSRRefB6_2_0x_11)</f>
        <v>4092.7900000000009</v>
      </c>
      <c r="N37" s="19"/>
      <c r="O37" s="20">
        <f t="shared" si="5"/>
        <v>229620.76</v>
      </c>
    </row>
    <row r="38" spans="1:15" hidden="1" outlineLevel="2" x14ac:dyDescent="0.25">
      <c r="A38" t="str">
        <f>("56100")&amp;" - "&amp;("EE Expense- Goodwill")</f>
        <v>56100 - EE Expense- Goodwill</v>
      </c>
      <c r="B38" s="15">
        <f>357.92+0</f>
        <v>357.92</v>
      </c>
      <c r="C38" s="15">
        <f>630.82+0</f>
        <v>630.82000000000005</v>
      </c>
      <c r="D38" s="15">
        <f>1150.21+0</f>
        <v>1150.21</v>
      </c>
      <c r="E38" s="15">
        <f>547.59+0</f>
        <v>547.59</v>
      </c>
      <c r="F38" s="15">
        <f>863.78+0</f>
        <v>863.78</v>
      </c>
      <c r="G38" s="15">
        <f>1667.61+0</f>
        <v>1667.61</v>
      </c>
      <c r="H38" s="15">
        <f>386.82+0</f>
        <v>386.82</v>
      </c>
      <c r="I38" s="15">
        <f>398.62+0</f>
        <v>398.62</v>
      </c>
      <c r="J38" s="15">
        <f>833.52+0</f>
        <v>833.52</v>
      </c>
      <c r="K38" s="15">
        <f>86.63+0</f>
        <v>86.63</v>
      </c>
      <c r="L38" s="15">
        <f>1078.58+0</f>
        <v>1078.58</v>
      </c>
      <c r="M38" s="15">
        <f>-19.85+0</f>
        <v>-19.850000000000001</v>
      </c>
      <c r="N38" s="16"/>
      <c r="O38" s="17">
        <f t="shared" si="5"/>
        <v>7982.2499999999991</v>
      </c>
    </row>
    <row r="39" spans="1:15" hidden="1" outlineLevel="2" x14ac:dyDescent="0.25">
      <c r="A39" t="str">
        <f>("56200")&amp;" - "&amp;("EE Expense- Education")</f>
        <v>56200 - EE Expense- Education</v>
      </c>
      <c r="B39" s="15">
        <f t="shared" ref="B39:H39" si="7">0+0</f>
        <v>0</v>
      </c>
      <c r="C39" s="15">
        <f t="shared" si="7"/>
        <v>0</v>
      </c>
      <c r="D39" s="15">
        <f t="shared" si="7"/>
        <v>0</v>
      </c>
      <c r="E39" s="15">
        <f t="shared" si="7"/>
        <v>0</v>
      </c>
      <c r="F39" s="15">
        <f t="shared" si="7"/>
        <v>0</v>
      </c>
      <c r="G39" s="15">
        <f t="shared" si="7"/>
        <v>0</v>
      </c>
      <c r="H39" s="15">
        <f t="shared" si="7"/>
        <v>0</v>
      </c>
      <c r="I39" s="15">
        <f>1324+0</f>
        <v>1324</v>
      </c>
      <c r="J39" s="15">
        <f>0+0</f>
        <v>0</v>
      </c>
      <c r="K39" s="15">
        <f>0+0</f>
        <v>0</v>
      </c>
      <c r="L39" s="15">
        <f>0+0</f>
        <v>0</v>
      </c>
      <c r="M39" s="15">
        <f>0+0</f>
        <v>0</v>
      </c>
      <c r="N39" s="16"/>
      <c r="O39" s="17">
        <f t="shared" si="5"/>
        <v>1324</v>
      </c>
    </row>
    <row r="40" spans="1:15" hidden="1" outlineLevel="2" x14ac:dyDescent="0.25">
      <c r="A40" t="str">
        <f>("56400")&amp;" - "&amp;("EE Expense- Recruiting")</f>
        <v>56400 - EE Expense- Recruiting</v>
      </c>
      <c r="B40" s="15">
        <f>748.33+0</f>
        <v>748.33</v>
      </c>
      <c r="C40" s="15">
        <f>-490.34+0</f>
        <v>-490.34</v>
      </c>
      <c r="D40" s="15">
        <f>0+0</f>
        <v>0</v>
      </c>
      <c r="E40" s="15">
        <f>0+0</f>
        <v>0</v>
      </c>
      <c r="F40" s="15">
        <f>356.86+0</f>
        <v>356.86</v>
      </c>
      <c r="G40" s="15">
        <f>0+0</f>
        <v>0</v>
      </c>
      <c r="H40" s="15">
        <f>0+0</f>
        <v>0</v>
      </c>
      <c r="I40" s="15">
        <f>59.48+0</f>
        <v>59.48</v>
      </c>
      <c r="J40" s="15">
        <f>352.83+0</f>
        <v>352.83</v>
      </c>
      <c r="K40" s="15">
        <f>1643.09+0</f>
        <v>1643.09</v>
      </c>
      <c r="L40" s="15">
        <f>-59.48+0</f>
        <v>-59.48</v>
      </c>
      <c r="M40" s="15">
        <f>0+0</f>
        <v>0</v>
      </c>
      <c r="N40" s="16"/>
      <c r="O40" s="17">
        <f t="shared" si="5"/>
        <v>2610.77</v>
      </c>
    </row>
    <row r="41" spans="1:15" s="4" customFormat="1" hidden="1" outlineLevel="1" x14ac:dyDescent="0.25">
      <c r="A41" s="3" t="s">
        <v>18</v>
      </c>
      <c r="B41" s="18">
        <f>SUM(OSRRefB6_2_1x_0)</f>
        <v>1106.25</v>
      </c>
      <c r="C41" s="18">
        <f>SUM(OSRRefB6_2_1x_1)</f>
        <v>140.48000000000008</v>
      </c>
      <c r="D41" s="18">
        <f>SUM(OSRRefB6_2_1x_2)</f>
        <v>1150.21</v>
      </c>
      <c r="E41" s="18">
        <f>SUM(OSRRefB6_2_1x_3)</f>
        <v>547.59</v>
      </c>
      <c r="F41" s="18">
        <f>SUM(OSRRefB6_2_1x_4)</f>
        <v>1220.6399999999999</v>
      </c>
      <c r="G41" s="18">
        <f>SUM(OSRRefB6_2_1x_5)</f>
        <v>1667.61</v>
      </c>
      <c r="H41" s="18">
        <f>SUM(OSRRefB6_2_1x_6)</f>
        <v>386.82</v>
      </c>
      <c r="I41" s="18">
        <f>SUM(OSRRefB6_2_1x_7)</f>
        <v>1782.1</v>
      </c>
      <c r="J41" s="18">
        <f>SUM(OSRRefB6_2_1x_8)</f>
        <v>1186.3499999999999</v>
      </c>
      <c r="K41" s="18">
        <f>SUM(OSRRefB6_2_1x_9)</f>
        <v>1729.7199999999998</v>
      </c>
      <c r="L41" s="18">
        <f>SUM(OSRRefB6_2_1x_10)</f>
        <v>1019.0999999999999</v>
      </c>
      <c r="M41" s="18">
        <f>SUM(OSRRefB6_2_1x_11)</f>
        <v>-19.850000000000001</v>
      </c>
      <c r="N41" s="19"/>
      <c r="O41" s="20">
        <f t="shared" si="5"/>
        <v>11917.019999999999</v>
      </c>
    </row>
    <row r="42" spans="1:15" hidden="1" outlineLevel="2" x14ac:dyDescent="0.25">
      <c r="A42" t="str">
        <f>("53100")&amp;" - "&amp;("Incentive Pay- Other Bonus")</f>
        <v>53100 - Incentive Pay- Other Bonus</v>
      </c>
      <c r="B42" s="15">
        <f>0+0</f>
        <v>0</v>
      </c>
      <c r="C42" s="15">
        <f>0+0</f>
        <v>0</v>
      </c>
      <c r="D42" s="15">
        <v>8400</v>
      </c>
      <c r="E42" s="15">
        <f>0+0</f>
        <v>0</v>
      </c>
      <c r="F42" s="15">
        <f>2500.02+0</f>
        <v>2500.02</v>
      </c>
      <c r="G42" s="15">
        <f>1250.02+0</f>
        <v>1250.02</v>
      </c>
      <c r="H42" s="15">
        <f>750.01+0</f>
        <v>750.01</v>
      </c>
      <c r="I42" s="15">
        <f>-3000+0</f>
        <v>-3000</v>
      </c>
      <c r="J42" s="15">
        <f>0+0</f>
        <v>0</v>
      </c>
      <c r="K42" s="15">
        <f>0+0</f>
        <v>0</v>
      </c>
      <c r="L42" s="15">
        <f>1500+0</f>
        <v>1500</v>
      </c>
      <c r="M42" s="15">
        <f>4000+0</f>
        <v>4000</v>
      </c>
      <c r="N42" s="16"/>
      <c r="O42" s="17">
        <f t="shared" si="5"/>
        <v>15400.050000000001</v>
      </c>
    </row>
    <row r="43" spans="1:15" s="4" customFormat="1" hidden="1" outlineLevel="1" x14ac:dyDescent="0.25">
      <c r="A43" s="3" t="s">
        <v>17</v>
      </c>
      <c r="B43" s="18">
        <f>SUM(OSRRefB6_2_2x_0)</f>
        <v>0</v>
      </c>
      <c r="C43" s="18">
        <f>SUM(OSRRefB6_2_2x_1)</f>
        <v>0</v>
      </c>
      <c r="D43" s="18">
        <f>SUM(OSRRefB6_2_2x_2)</f>
        <v>8400</v>
      </c>
      <c r="E43" s="18">
        <f>SUM(OSRRefB6_2_2x_3)</f>
        <v>0</v>
      </c>
      <c r="F43" s="18">
        <f>SUM(OSRRefB6_2_2x_4)</f>
        <v>2500.02</v>
      </c>
      <c r="G43" s="18">
        <f>SUM(OSRRefB6_2_2x_5)</f>
        <v>1250.02</v>
      </c>
      <c r="H43" s="18">
        <f>SUM(OSRRefB6_2_2x_6)</f>
        <v>750.01</v>
      </c>
      <c r="I43" s="18">
        <f>SUM(OSRRefB6_2_2x_7)</f>
        <v>-3000</v>
      </c>
      <c r="J43" s="18">
        <f>SUM(OSRRefB6_2_2x_8)</f>
        <v>0</v>
      </c>
      <c r="K43" s="18">
        <f>SUM(OSRRefB6_2_2x_9)</f>
        <v>0</v>
      </c>
      <c r="L43" s="18">
        <f>SUM(OSRRefB6_2_2x_10)</f>
        <v>1500</v>
      </c>
      <c r="M43" s="18">
        <f>SUM(OSRRefB6_2_2x_11)</f>
        <v>4000</v>
      </c>
      <c r="N43" s="19"/>
      <c r="O43" s="20">
        <f t="shared" si="5"/>
        <v>15400.050000000001</v>
      </c>
    </row>
    <row r="44" spans="1:15" hidden="1" outlineLevel="2" x14ac:dyDescent="0.25">
      <c r="A44" t="str">
        <f>("54000")&amp;" - "&amp;("Payroll Taxes- FICA")</f>
        <v>54000 - Payroll Taxes- FICA</v>
      </c>
      <c r="B44" s="15">
        <f>16032.55+0</f>
        <v>16032.55</v>
      </c>
      <c r="C44" s="15">
        <f>17236.86+0</f>
        <v>17236.86</v>
      </c>
      <c r="D44" s="15">
        <f>17289.71+0</f>
        <v>17289.71</v>
      </c>
      <c r="E44" s="15">
        <f>14340.87+0</f>
        <v>14340.87</v>
      </c>
      <c r="F44" s="15">
        <f>14854.9+0</f>
        <v>14854.9</v>
      </c>
      <c r="G44" s="15">
        <f>19724.05+0</f>
        <v>19724.05</v>
      </c>
      <c r="H44" s="15">
        <f>17839.52+0</f>
        <v>17839.52</v>
      </c>
      <c r="I44" s="15">
        <f>18625.61+0</f>
        <v>18625.61</v>
      </c>
      <c r="J44" s="15">
        <f>14438.65+0</f>
        <v>14438.65</v>
      </c>
      <c r="K44" s="15">
        <f>22087.97+0</f>
        <v>22087.97</v>
      </c>
      <c r="L44" s="15">
        <f>16110.09+0</f>
        <v>16110.09</v>
      </c>
      <c r="M44" s="15">
        <f>19798.4+0</f>
        <v>19798.400000000001</v>
      </c>
      <c r="N44" s="16"/>
      <c r="O44" s="17">
        <f t="shared" si="5"/>
        <v>208379.18</v>
      </c>
    </row>
    <row r="45" spans="1:15" hidden="1" outlineLevel="2" x14ac:dyDescent="0.25">
      <c r="A45" t="str">
        <f>("54100")&amp;" - "&amp;("Payroll Taxes- FUTA")</f>
        <v>54100 - Payroll Taxes- FUTA</v>
      </c>
      <c r="B45" s="15">
        <f>20.36+0</f>
        <v>20.36</v>
      </c>
      <c r="C45" s="15">
        <f>110.72+0</f>
        <v>110.72</v>
      </c>
      <c r="D45" s="15">
        <f>555.09+0</f>
        <v>555.09</v>
      </c>
      <c r="E45" s="15">
        <f>862.09+0</f>
        <v>862.09</v>
      </c>
      <c r="F45" s="15">
        <f>160.8+0</f>
        <v>160.80000000000001</v>
      </c>
      <c r="G45" s="15">
        <f>367.49+0</f>
        <v>367.49</v>
      </c>
      <c r="H45" s="15">
        <f>157.31+0</f>
        <v>157.31</v>
      </c>
      <c r="I45" s="15">
        <f>128.38+0</f>
        <v>128.38</v>
      </c>
      <c r="J45" s="15">
        <f>187.46+0</f>
        <v>187.46</v>
      </c>
      <c r="K45" s="15">
        <f>248.42+0</f>
        <v>248.42</v>
      </c>
      <c r="L45" s="15">
        <f>6.69+0</f>
        <v>6.69</v>
      </c>
      <c r="M45" s="15">
        <f>6.58+0</f>
        <v>6.58</v>
      </c>
      <c r="N45" s="16"/>
      <c r="O45" s="17">
        <f t="shared" si="5"/>
        <v>2811.3900000000003</v>
      </c>
    </row>
    <row r="46" spans="1:15" hidden="1" outlineLevel="2" x14ac:dyDescent="0.25">
      <c r="A46" t="str">
        <f>("54200")&amp;" - "&amp;("Payroll Taxes- SUTA")</f>
        <v>54200 - Payroll Taxes- SUTA</v>
      </c>
      <c r="B46" s="15">
        <f>198.52+0</f>
        <v>198.52</v>
      </c>
      <c r="C46" s="15">
        <f>434.82+0</f>
        <v>434.82</v>
      </c>
      <c r="D46" s="15">
        <f>5017.95+0</f>
        <v>5017.95</v>
      </c>
      <c r="E46" s="15">
        <f>3675.08+0</f>
        <v>3675.08</v>
      </c>
      <c r="F46" s="15">
        <f>3632.85+0</f>
        <v>3632.85</v>
      </c>
      <c r="G46" s="15">
        <f>1656.08+0</f>
        <v>1656.08</v>
      </c>
      <c r="H46" s="15">
        <f>866.67+0</f>
        <v>866.67</v>
      </c>
      <c r="I46" s="15">
        <f>937.23+0</f>
        <v>937.23</v>
      </c>
      <c r="J46" s="15">
        <f>798.13+0</f>
        <v>798.13</v>
      </c>
      <c r="K46" s="15">
        <f>1632.46+0</f>
        <v>1632.46</v>
      </c>
      <c r="L46" s="15">
        <f>251.18+0</f>
        <v>251.18</v>
      </c>
      <c r="M46" s="15">
        <f>150.19+0</f>
        <v>150.19</v>
      </c>
      <c r="N46" s="16"/>
      <c r="O46" s="17">
        <f t="shared" si="5"/>
        <v>19251.16</v>
      </c>
    </row>
    <row r="47" spans="1:15" s="4" customFormat="1" hidden="1" outlineLevel="1" x14ac:dyDescent="0.25">
      <c r="A47" s="3" t="s">
        <v>16</v>
      </c>
      <c r="B47" s="18">
        <f>SUM(OSRRefB6_2_3x_0)</f>
        <v>16251.43</v>
      </c>
      <c r="C47" s="18">
        <f>SUM(OSRRefB6_2_3x_1)</f>
        <v>17782.400000000001</v>
      </c>
      <c r="D47" s="18">
        <f>SUM(OSRRefB6_2_3x_2)</f>
        <v>22862.75</v>
      </c>
      <c r="E47" s="18">
        <f>SUM(OSRRefB6_2_3x_3)</f>
        <v>18878.04</v>
      </c>
      <c r="F47" s="18">
        <f>SUM(OSRRefB6_2_3x_4)</f>
        <v>18648.55</v>
      </c>
      <c r="G47" s="18">
        <f>SUM(OSRRefB6_2_3x_5)</f>
        <v>21747.620000000003</v>
      </c>
      <c r="H47" s="18">
        <f>SUM(OSRRefB6_2_3x_6)</f>
        <v>18863.5</v>
      </c>
      <c r="I47" s="18">
        <f>SUM(OSRRefB6_2_3x_7)</f>
        <v>19691.22</v>
      </c>
      <c r="J47" s="18">
        <f>SUM(OSRRefB6_2_3x_8)</f>
        <v>15424.239999999998</v>
      </c>
      <c r="K47" s="18">
        <f>SUM(OSRRefB6_2_3x_9)</f>
        <v>23968.85</v>
      </c>
      <c r="L47" s="18">
        <f>SUM(OSRRefB6_2_3x_10)</f>
        <v>16367.960000000001</v>
      </c>
      <c r="M47" s="18">
        <f>SUM(OSRRefB6_2_3x_11)</f>
        <v>19955.170000000002</v>
      </c>
      <c r="N47" s="19"/>
      <c r="O47" s="20">
        <f t="shared" si="5"/>
        <v>230441.73</v>
      </c>
    </row>
    <row r="48" spans="1:15" s="3" customFormat="1" collapsed="1" x14ac:dyDescent="0.25">
      <c r="A48" s="3" t="str">
        <f>"Total "&amp;TRIM(MID("2C.Benefits",4,125))</f>
        <v>Total Benefits</v>
      </c>
      <c r="B48" s="12">
        <f>SUM(OSRRefB7_2x_0)</f>
        <v>46301.43</v>
      </c>
      <c r="C48" s="12">
        <f>SUM(OSRRefB7_2x_1)</f>
        <v>40832.9</v>
      </c>
      <c r="D48" s="12">
        <f>SUM(OSRRefB7_2x_2)</f>
        <v>57407.369999999995</v>
      </c>
      <c r="E48" s="12">
        <f>SUM(OSRRefB7_2x_3)</f>
        <v>42800.619999999995</v>
      </c>
      <c r="F48" s="12">
        <f>SUM(OSRRefB7_2x_4)</f>
        <v>42959</v>
      </c>
      <c r="G48" s="12">
        <f>SUM(OSRRefB7_2x_5)</f>
        <v>45599.23</v>
      </c>
      <c r="H48" s="12">
        <f>SUM(OSRRefB7_2x_6)</f>
        <v>35147.24</v>
      </c>
      <c r="I48" s="12">
        <f>SUM(OSRRefB7_2x_7)</f>
        <v>31908.71</v>
      </c>
      <c r="J48" s="12">
        <f>SUM(OSRRefB7_2x_8)</f>
        <v>31598.19</v>
      </c>
      <c r="K48" s="12">
        <f>SUM(OSRRefB7_2x_9)</f>
        <v>46199.58</v>
      </c>
      <c r="L48" s="12">
        <f>SUM(OSRRefB7_2x_10)</f>
        <v>38597.18</v>
      </c>
      <c r="M48" s="12">
        <f>SUM(OSRRefB7_2x_11)</f>
        <v>28028.11</v>
      </c>
      <c r="N48" s="13"/>
      <c r="O48" s="14">
        <f t="shared" si="5"/>
        <v>487379.56</v>
      </c>
    </row>
    <row r="49" spans="1:15" x14ac:dyDescent="0.2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6"/>
      <c r="O49" s="17"/>
    </row>
    <row r="50" spans="1:15" hidden="1" outlineLevel="1" x14ac:dyDescent="0.25">
      <c r="A50" s="3" t="str">
        <f>TRIM(MID("2D.Travel",4,125))</f>
        <v>Travel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6"/>
      <c r="O50" s="17"/>
    </row>
    <row r="51" spans="1:15" hidden="1" outlineLevel="2" x14ac:dyDescent="0.25">
      <c r="A51" t="str">
        <f>("65000")&amp;" - "&amp;("Travel- Airfare")</f>
        <v>65000 - Travel- Airfare</v>
      </c>
      <c r="B51" s="15">
        <f>0+0</f>
        <v>0</v>
      </c>
      <c r="C51" s="15">
        <f>38.56+0</f>
        <v>38.56</v>
      </c>
      <c r="D51" s="15">
        <f>-38.56+0</f>
        <v>-38.56</v>
      </c>
      <c r="E51" s="15">
        <f>0+0</f>
        <v>0</v>
      </c>
      <c r="F51" s="15">
        <f>0+0</f>
        <v>0</v>
      </c>
      <c r="G51" s="15">
        <f>399.2+0</f>
        <v>399.2</v>
      </c>
      <c r="H51" s="15">
        <f>0+0</f>
        <v>0</v>
      </c>
      <c r="I51" s="15">
        <f>146.02+0</f>
        <v>146.02000000000001</v>
      </c>
      <c r="J51" s="15">
        <f>0+0</f>
        <v>0</v>
      </c>
      <c r="K51" s="15">
        <f>340.58+0</f>
        <v>340.58</v>
      </c>
      <c r="L51" s="15">
        <f>0+0</f>
        <v>0</v>
      </c>
      <c r="M51" s="15">
        <f>0+0</f>
        <v>0</v>
      </c>
      <c r="N51" s="16"/>
      <c r="O51" s="17">
        <f t="shared" ref="O51:O59" si="8">SUM(B51:N51)</f>
        <v>885.8</v>
      </c>
    </row>
    <row r="52" spans="1:15" hidden="1" outlineLevel="2" x14ac:dyDescent="0.25">
      <c r="A52" t="str">
        <f>("65020")&amp;" - "&amp;("Travel- Lodging")</f>
        <v>65020 - Travel- Lodging</v>
      </c>
      <c r="B52" s="15">
        <f>-311.83+0</f>
        <v>-311.83</v>
      </c>
      <c r="C52" s="15">
        <f>294.48+0</f>
        <v>294.48</v>
      </c>
      <c r="D52" s="15">
        <f>-34.24+0</f>
        <v>-34.24</v>
      </c>
      <c r="E52" s="15">
        <f>-265.99+0</f>
        <v>-265.99</v>
      </c>
      <c r="F52" s="15">
        <f>-33.18+0</f>
        <v>-33.18</v>
      </c>
      <c r="G52" s="15">
        <f>-141.17+0</f>
        <v>-141.16999999999999</v>
      </c>
      <c r="H52" s="15">
        <f>-50.97+0</f>
        <v>-50.97</v>
      </c>
      <c r="I52" s="15">
        <f>31.27+0</f>
        <v>31.27</v>
      </c>
      <c r="J52" s="15">
        <f>84.29+0</f>
        <v>84.29</v>
      </c>
      <c r="K52" s="15">
        <f>393.15+0</f>
        <v>393.15</v>
      </c>
      <c r="L52" s="15">
        <f>-128.32+0</f>
        <v>-128.32</v>
      </c>
      <c r="M52" s="15">
        <f>-60.32+0</f>
        <v>-60.32</v>
      </c>
      <c r="N52" s="16"/>
      <c r="O52" s="17">
        <f t="shared" si="8"/>
        <v>-222.82999999999998</v>
      </c>
    </row>
    <row r="53" spans="1:15" hidden="1" outlineLevel="2" x14ac:dyDescent="0.25">
      <c r="A53" t="str">
        <f>("65050")&amp;" - "&amp;("Travel- Rental Car")</f>
        <v>65050 - Travel- Rental Car</v>
      </c>
      <c r="B53" s="15">
        <f t="shared" ref="B53:J53" si="9">0+0</f>
        <v>0</v>
      </c>
      <c r="C53" s="15">
        <f t="shared" si="9"/>
        <v>0</v>
      </c>
      <c r="D53" s="15">
        <f t="shared" si="9"/>
        <v>0</v>
      </c>
      <c r="E53" s="15">
        <f t="shared" si="9"/>
        <v>0</v>
      </c>
      <c r="F53" s="15">
        <f t="shared" si="9"/>
        <v>0</v>
      </c>
      <c r="G53" s="15">
        <f t="shared" si="9"/>
        <v>0</v>
      </c>
      <c r="H53" s="15">
        <f t="shared" si="9"/>
        <v>0</v>
      </c>
      <c r="I53" s="15">
        <f t="shared" si="9"/>
        <v>0</v>
      </c>
      <c r="J53" s="15">
        <f t="shared" si="9"/>
        <v>0</v>
      </c>
      <c r="K53" s="15">
        <f>358.88+0</f>
        <v>358.88</v>
      </c>
      <c r="L53" s="15">
        <f>0+0</f>
        <v>0</v>
      </c>
      <c r="M53" s="15">
        <f>0+0</f>
        <v>0</v>
      </c>
      <c r="N53" s="16"/>
      <c r="O53" s="17">
        <f t="shared" si="8"/>
        <v>358.88</v>
      </c>
    </row>
    <row r="54" spans="1:15" hidden="1" outlineLevel="2" x14ac:dyDescent="0.25">
      <c r="A54" t="str">
        <f>("65100")&amp;" - "&amp;("Travel- Mileage")</f>
        <v>65100 - Travel- Mileage</v>
      </c>
      <c r="B54" s="15">
        <f>201.6+0</f>
        <v>201.6</v>
      </c>
      <c r="C54" s="15">
        <f>54.22+0</f>
        <v>54.22</v>
      </c>
      <c r="D54" s="15">
        <f>-54.22+0</f>
        <v>-54.22</v>
      </c>
      <c r="E54" s="15">
        <f>38.03+0</f>
        <v>38.03</v>
      </c>
      <c r="F54" s="15">
        <f t="shared" ref="F54:H57" si="10">0+0</f>
        <v>0</v>
      </c>
      <c r="G54" s="15">
        <f t="shared" si="10"/>
        <v>0</v>
      </c>
      <c r="H54" s="15">
        <f t="shared" si="10"/>
        <v>0</v>
      </c>
      <c r="I54" s="15">
        <f>69.62+0</f>
        <v>69.62</v>
      </c>
      <c r="J54" s="15">
        <f>0+0</f>
        <v>0</v>
      </c>
      <c r="K54" s="15">
        <f>21.88+0</f>
        <v>21.88</v>
      </c>
      <c r="L54" s="15">
        <f>0+0</f>
        <v>0</v>
      </c>
      <c r="M54" s="15">
        <f>127.5+0</f>
        <v>127.5</v>
      </c>
      <c r="N54" s="16"/>
      <c r="O54" s="17">
        <f t="shared" si="8"/>
        <v>458.63</v>
      </c>
    </row>
    <row r="55" spans="1:15" hidden="1" outlineLevel="2" x14ac:dyDescent="0.25">
      <c r="A55" t="str">
        <f>("65150")&amp;" - "&amp;("Travel- Parking")</f>
        <v>65150 - Travel- Parking</v>
      </c>
      <c r="B55" s="15">
        <f>140+0</f>
        <v>140</v>
      </c>
      <c r="C55" s="15">
        <f t="shared" ref="C55:E57" si="11">0+0</f>
        <v>0</v>
      </c>
      <c r="D55" s="15">
        <f t="shared" si="11"/>
        <v>0</v>
      </c>
      <c r="E55" s="15">
        <f t="shared" si="11"/>
        <v>0</v>
      </c>
      <c r="F55" s="15">
        <f t="shared" si="10"/>
        <v>0</v>
      </c>
      <c r="G55" s="15">
        <f t="shared" si="10"/>
        <v>0</v>
      </c>
      <c r="H55" s="15">
        <f t="shared" si="10"/>
        <v>0</v>
      </c>
      <c r="I55" s="15">
        <f>105+0</f>
        <v>105</v>
      </c>
      <c r="J55" s="15">
        <f>0+0</f>
        <v>0</v>
      </c>
      <c r="K55" s="15">
        <f>108.1+0</f>
        <v>108.1</v>
      </c>
      <c r="L55" s="15">
        <f>0+0</f>
        <v>0</v>
      </c>
      <c r="M55" s="15">
        <f>0+0</f>
        <v>0</v>
      </c>
      <c r="N55" s="16"/>
      <c r="O55" s="17">
        <f t="shared" si="8"/>
        <v>353.1</v>
      </c>
    </row>
    <row r="56" spans="1:15" hidden="1" outlineLevel="2" x14ac:dyDescent="0.25">
      <c r="A56" t="str">
        <f>("65175")&amp;" - "&amp;("Travel- Meals")</f>
        <v>65175 - Travel- Meals</v>
      </c>
      <c r="B56" s="15">
        <f>256.67+0</f>
        <v>256.67</v>
      </c>
      <c r="C56" s="15">
        <f t="shared" si="11"/>
        <v>0</v>
      </c>
      <c r="D56" s="15">
        <f t="shared" si="11"/>
        <v>0</v>
      </c>
      <c r="E56" s="15">
        <f t="shared" si="11"/>
        <v>0</v>
      </c>
      <c r="F56" s="15">
        <f t="shared" si="10"/>
        <v>0</v>
      </c>
      <c r="G56" s="15">
        <f t="shared" si="10"/>
        <v>0</v>
      </c>
      <c r="H56" s="15">
        <f t="shared" si="10"/>
        <v>0</v>
      </c>
      <c r="I56" s="15">
        <f>26.67+0</f>
        <v>26.67</v>
      </c>
      <c r="J56" s="15">
        <f>0+0</f>
        <v>0</v>
      </c>
      <c r="K56" s="15">
        <f>99.78+0</f>
        <v>99.78</v>
      </c>
      <c r="L56" s="15">
        <f>0+0</f>
        <v>0</v>
      </c>
      <c r="M56" s="15">
        <f>0+0</f>
        <v>0</v>
      </c>
      <c r="N56" s="16"/>
      <c r="O56" s="17">
        <f t="shared" si="8"/>
        <v>383.12</v>
      </c>
    </row>
    <row r="57" spans="1:15" hidden="1" outlineLevel="2" x14ac:dyDescent="0.25">
      <c r="A57" t="str">
        <f>("65250")&amp;" - "&amp;("Travel- Entertainment")</f>
        <v>65250 - Travel- Entertainment</v>
      </c>
      <c r="B57" s="15">
        <f>0+0</f>
        <v>0</v>
      </c>
      <c r="C57" s="15">
        <f t="shared" si="11"/>
        <v>0</v>
      </c>
      <c r="D57" s="15">
        <f t="shared" si="11"/>
        <v>0</v>
      </c>
      <c r="E57" s="15">
        <f t="shared" si="11"/>
        <v>0</v>
      </c>
      <c r="F57" s="15">
        <f t="shared" si="10"/>
        <v>0</v>
      </c>
      <c r="G57" s="15">
        <f t="shared" si="10"/>
        <v>0</v>
      </c>
      <c r="H57" s="15">
        <f t="shared" si="10"/>
        <v>0</v>
      </c>
      <c r="I57" s="15">
        <f>0+0</f>
        <v>0</v>
      </c>
      <c r="J57" s="15">
        <f>0+0</f>
        <v>0</v>
      </c>
      <c r="K57" s="15">
        <f>283.54+0</f>
        <v>283.54000000000002</v>
      </c>
      <c r="L57" s="15">
        <f>0+0</f>
        <v>0</v>
      </c>
      <c r="M57" s="15">
        <f>165.22+0</f>
        <v>165.22</v>
      </c>
      <c r="N57" s="16"/>
      <c r="O57" s="17">
        <f t="shared" si="8"/>
        <v>448.76</v>
      </c>
    </row>
    <row r="58" spans="1:15" s="4" customFormat="1" hidden="1" outlineLevel="1" x14ac:dyDescent="0.25">
      <c r="A58" s="3" t="s">
        <v>15</v>
      </c>
      <c r="B58" s="18">
        <f>SUM(OSRRefB6_3_0x_0)</f>
        <v>286.44000000000005</v>
      </c>
      <c r="C58" s="18">
        <f>SUM(OSRRefB6_3_0x_1)</f>
        <v>387.26</v>
      </c>
      <c r="D58" s="18">
        <f>SUM(OSRRefB6_3_0x_2)</f>
        <v>-127.02000000000001</v>
      </c>
      <c r="E58" s="18">
        <f>SUM(OSRRefB6_3_0x_3)</f>
        <v>-227.96</v>
      </c>
      <c r="F58" s="18">
        <f>SUM(OSRRefB6_3_0x_4)</f>
        <v>-33.18</v>
      </c>
      <c r="G58" s="18">
        <f>SUM(OSRRefB6_3_0x_5)</f>
        <v>258.02999999999997</v>
      </c>
      <c r="H58" s="18">
        <f>SUM(OSRRefB6_3_0x_6)</f>
        <v>-50.97</v>
      </c>
      <c r="I58" s="18">
        <f>SUM(OSRRefB6_3_0x_7)</f>
        <v>378.58000000000004</v>
      </c>
      <c r="J58" s="18">
        <f>SUM(OSRRefB6_3_0x_8)</f>
        <v>84.29</v>
      </c>
      <c r="K58" s="18">
        <f>SUM(OSRRefB6_3_0x_9)</f>
        <v>1605.91</v>
      </c>
      <c r="L58" s="18">
        <f>SUM(OSRRefB6_3_0x_10)</f>
        <v>-128.32</v>
      </c>
      <c r="M58" s="18">
        <f>SUM(OSRRefB6_3_0x_11)</f>
        <v>232.4</v>
      </c>
      <c r="N58" s="19"/>
      <c r="O58" s="20">
        <f t="shared" si="8"/>
        <v>2665.46</v>
      </c>
    </row>
    <row r="59" spans="1:15" s="3" customFormat="1" collapsed="1" x14ac:dyDescent="0.25">
      <c r="A59" s="3" t="str">
        <f>"Total "&amp;TRIM(MID("2D.Travel",4,125))</f>
        <v>Total Travel</v>
      </c>
      <c r="B59" s="12">
        <f>SUM(OSRRefB7_3x_0)</f>
        <v>286.44000000000005</v>
      </c>
      <c r="C59" s="12">
        <f>SUM(OSRRefB7_3x_1)</f>
        <v>387.26</v>
      </c>
      <c r="D59" s="12">
        <f>SUM(OSRRefB7_3x_2)</f>
        <v>-127.02000000000001</v>
      </c>
      <c r="E59" s="12">
        <f>SUM(OSRRefB7_3x_3)</f>
        <v>-227.96</v>
      </c>
      <c r="F59" s="12">
        <f>SUM(OSRRefB7_3x_4)</f>
        <v>-33.18</v>
      </c>
      <c r="G59" s="12">
        <f>SUM(OSRRefB7_3x_5)</f>
        <v>258.02999999999997</v>
      </c>
      <c r="H59" s="12">
        <f>SUM(OSRRefB7_3x_6)</f>
        <v>-50.97</v>
      </c>
      <c r="I59" s="12">
        <f>SUM(OSRRefB7_3x_7)</f>
        <v>378.58000000000004</v>
      </c>
      <c r="J59" s="12">
        <f>SUM(OSRRefB7_3x_8)</f>
        <v>84.29</v>
      </c>
      <c r="K59" s="12">
        <f>SUM(OSRRefB7_3x_9)</f>
        <v>1605.91</v>
      </c>
      <c r="L59" s="12">
        <f>SUM(OSRRefB7_3x_10)</f>
        <v>-128.32</v>
      </c>
      <c r="M59" s="12">
        <f>SUM(OSRRefB7_3x_11)</f>
        <v>232.4</v>
      </c>
      <c r="N59" s="13"/>
      <c r="O59" s="14">
        <f t="shared" si="8"/>
        <v>2665.46</v>
      </c>
    </row>
    <row r="60" spans="1:15" x14ac:dyDescent="0.2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6"/>
      <c r="O60" s="17"/>
    </row>
    <row r="61" spans="1:15" hidden="1" outlineLevel="1" x14ac:dyDescent="0.25">
      <c r="A61" s="3" t="str">
        <f>TRIM(MID("2E.Insurance",4,125))</f>
        <v>Insurance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6"/>
      <c r="O61" s="17"/>
    </row>
    <row r="62" spans="1:15" hidden="1" outlineLevel="2" x14ac:dyDescent="0.25">
      <c r="A62" t="str">
        <f>("60010")&amp;" - "&amp;("Insurance- Worker's Comp Reser")</f>
        <v>60010 - Insurance- Worker's Comp Reser</v>
      </c>
      <c r="B62" s="15">
        <f>4252.99+0</f>
        <v>4252.99</v>
      </c>
      <c r="C62" s="15">
        <f>3734.42+0</f>
        <v>3734.42</v>
      </c>
      <c r="D62" s="15">
        <f>5364.76+0</f>
        <v>5364.76</v>
      </c>
      <c r="E62" s="15">
        <f>1370.02+0</f>
        <v>1370.02</v>
      </c>
      <c r="F62" s="15">
        <f>1370.02+0</f>
        <v>1370.02</v>
      </c>
      <c r="G62" s="15">
        <f>1384.04+0</f>
        <v>1384.04</v>
      </c>
      <c r="H62" s="15">
        <f>1392.49+0</f>
        <v>1392.49</v>
      </c>
      <c r="I62" s="15">
        <f>1398.17+0</f>
        <v>1398.17</v>
      </c>
      <c r="J62" s="15">
        <f>1398.17+0</f>
        <v>1398.17</v>
      </c>
      <c r="K62" s="15">
        <f>-3906.31+0</f>
        <v>-3906.31</v>
      </c>
      <c r="L62" s="15">
        <f>1456.01+0</f>
        <v>1456.01</v>
      </c>
      <c r="M62" s="15">
        <f>1457.55+0</f>
        <v>1457.55</v>
      </c>
      <c r="N62" s="16"/>
      <c r="O62" s="17">
        <f t="shared" ref="O62:O70" si="12">SUM(B62:N62)</f>
        <v>20672.329999999998</v>
      </c>
    </row>
    <row r="63" spans="1:15" hidden="1" outlineLevel="2" x14ac:dyDescent="0.25">
      <c r="A63" t="str">
        <f>("60030")&amp;" - "&amp;("Insurance- Worker's Comp Premi")</f>
        <v>60030 - Insurance- Worker's Comp Premi</v>
      </c>
      <c r="B63" s="15">
        <f>745.74+0</f>
        <v>745.74</v>
      </c>
      <c r="C63" s="15">
        <f>636.07+0</f>
        <v>636.07000000000005</v>
      </c>
      <c r="D63" s="15">
        <f>684.71+0</f>
        <v>684.71</v>
      </c>
      <c r="E63" s="15">
        <f>921.3+0</f>
        <v>921.3</v>
      </c>
      <c r="F63" s="15">
        <f>987.98+0</f>
        <v>987.98</v>
      </c>
      <c r="G63" s="15">
        <f>575.11+0</f>
        <v>575.11</v>
      </c>
      <c r="H63" s="15">
        <f>698.99+0</f>
        <v>698.99</v>
      </c>
      <c r="I63" s="15">
        <f>634.1+0</f>
        <v>634.1</v>
      </c>
      <c r="J63" s="15">
        <f>594.32+0</f>
        <v>594.32000000000005</v>
      </c>
      <c r="K63" s="15">
        <f>744.32+0</f>
        <v>744.32</v>
      </c>
      <c r="L63" s="15">
        <f>594.65+0</f>
        <v>594.65</v>
      </c>
      <c r="M63" s="15">
        <f>588.88+0</f>
        <v>588.88</v>
      </c>
      <c r="N63" s="16"/>
      <c r="O63" s="17">
        <f t="shared" si="12"/>
        <v>8406.1699999999983</v>
      </c>
    </row>
    <row r="64" spans="1:15" hidden="1" outlineLevel="2" x14ac:dyDescent="0.25">
      <c r="A64" t="str">
        <f>("60110")&amp;" - "&amp;("Insurance-Prof/GL Reserve")</f>
        <v>60110 - Insurance-Prof/GL Reserve</v>
      </c>
      <c r="B64" s="15">
        <f>9742.63+0</f>
        <v>9742.6299999999992</v>
      </c>
      <c r="C64" s="15">
        <f>7834.25+0</f>
        <v>7834.25</v>
      </c>
      <c r="D64" s="15">
        <f>10732.78+0</f>
        <v>10732.78</v>
      </c>
      <c r="E64" s="15">
        <f>13729.55+0</f>
        <v>13729.55</v>
      </c>
      <c r="F64" s="15">
        <f>13729.55+0</f>
        <v>13729.55</v>
      </c>
      <c r="G64" s="15">
        <f>13914.98+0</f>
        <v>13914.98</v>
      </c>
      <c r="H64" s="15">
        <f>13934.59+0</f>
        <v>13934.59</v>
      </c>
      <c r="I64" s="15">
        <f>13956.85+0</f>
        <v>13956.85</v>
      </c>
      <c r="J64" s="15">
        <f>13956.85+0</f>
        <v>13956.85</v>
      </c>
      <c r="K64" s="15">
        <f>6630.1+0</f>
        <v>6630.1</v>
      </c>
      <c r="L64" s="15">
        <f>14732.47+0</f>
        <v>14732.47</v>
      </c>
      <c r="M64" s="15">
        <f>14744.72+0</f>
        <v>14744.72</v>
      </c>
      <c r="N64" s="16"/>
      <c r="O64" s="17">
        <f t="shared" si="12"/>
        <v>147639.32</v>
      </c>
    </row>
    <row r="65" spans="1:15" hidden="1" outlineLevel="2" x14ac:dyDescent="0.25">
      <c r="A65" t="str">
        <f>("60130")&amp;" - "&amp;("Insurance-Prof/GL Premiums")</f>
        <v>60130 - Insurance-Prof/GL Premiums</v>
      </c>
      <c r="B65" s="15">
        <f>1538.46+0</f>
        <v>1538.46</v>
      </c>
      <c r="C65" s="15">
        <f>1529.1+0</f>
        <v>1529.1</v>
      </c>
      <c r="D65" s="15">
        <f>2170.24+0</f>
        <v>2170.2399999999998</v>
      </c>
      <c r="E65" s="15">
        <f>1557.01+0</f>
        <v>1557.01</v>
      </c>
      <c r="F65" s="15">
        <f>1641.23+0</f>
        <v>1641.23</v>
      </c>
      <c r="G65" s="15">
        <f>1757.23+0</f>
        <v>1757.23</v>
      </c>
      <c r="H65" s="15">
        <f>1874.27+0</f>
        <v>1874.27</v>
      </c>
      <c r="I65" s="15">
        <f>1826.77+0</f>
        <v>1826.77</v>
      </c>
      <c r="J65" s="15">
        <f>1826.77+0</f>
        <v>1826.77</v>
      </c>
      <c r="K65" s="15">
        <f>1981.09+0</f>
        <v>1981.09</v>
      </c>
      <c r="L65" s="15">
        <f>2137.66+0</f>
        <v>2137.66</v>
      </c>
      <c r="M65" s="15">
        <f>2149.78+0</f>
        <v>2149.7800000000002</v>
      </c>
      <c r="N65" s="16"/>
      <c r="O65" s="17">
        <f t="shared" si="12"/>
        <v>21989.609999999997</v>
      </c>
    </row>
    <row r="66" spans="1:15" hidden="1" outlineLevel="2" x14ac:dyDescent="0.25">
      <c r="A66" t="str">
        <f>("60210")&amp;" - "&amp;("Insurance-Emp. Practices Res")</f>
        <v>60210 - Insurance-Emp. Practices Res</v>
      </c>
      <c r="B66" s="15">
        <f>655.13+0</f>
        <v>655.13</v>
      </c>
      <c r="C66" s="15">
        <f>3866.93+0</f>
        <v>3866.93</v>
      </c>
      <c r="D66" s="15">
        <f>5082.02+0</f>
        <v>5082.0200000000004</v>
      </c>
      <c r="E66" s="15">
        <f>640.26+0</f>
        <v>640.26</v>
      </c>
      <c r="F66" s="15">
        <f>641.14+0</f>
        <v>641.14</v>
      </c>
      <c r="G66" s="15">
        <f>645.73+0</f>
        <v>645.73</v>
      </c>
      <c r="H66" s="15">
        <f>647.91+0</f>
        <v>647.91</v>
      </c>
      <c r="I66" s="15">
        <f>649.37+0</f>
        <v>649.37</v>
      </c>
      <c r="J66" s="15">
        <f>649.37+0</f>
        <v>649.37</v>
      </c>
      <c r="K66" s="15">
        <f>648.37+0</f>
        <v>648.37</v>
      </c>
      <c r="L66" s="15">
        <f>663.01+0</f>
        <v>663.01</v>
      </c>
      <c r="M66" s="15">
        <f>663.6+0</f>
        <v>663.6</v>
      </c>
      <c r="N66" s="16"/>
      <c r="O66" s="17">
        <f t="shared" si="12"/>
        <v>15452.840000000002</v>
      </c>
    </row>
    <row r="67" spans="1:15" hidden="1" outlineLevel="2" x14ac:dyDescent="0.25">
      <c r="A67" t="str">
        <f>("60230")&amp;" - "&amp;("Insurance-Emp/PL Premiums")</f>
        <v>60230 - Insurance-Emp/PL Premiums</v>
      </c>
      <c r="B67" s="15">
        <f>0+0</f>
        <v>0</v>
      </c>
      <c r="C67" s="15">
        <f>0+0</f>
        <v>0</v>
      </c>
      <c r="D67" s="15">
        <f>0+0</f>
        <v>0</v>
      </c>
      <c r="E67" s="15">
        <f>411.59+0</f>
        <v>411.59</v>
      </c>
      <c r="F67" s="15">
        <f>385.56+0</f>
        <v>385.56</v>
      </c>
      <c r="G67" s="15">
        <f>576.88+0</f>
        <v>576.88</v>
      </c>
      <c r="H67" s="15">
        <f>461.65+0</f>
        <v>461.65</v>
      </c>
      <c r="I67" s="15">
        <f>462.69+0</f>
        <v>462.69</v>
      </c>
      <c r="J67" s="15">
        <f>462.69+0</f>
        <v>462.69</v>
      </c>
      <c r="K67" s="15">
        <f>461.98+0</f>
        <v>461.98</v>
      </c>
      <c r="L67" s="15">
        <f>472.41+0</f>
        <v>472.41</v>
      </c>
      <c r="M67" s="15">
        <f>472.83+0</f>
        <v>472.83</v>
      </c>
      <c r="N67" s="16"/>
      <c r="O67" s="17">
        <f t="shared" si="12"/>
        <v>4168.28</v>
      </c>
    </row>
    <row r="68" spans="1:15" hidden="1" outlineLevel="2" x14ac:dyDescent="0.25">
      <c r="A68" t="str">
        <f>("60400")&amp;" - "&amp;("Insurance- Property")</f>
        <v>60400 - Insurance- Property</v>
      </c>
      <c r="B68" s="15">
        <f>16.72+0</f>
        <v>16.72</v>
      </c>
      <c r="C68" s="15">
        <f>16.28+0</f>
        <v>16.28</v>
      </c>
      <c r="D68" s="15">
        <f>17.45+0</f>
        <v>17.45</v>
      </c>
      <c r="E68" s="15">
        <f>3.98+0</f>
        <v>3.98</v>
      </c>
      <c r="F68" s="15">
        <f>5.95+0</f>
        <v>5.95</v>
      </c>
      <c r="G68" s="15">
        <f>5.99+0</f>
        <v>5.99</v>
      </c>
      <c r="H68" s="15">
        <f>6.1+0</f>
        <v>6.1</v>
      </c>
      <c r="I68" s="15">
        <f>6.1+0</f>
        <v>6.1</v>
      </c>
      <c r="J68" s="15">
        <f>6.11+0</f>
        <v>6.11</v>
      </c>
      <c r="K68" s="15">
        <f>6.13+0</f>
        <v>6.13</v>
      </c>
      <c r="L68" s="15">
        <f>6.14+0</f>
        <v>6.14</v>
      </c>
      <c r="M68" s="15">
        <f>6.14+0</f>
        <v>6.14</v>
      </c>
      <c r="N68" s="16"/>
      <c r="O68" s="17">
        <f t="shared" si="12"/>
        <v>103.08999999999999</v>
      </c>
    </row>
    <row r="69" spans="1:15" s="4" customFormat="1" hidden="1" outlineLevel="1" x14ac:dyDescent="0.25">
      <c r="A69" s="3" t="s">
        <v>14</v>
      </c>
      <c r="B69" s="18">
        <f>SUM(OSRRefB6_4_0x_0)</f>
        <v>16951.670000000002</v>
      </c>
      <c r="C69" s="18">
        <f>SUM(OSRRefB6_4_0x_1)</f>
        <v>17617.05</v>
      </c>
      <c r="D69" s="18">
        <f>SUM(OSRRefB6_4_0x_2)</f>
        <v>24051.96</v>
      </c>
      <c r="E69" s="18">
        <f>SUM(OSRRefB6_4_0x_3)</f>
        <v>18633.709999999995</v>
      </c>
      <c r="F69" s="18">
        <f>SUM(OSRRefB6_4_0x_4)</f>
        <v>18761.43</v>
      </c>
      <c r="G69" s="18">
        <f>SUM(OSRRefB6_4_0x_5)</f>
        <v>18859.960000000003</v>
      </c>
      <c r="H69" s="18">
        <f>SUM(OSRRefB6_4_0x_6)</f>
        <v>19016</v>
      </c>
      <c r="I69" s="18">
        <f>SUM(OSRRefB6_4_0x_7)</f>
        <v>18934.049999999996</v>
      </c>
      <c r="J69" s="18">
        <f>SUM(OSRRefB6_4_0x_8)</f>
        <v>18894.28</v>
      </c>
      <c r="K69" s="18">
        <f>SUM(OSRRefB6_4_0x_9)</f>
        <v>6565.6800000000012</v>
      </c>
      <c r="L69" s="18">
        <f>SUM(OSRRefB6_4_0x_10)</f>
        <v>20062.349999999995</v>
      </c>
      <c r="M69" s="18">
        <f>SUM(OSRRefB6_4_0x_11)</f>
        <v>20083.499999999996</v>
      </c>
      <c r="N69" s="19"/>
      <c r="O69" s="20">
        <f t="shared" si="12"/>
        <v>218431.64</v>
      </c>
    </row>
    <row r="70" spans="1:15" s="3" customFormat="1" collapsed="1" x14ac:dyDescent="0.25">
      <c r="A70" s="3" t="str">
        <f>"Total "&amp;TRIM(MID("2E.Insurance",4,125))</f>
        <v>Total Insurance</v>
      </c>
      <c r="B70" s="12">
        <f>SUM(OSRRefB7_4x_0)</f>
        <v>16951.670000000002</v>
      </c>
      <c r="C70" s="12">
        <f>SUM(OSRRefB7_4x_1)</f>
        <v>17617.05</v>
      </c>
      <c r="D70" s="12">
        <f>SUM(OSRRefB7_4x_2)</f>
        <v>24051.96</v>
      </c>
      <c r="E70" s="12">
        <f>SUM(OSRRefB7_4x_3)</f>
        <v>18633.709999999995</v>
      </c>
      <c r="F70" s="12">
        <f>SUM(OSRRefB7_4x_4)</f>
        <v>18761.43</v>
      </c>
      <c r="G70" s="12">
        <f>SUM(OSRRefB7_4x_5)</f>
        <v>18859.960000000003</v>
      </c>
      <c r="H70" s="12">
        <f>SUM(OSRRefB7_4x_6)</f>
        <v>19016</v>
      </c>
      <c r="I70" s="12">
        <f>SUM(OSRRefB7_4x_7)</f>
        <v>18934.049999999996</v>
      </c>
      <c r="J70" s="12">
        <f>SUM(OSRRefB7_4x_8)</f>
        <v>18894.28</v>
      </c>
      <c r="K70" s="12">
        <f>SUM(OSRRefB7_4x_9)</f>
        <v>6565.6800000000012</v>
      </c>
      <c r="L70" s="12">
        <f>SUM(OSRRefB7_4x_10)</f>
        <v>20062.349999999995</v>
      </c>
      <c r="M70" s="12">
        <f>SUM(OSRRefB7_4x_11)</f>
        <v>20083.499999999996</v>
      </c>
      <c r="N70" s="13"/>
      <c r="O70" s="14">
        <f t="shared" si="12"/>
        <v>218431.64</v>
      </c>
    </row>
    <row r="71" spans="1:15" x14ac:dyDescent="0.2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6"/>
      <c r="O71" s="17"/>
    </row>
    <row r="72" spans="1:15" hidden="1" outlineLevel="1" x14ac:dyDescent="0.25">
      <c r="A72" s="3" t="s">
        <v>13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6"/>
      <c r="O72" s="17"/>
    </row>
    <row r="73" spans="1:15" collapsed="1" x14ac:dyDescent="0.25">
      <c r="A73" s="3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6"/>
      <c r="O73" s="17"/>
    </row>
    <row r="74" spans="1:15" hidden="1" outlineLevel="1" x14ac:dyDescent="0.25">
      <c r="A74" s="3" t="str">
        <f>TRIM(MID("2F.On-Site Professional Services",4,125))</f>
        <v>On-Site Professional Services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6"/>
      <c r="O74" s="17"/>
    </row>
    <row r="75" spans="1:15" hidden="1" outlineLevel="2" x14ac:dyDescent="0.25">
      <c r="A75" t="str">
        <f>("52010")&amp;" - "&amp;("On-Site PF- Physician AP")</f>
        <v>52010 - On-Site PF- Physician AP</v>
      </c>
      <c r="B75" s="15">
        <f t="shared" ref="B75:F76" si="13">0+0</f>
        <v>0</v>
      </c>
      <c r="C75" s="15">
        <f t="shared" si="13"/>
        <v>0</v>
      </c>
      <c r="D75" s="15">
        <f t="shared" si="13"/>
        <v>0</v>
      </c>
      <c r="E75" s="15">
        <f t="shared" si="13"/>
        <v>0</v>
      </c>
      <c r="F75" s="15">
        <f t="shared" si="13"/>
        <v>0</v>
      </c>
      <c r="G75" s="15">
        <f>45+0</f>
        <v>45</v>
      </c>
      <c r="H75" s="15">
        <f>270+0</f>
        <v>270</v>
      </c>
      <c r="I75" s="15">
        <f>0+0</f>
        <v>0</v>
      </c>
      <c r="J75" s="15">
        <f>315+0</f>
        <v>315</v>
      </c>
      <c r="K75" s="15">
        <f>0+0</f>
        <v>0</v>
      </c>
      <c r="L75" s="15">
        <f>0+0</f>
        <v>0</v>
      </c>
      <c r="M75" s="15">
        <f>0+0</f>
        <v>0</v>
      </c>
      <c r="N75" s="16"/>
      <c r="O75" s="17">
        <f>SUM(B75:N75)</f>
        <v>630</v>
      </c>
    </row>
    <row r="76" spans="1:15" hidden="1" outlineLevel="2" x14ac:dyDescent="0.25">
      <c r="A76" t="str">
        <f>("52900")&amp;" - "&amp;("On-Site PF- Accrual")</f>
        <v>52900 - On-Site PF- Accrual</v>
      </c>
      <c r="B76" s="15">
        <f t="shared" si="13"/>
        <v>0</v>
      </c>
      <c r="C76" s="15">
        <f t="shared" si="13"/>
        <v>0</v>
      </c>
      <c r="D76" s="15">
        <f t="shared" si="13"/>
        <v>0</v>
      </c>
      <c r="E76" s="15">
        <f t="shared" si="13"/>
        <v>0</v>
      </c>
      <c r="F76" s="15">
        <f t="shared" si="13"/>
        <v>0</v>
      </c>
      <c r="G76" s="15">
        <f>0+0</f>
        <v>0</v>
      </c>
      <c r="H76" s="15">
        <f>0+0</f>
        <v>0</v>
      </c>
      <c r="I76" s="15">
        <f>0+0</f>
        <v>0</v>
      </c>
      <c r="J76" s="15">
        <f>225+0</f>
        <v>225</v>
      </c>
      <c r="K76" s="15">
        <f>-180+0</f>
        <v>-180</v>
      </c>
      <c r="L76" s="15">
        <f>-45+0</f>
        <v>-45</v>
      </c>
      <c r="M76" s="15">
        <f>0+0</f>
        <v>0</v>
      </c>
      <c r="N76" s="16"/>
      <c r="O76" s="17">
        <f>SUM(B76:N76)</f>
        <v>0</v>
      </c>
    </row>
    <row r="77" spans="1:15" s="4" customFormat="1" hidden="1" outlineLevel="1" x14ac:dyDescent="0.25">
      <c r="A77" s="3" t="s">
        <v>12</v>
      </c>
      <c r="B77" s="18">
        <f>SUM(OSRRefB13_0_0x_0)</f>
        <v>0</v>
      </c>
      <c r="C77" s="18">
        <f>SUM(OSRRefB13_0_0x_1)</f>
        <v>0</v>
      </c>
      <c r="D77" s="18">
        <f>SUM(OSRRefB13_0_0x_2)</f>
        <v>0</v>
      </c>
      <c r="E77" s="18">
        <f>SUM(OSRRefB13_0_0x_3)</f>
        <v>0</v>
      </c>
      <c r="F77" s="18">
        <f>SUM(OSRRefB13_0_0x_4)</f>
        <v>0</v>
      </c>
      <c r="G77" s="18">
        <f>SUM(OSRRefB13_0_0x_5)</f>
        <v>45</v>
      </c>
      <c r="H77" s="18">
        <f>SUM(OSRRefB13_0_0x_6)</f>
        <v>270</v>
      </c>
      <c r="I77" s="18">
        <f>SUM(OSRRefB13_0_0x_7)</f>
        <v>0</v>
      </c>
      <c r="J77" s="18">
        <f>SUM(OSRRefB13_0_0x_8)</f>
        <v>540</v>
      </c>
      <c r="K77" s="18">
        <f>SUM(OSRRefB13_0_0x_9)</f>
        <v>-180</v>
      </c>
      <c r="L77" s="18">
        <f>SUM(OSRRefB13_0_0x_10)</f>
        <v>-45</v>
      </c>
      <c r="M77" s="18">
        <f>SUM(OSRRefB13_0_0x_11)</f>
        <v>0</v>
      </c>
      <c r="N77" s="19"/>
      <c r="O77" s="20">
        <f>SUM(B77:N77)</f>
        <v>630</v>
      </c>
    </row>
    <row r="78" spans="1:15" s="3" customFormat="1" collapsed="1" x14ac:dyDescent="0.25">
      <c r="A78" s="3" t="str">
        <f>"Total "&amp;TRIM(MID("2F.On-Site Professional Services",4,125))</f>
        <v>Total On-Site Professional Services</v>
      </c>
      <c r="B78" s="12">
        <f>SUM(OSRRefB14_0x_0)</f>
        <v>0</v>
      </c>
      <c r="C78" s="12">
        <f>SUM(OSRRefB14_0x_1)</f>
        <v>0</v>
      </c>
      <c r="D78" s="12">
        <f>SUM(OSRRefB14_0x_2)</f>
        <v>0</v>
      </c>
      <c r="E78" s="12">
        <f>SUM(OSRRefB14_0x_3)</f>
        <v>0</v>
      </c>
      <c r="F78" s="12">
        <f>SUM(OSRRefB14_0x_4)</f>
        <v>0</v>
      </c>
      <c r="G78" s="12">
        <f>SUM(OSRRefB14_0x_5)</f>
        <v>45</v>
      </c>
      <c r="H78" s="12">
        <f>SUM(OSRRefB14_0x_6)</f>
        <v>270</v>
      </c>
      <c r="I78" s="12">
        <f>SUM(OSRRefB14_0x_7)</f>
        <v>0</v>
      </c>
      <c r="J78" s="12">
        <f>SUM(OSRRefB14_0x_8)</f>
        <v>540</v>
      </c>
      <c r="K78" s="12">
        <f>SUM(OSRRefB14_0x_9)</f>
        <v>-180</v>
      </c>
      <c r="L78" s="12">
        <f>SUM(OSRRefB14_0x_10)</f>
        <v>-45</v>
      </c>
      <c r="M78" s="12">
        <f>SUM(OSRRefB14_0x_11)</f>
        <v>0</v>
      </c>
      <c r="N78" s="13"/>
      <c r="O78" s="14">
        <f>SUM(B78:N78)</f>
        <v>630</v>
      </c>
    </row>
    <row r="79" spans="1:15" x14ac:dyDescent="0.25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6"/>
      <c r="O79" s="17"/>
    </row>
    <row r="80" spans="1:15" hidden="1" outlineLevel="1" x14ac:dyDescent="0.25">
      <c r="A80" s="3" t="str">
        <f>TRIM(MID("2G.Pharmacy Supplies",4,125))</f>
        <v>Pharmacy Supplies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6"/>
      <c r="O80" s="17"/>
    </row>
    <row r="81" spans="1:15" hidden="1" outlineLevel="2" x14ac:dyDescent="0.25">
      <c r="A81" t="str">
        <f>("61000")&amp;" - "&amp;("Pharmacy- HIV")</f>
        <v>61000 - Pharmacy- HIV</v>
      </c>
      <c r="B81" s="15">
        <f>22832.51+0</f>
        <v>22832.51</v>
      </c>
      <c r="C81" s="15">
        <f>15616.83+0</f>
        <v>15616.83</v>
      </c>
      <c r="D81" s="15">
        <f>15192.21+0</f>
        <v>15192.21</v>
      </c>
      <c r="E81" s="15">
        <f>21935.09+0</f>
        <v>21935.09</v>
      </c>
      <c r="F81" s="15">
        <f>41499.54+0</f>
        <v>41499.54</v>
      </c>
      <c r="G81" s="15">
        <f>49787.15+0</f>
        <v>49787.15</v>
      </c>
      <c r="H81" s="15">
        <f>71186.97+0</f>
        <v>71186.97</v>
      </c>
      <c r="I81" s="15">
        <f>15125.19+0</f>
        <v>15125.19</v>
      </c>
      <c r="J81" s="15">
        <f>31035.28+0</f>
        <v>31035.279999999999</v>
      </c>
      <c r="K81" s="15">
        <f>15480.22+0</f>
        <v>15480.22</v>
      </c>
      <c r="L81" s="15">
        <f>26710.29+0</f>
        <v>26710.29</v>
      </c>
      <c r="M81" s="15">
        <f>55346.95+0</f>
        <v>55346.95</v>
      </c>
      <c r="N81" s="16"/>
      <c r="O81" s="17">
        <f t="shared" ref="O81:O93" si="14">SUM(B81:N81)</f>
        <v>381748.23</v>
      </c>
    </row>
    <row r="82" spans="1:15" hidden="1" outlineLevel="2" x14ac:dyDescent="0.25">
      <c r="A82" t="str">
        <f>("61050")&amp;" - "&amp;("Pharmacy- Psychiatric")</f>
        <v>61050 - Pharmacy- Psychiatric</v>
      </c>
      <c r="B82" s="15">
        <f>3381.44+0</f>
        <v>3381.44</v>
      </c>
      <c r="C82" s="15">
        <f>7856.85+0</f>
        <v>7856.85</v>
      </c>
      <c r="D82" s="15">
        <f>4026.53+0</f>
        <v>4026.53</v>
      </c>
      <c r="E82" s="15">
        <f>5269.43+0</f>
        <v>5269.43</v>
      </c>
      <c r="F82" s="15">
        <f>2707.04+0</f>
        <v>2707.04</v>
      </c>
      <c r="G82" s="15">
        <f>3603.9+0</f>
        <v>3603.9</v>
      </c>
      <c r="H82" s="15">
        <f>2527.35+0</f>
        <v>2527.35</v>
      </c>
      <c r="I82" s="15">
        <f>3722.69+0</f>
        <v>3722.69</v>
      </c>
      <c r="J82" s="15">
        <f>12530.03+0</f>
        <v>12530.03</v>
      </c>
      <c r="K82" s="15">
        <f>11316.21+0</f>
        <v>11316.21</v>
      </c>
      <c r="L82" s="15">
        <f>11175.79+0</f>
        <v>11175.79</v>
      </c>
      <c r="M82" s="15">
        <f>9851.35+0</f>
        <v>9851.35</v>
      </c>
      <c r="N82" s="16"/>
      <c r="O82" s="17">
        <f t="shared" si="14"/>
        <v>77968.610000000015</v>
      </c>
    </row>
    <row r="83" spans="1:15" hidden="1" outlineLevel="2" x14ac:dyDescent="0.25">
      <c r="A83" t="str">
        <f>("61250")&amp;" - "&amp;("Pharmacy- Biological")</f>
        <v>61250 - Pharmacy- Biological</v>
      </c>
      <c r="B83" s="15">
        <f>129.11+0</f>
        <v>129.11000000000001</v>
      </c>
      <c r="C83" s="15">
        <f>964.34+0</f>
        <v>964.34</v>
      </c>
      <c r="D83" s="15">
        <f>390.63+0</f>
        <v>390.63</v>
      </c>
      <c r="E83" s="15">
        <f>485.58+0</f>
        <v>485.58</v>
      </c>
      <c r="F83" s="15">
        <f>1187.88+0</f>
        <v>1187.8800000000001</v>
      </c>
      <c r="G83" s="15">
        <f>7070.94+0</f>
        <v>7070.94</v>
      </c>
      <c r="H83" s="15">
        <f>1144.95+0</f>
        <v>1144.95</v>
      </c>
      <c r="I83" s="15">
        <f>983.11+0</f>
        <v>983.11</v>
      </c>
      <c r="J83" s="15">
        <f>0+0</f>
        <v>0</v>
      </c>
      <c r="K83" s="15">
        <f>6718.89+0</f>
        <v>6718.89</v>
      </c>
      <c r="L83" s="15">
        <f>12536.1+0</f>
        <v>12536.1</v>
      </c>
      <c r="M83" s="15">
        <f>4507.02+0</f>
        <v>4507.0200000000004</v>
      </c>
      <c r="N83" s="16"/>
      <c r="O83" s="17">
        <f t="shared" si="14"/>
        <v>36118.550000000003</v>
      </c>
    </row>
    <row r="84" spans="1:15" hidden="1" outlineLevel="2" x14ac:dyDescent="0.25">
      <c r="A84" t="str">
        <f>("61455")&amp;" - "&amp;("Pulmonary")</f>
        <v>61455 - Pulmonary</v>
      </c>
      <c r="B84" s="15">
        <f>307.4+0</f>
        <v>307.39999999999998</v>
      </c>
      <c r="C84" s="15">
        <f>614.8+0</f>
        <v>614.79999999999995</v>
      </c>
      <c r="D84" s="15">
        <f>342.15+0</f>
        <v>342.15</v>
      </c>
      <c r="E84" s="15">
        <f>2601.2+0</f>
        <v>2601.1999999999998</v>
      </c>
      <c r="F84" s="15">
        <f>680.29+0</f>
        <v>680.29</v>
      </c>
      <c r="G84" s="15">
        <f>0+0</f>
        <v>0</v>
      </c>
      <c r="H84" s="15">
        <f>511.21+0</f>
        <v>511.21</v>
      </c>
      <c r="I84" s="15">
        <f>508.35+0</f>
        <v>508.35</v>
      </c>
      <c r="J84" s="15">
        <f>615.26+0</f>
        <v>615.26</v>
      </c>
      <c r="K84" s="15">
        <f>2444.6+0</f>
        <v>2444.6</v>
      </c>
      <c r="L84" s="15">
        <f>286.21+0</f>
        <v>286.20999999999998</v>
      </c>
      <c r="M84" s="15">
        <f>292.6+0</f>
        <v>292.60000000000002</v>
      </c>
      <c r="N84" s="16"/>
      <c r="O84" s="17">
        <f t="shared" si="14"/>
        <v>9204.07</v>
      </c>
    </row>
    <row r="85" spans="1:15" hidden="1" outlineLevel="2" x14ac:dyDescent="0.25">
      <c r="A85" t="str">
        <f>("61475")&amp;" - "&amp;("Pharmacy- Other")</f>
        <v>61475 - Pharmacy- Other</v>
      </c>
      <c r="B85" s="15">
        <f>9282.43+0</f>
        <v>9282.43</v>
      </c>
      <c r="C85" s="15">
        <f>7603.66+0</f>
        <v>7603.66</v>
      </c>
      <c r="D85" s="15">
        <f>8688.33+0</f>
        <v>8688.33</v>
      </c>
      <c r="E85" s="15">
        <f>7085.37+0</f>
        <v>7085.37</v>
      </c>
      <c r="F85" s="15">
        <f>8244.45+0</f>
        <v>8244.4500000000007</v>
      </c>
      <c r="G85" s="15">
        <f>6984.82+0</f>
        <v>6984.82</v>
      </c>
      <c r="H85" s="15">
        <f>10567.59+0</f>
        <v>10567.59</v>
      </c>
      <c r="I85" s="15">
        <f>6684.18+0</f>
        <v>6684.18</v>
      </c>
      <c r="J85" s="15">
        <f>15948.82+0</f>
        <v>15948.82</v>
      </c>
      <c r="K85" s="15">
        <f>7414.59+0</f>
        <v>7414.59</v>
      </c>
      <c r="L85" s="15">
        <f>12553.04+0</f>
        <v>12553.04</v>
      </c>
      <c r="M85" s="15">
        <f>7855.09+0</f>
        <v>7855.09</v>
      </c>
      <c r="N85" s="16"/>
      <c r="O85" s="17">
        <f t="shared" si="14"/>
        <v>108912.37</v>
      </c>
    </row>
    <row r="86" spans="1:15" hidden="1" outlineLevel="2" x14ac:dyDescent="0.25">
      <c r="A86" t="str">
        <f>("61480")&amp;" - "&amp;("Pharmacy - Estimate Accrual")</f>
        <v>61480 - Pharmacy - Estimate Accrual</v>
      </c>
      <c r="B86" s="15">
        <f>3785.26+0</f>
        <v>3785.26</v>
      </c>
      <c r="C86" s="15">
        <f>-4155.35+0</f>
        <v>-4155.3500000000004</v>
      </c>
      <c r="D86" s="15">
        <f>-889.43+0</f>
        <v>-889.43</v>
      </c>
      <c r="E86" s="15">
        <f>53.91+0</f>
        <v>53.91</v>
      </c>
      <c r="F86" s="15">
        <f>103.86+0</f>
        <v>103.86</v>
      </c>
      <c r="G86" s="15">
        <f>788.39+0</f>
        <v>788.39</v>
      </c>
      <c r="H86" s="15">
        <f>-859.49+0</f>
        <v>-859.49</v>
      </c>
      <c r="I86" s="15">
        <f>-86.67+0</f>
        <v>-86.67</v>
      </c>
      <c r="J86" s="15">
        <f>0+0</f>
        <v>0</v>
      </c>
      <c r="K86" s="15">
        <f>11.24+0</f>
        <v>11.24</v>
      </c>
      <c r="L86" s="15">
        <f>37.82+0</f>
        <v>37.82</v>
      </c>
      <c r="M86" s="15">
        <f>2128.51+0</f>
        <v>2128.5100000000002</v>
      </c>
      <c r="N86" s="16"/>
      <c r="O86" s="17">
        <f t="shared" si="14"/>
        <v>918.05000000000018</v>
      </c>
    </row>
    <row r="87" spans="1:15" s="4" customFormat="1" hidden="1" outlineLevel="1" x14ac:dyDescent="0.25">
      <c r="A87" s="3" t="s">
        <v>11</v>
      </c>
      <c r="B87" s="18">
        <f>SUM(OSRRefB13_1_0x_0)</f>
        <v>39718.15</v>
      </c>
      <c r="C87" s="18">
        <f>SUM(OSRRefB13_1_0x_1)</f>
        <v>28501.129999999997</v>
      </c>
      <c r="D87" s="18">
        <f>SUM(OSRRefB13_1_0x_2)</f>
        <v>27750.42</v>
      </c>
      <c r="E87" s="18">
        <f>SUM(OSRRefB13_1_0x_3)</f>
        <v>37430.580000000009</v>
      </c>
      <c r="F87" s="18">
        <f>SUM(OSRRefB13_1_0x_4)</f>
        <v>54423.06</v>
      </c>
      <c r="G87" s="18">
        <f>SUM(OSRRefB13_1_0x_5)</f>
        <v>68235.199999999997</v>
      </c>
      <c r="H87" s="18">
        <f>SUM(OSRRefB13_1_0x_6)</f>
        <v>85078.58</v>
      </c>
      <c r="I87" s="18">
        <f>SUM(OSRRefB13_1_0x_7)</f>
        <v>26936.850000000002</v>
      </c>
      <c r="J87" s="18">
        <f>SUM(OSRRefB13_1_0x_8)</f>
        <v>60129.39</v>
      </c>
      <c r="K87" s="18">
        <f>SUM(OSRRefB13_1_0x_9)</f>
        <v>43385.749999999993</v>
      </c>
      <c r="L87" s="18">
        <f>SUM(OSRRefB13_1_0x_10)</f>
        <v>63299.25</v>
      </c>
      <c r="M87" s="18">
        <f>SUM(OSRRefB13_1_0x_11)</f>
        <v>79981.51999999999</v>
      </c>
      <c r="N87" s="19"/>
      <c r="O87" s="20">
        <f t="shared" si="14"/>
        <v>614869.88</v>
      </c>
    </row>
    <row r="88" spans="1:15" hidden="1" outlineLevel="2" x14ac:dyDescent="0.25">
      <c r="A88" t="str">
        <f>("61009")&amp;" - "&amp;("Pharmacy-HIV-Returns")</f>
        <v>61009 - Pharmacy-HIV-Returns</v>
      </c>
      <c r="B88" s="15">
        <f>-7614.99+0</f>
        <v>-7614.99</v>
      </c>
      <c r="C88" s="15">
        <f>0+0</f>
        <v>0</v>
      </c>
      <c r="D88" s="15">
        <f>0+0</f>
        <v>0</v>
      </c>
      <c r="E88" s="15">
        <f>0+0</f>
        <v>0</v>
      </c>
      <c r="F88" s="15">
        <f>0+0</f>
        <v>0</v>
      </c>
      <c r="G88" s="15">
        <f>-7573.44+0</f>
        <v>-7573.44</v>
      </c>
      <c r="H88" s="15">
        <f>-3.17+0</f>
        <v>-3.17</v>
      </c>
      <c r="I88" s="15">
        <f>0+0</f>
        <v>0</v>
      </c>
      <c r="J88" s="15">
        <f>0+0</f>
        <v>0</v>
      </c>
      <c r="K88" s="15">
        <f>-7890.22+0</f>
        <v>-7890.22</v>
      </c>
      <c r="L88" s="15">
        <f>-2539.46+0</f>
        <v>-2539.46</v>
      </c>
      <c r="M88" s="15">
        <f>0+0</f>
        <v>0</v>
      </c>
      <c r="N88" s="16"/>
      <c r="O88" s="17">
        <f t="shared" si="14"/>
        <v>-25621.279999999999</v>
      </c>
    </row>
    <row r="89" spans="1:15" hidden="1" outlineLevel="2" x14ac:dyDescent="0.25">
      <c r="A89" t="str">
        <f>("61059")&amp;" - "&amp;("Pharmacy-Psychiatric-Returns")</f>
        <v>61059 - Pharmacy-Psychiatric-Returns</v>
      </c>
      <c r="B89" s="15">
        <f>-882.93+0</f>
        <v>-882.93</v>
      </c>
      <c r="C89" s="15">
        <f>-747.2+0</f>
        <v>-747.2</v>
      </c>
      <c r="D89" s="15">
        <f>-3.05+0</f>
        <v>-3.05</v>
      </c>
      <c r="E89" s="15">
        <f>-2038.41+0</f>
        <v>-2038.41</v>
      </c>
      <c r="F89" s="15">
        <f>-110.34+0</f>
        <v>-110.34</v>
      </c>
      <c r="G89" s="15">
        <f>-114.79+0</f>
        <v>-114.79</v>
      </c>
      <c r="H89" s="15">
        <f>-800.43+0</f>
        <v>-800.43</v>
      </c>
      <c r="I89" s="15">
        <f>0+0</f>
        <v>0</v>
      </c>
      <c r="J89" s="15">
        <f>-9.98+0</f>
        <v>-9.98</v>
      </c>
      <c r="K89" s="15">
        <f>-687.48+0</f>
        <v>-687.48</v>
      </c>
      <c r="L89" s="15">
        <f>-7.94+0</f>
        <v>-7.94</v>
      </c>
      <c r="M89" s="15">
        <f>0+0</f>
        <v>0</v>
      </c>
      <c r="N89" s="16"/>
      <c r="O89" s="17">
        <f t="shared" si="14"/>
        <v>-5402.55</v>
      </c>
    </row>
    <row r="90" spans="1:15" hidden="1" outlineLevel="2" x14ac:dyDescent="0.25">
      <c r="A90" t="str">
        <f>("61259")&amp;" - "&amp;("Pharmacy-Biological-Returns")</f>
        <v>61259 - Pharmacy-Biological-Returns</v>
      </c>
      <c r="B90" s="15">
        <f>-444.48+0</f>
        <v>-444.48</v>
      </c>
      <c r="C90" s="15">
        <f>0+0</f>
        <v>0</v>
      </c>
      <c r="D90" s="15">
        <f>0+0</f>
        <v>0</v>
      </c>
      <c r="E90" s="15">
        <f>-716.38+0</f>
        <v>-716.38</v>
      </c>
      <c r="F90" s="15">
        <f>0+0</f>
        <v>0</v>
      </c>
      <c r="G90" s="15">
        <f>0+0</f>
        <v>0</v>
      </c>
      <c r="H90" s="15">
        <f>0+0</f>
        <v>0</v>
      </c>
      <c r="I90" s="15">
        <f>0+0</f>
        <v>0</v>
      </c>
      <c r="J90" s="15">
        <f>0+0</f>
        <v>0</v>
      </c>
      <c r="K90" s="15">
        <f>0+0</f>
        <v>0</v>
      </c>
      <c r="L90" s="15">
        <f>0+0</f>
        <v>0</v>
      </c>
      <c r="M90" s="15">
        <f>-255.91+0</f>
        <v>-255.91</v>
      </c>
      <c r="N90" s="16"/>
      <c r="O90" s="17">
        <f t="shared" si="14"/>
        <v>-1416.7700000000002</v>
      </c>
    </row>
    <row r="91" spans="1:15" hidden="1" outlineLevel="2" x14ac:dyDescent="0.25">
      <c r="A91" t="str">
        <f>("61479")&amp;" - "&amp;("Pharmacy-Other-Returns")</f>
        <v>61479 - Pharmacy-Other-Returns</v>
      </c>
      <c r="B91" s="15">
        <f>-433.32+0</f>
        <v>-433.32</v>
      </c>
      <c r="C91" s="15">
        <f>-403.6+0</f>
        <v>-403.6</v>
      </c>
      <c r="D91" s="15">
        <f>-7.33+0</f>
        <v>-7.33</v>
      </c>
      <c r="E91" s="15">
        <f>-31.92+0</f>
        <v>-31.92</v>
      </c>
      <c r="F91" s="15">
        <f>-12.87+0</f>
        <v>-12.87</v>
      </c>
      <c r="G91" s="15">
        <f>-508.53+0</f>
        <v>-508.53</v>
      </c>
      <c r="H91" s="15">
        <f>-408.78+0</f>
        <v>-408.78</v>
      </c>
      <c r="I91" s="15">
        <f>-36.28+0</f>
        <v>-36.28</v>
      </c>
      <c r="J91" s="15">
        <f>-1818.88+0</f>
        <v>-1818.88</v>
      </c>
      <c r="K91" s="15">
        <f>-84.69+0</f>
        <v>-84.69</v>
      </c>
      <c r="L91" s="15">
        <f>-1813.32+0</f>
        <v>-1813.32</v>
      </c>
      <c r="M91" s="15">
        <f>-298.69+0</f>
        <v>-298.69</v>
      </c>
      <c r="N91" s="16"/>
      <c r="O91" s="17">
        <f t="shared" si="14"/>
        <v>-5858.21</v>
      </c>
    </row>
    <row r="92" spans="1:15" s="4" customFormat="1" hidden="1" outlineLevel="1" x14ac:dyDescent="0.25">
      <c r="A92" s="3" t="s">
        <v>10</v>
      </c>
      <c r="B92" s="18">
        <f>SUM(OSRRefB13_1_1x_0)</f>
        <v>-9375.7199999999993</v>
      </c>
      <c r="C92" s="18">
        <f>SUM(OSRRefB13_1_1x_1)</f>
        <v>-1150.8000000000002</v>
      </c>
      <c r="D92" s="18">
        <f>SUM(OSRRefB13_1_1x_2)</f>
        <v>-10.379999999999999</v>
      </c>
      <c r="E92" s="18">
        <f>SUM(OSRRefB13_1_1x_3)</f>
        <v>-2786.71</v>
      </c>
      <c r="F92" s="18">
        <f>SUM(OSRRefB13_1_1x_4)</f>
        <v>-123.21000000000001</v>
      </c>
      <c r="G92" s="18">
        <f>SUM(OSRRefB13_1_1x_5)</f>
        <v>-8196.76</v>
      </c>
      <c r="H92" s="18">
        <f>SUM(OSRRefB13_1_1x_6)</f>
        <v>-1212.3799999999999</v>
      </c>
      <c r="I92" s="18">
        <f>SUM(OSRRefB13_1_1x_7)</f>
        <v>-36.28</v>
      </c>
      <c r="J92" s="18">
        <f>SUM(OSRRefB13_1_1x_8)</f>
        <v>-1828.8600000000001</v>
      </c>
      <c r="K92" s="18">
        <f>SUM(OSRRefB13_1_1x_9)</f>
        <v>-8662.3900000000012</v>
      </c>
      <c r="L92" s="18">
        <f>SUM(OSRRefB13_1_1x_10)</f>
        <v>-4360.72</v>
      </c>
      <c r="M92" s="18">
        <f>SUM(OSRRefB13_1_1x_11)</f>
        <v>-554.6</v>
      </c>
      <c r="N92" s="19"/>
      <c r="O92" s="20">
        <f t="shared" si="14"/>
        <v>-38298.810000000005</v>
      </c>
    </row>
    <row r="93" spans="1:15" s="3" customFormat="1" collapsed="1" x14ac:dyDescent="0.25">
      <c r="A93" s="3" t="str">
        <f>"Total "&amp;TRIM(MID("2G.Pharmacy Supplies",4,125))</f>
        <v>Total Pharmacy Supplies</v>
      </c>
      <c r="B93" s="12">
        <f>SUM(OSRRefB14_1x_0)</f>
        <v>30342.43</v>
      </c>
      <c r="C93" s="12">
        <f>SUM(OSRRefB14_1x_1)</f>
        <v>27350.329999999998</v>
      </c>
      <c r="D93" s="12">
        <f>SUM(OSRRefB14_1x_2)</f>
        <v>27740.039999999997</v>
      </c>
      <c r="E93" s="12">
        <f>SUM(OSRRefB14_1x_3)</f>
        <v>34643.87000000001</v>
      </c>
      <c r="F93" s="12">
        <f>SUM(OSRRefB14_1x_4)</f>
        <v>54299.85</v>
      </c>
      <c r="G93" s="12">
        <f>SUM(OSRRefB14_1x_5)</f>
        <v>60038.439999999995</v>
      </c>
      <c r="H93" s="12">
        <f>SUM(OSRRefB14_1x_6)</f>
        <v>83866.2</v>
      </c>
      <c r="I93" s="12">
        <f>SUM(OSRRefB14_1x_7)</f>
        <v>26900.570000000003</v>
      </c>
      <c r="J93" s="12">
        <f>SUM(OSRRefB14_1x_8)</f>
        <v>58300.53</v>
      </c>
      <c r="K93" s="12">
        <f>SUM(OSRRefB14_1x_9)</f>
        <v>34723.359999999993</v>
      </c>
      <c r="L93" s="12">
        <f>SUM(OSRRefB14_1x_10)</f>
        <v>58938.53</v>
      </c>
      <c r="M93" s="12">
        <f>SUM(OSRRefB14_1x_11)</f>
        <v>79426.919999999984</v>
      </c>
      <c r="N93" s="13"/>
      <c r="O93" s="14">
        <f t="shared" si="14"/>
        <v>576571.07000000007</v>
      </c>
    </row>
    <row r="94" spans="1:15" x14ac:dyDescent="0.25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6"/>
      <c r="O94" s="17"/>
    </row>
    <row r="95" spans="1:15" hidden="1" outlineLevel="1" x14ac:dyDescent="0.25">
      <c r="A95" s="3" t="str">
        <f>TRIM(MID("2H.Other On-Site",4,125))</f>
        <v>Other On-Site</v>
      </c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6"/>
      <c r="O95" s="17"/>
    </row>
    <row r="96" spans="1:15" hidden="1" outlineLevel="2" x14ac:dyDescent="0.25">
      <c r="A96" t="str">
        <f>("61500")&amp;" - "&amp;("On-Site Med.- X-ray")</f>
        <v>61500 - On-Site Med.- X-ray</v>
      </c>
      <c r="B96" s="15">
        <f>5316.59+0</f>
        <v>5316.59</v>
      </c>
      <c r="C96" s="15">
        <f>545.55+0</f>
        <v>545.54999999999995</v>
      </c>
      <c r="D96" s="15">
        <f>783.08+0</f>
        <v>783.08</v>
      </c>
      <c r="E96" s="15">
        <f>735.09+0</f>
        <v>735.09</v>
      </c>
      <c r="F96" s="15">
        <f>5914.8+0</f>
        <v>5914.8</v>
      </c>
      <c r="G96" s="15">
        <f>1785.75+0</f>
        <v>1785.75</v>
      </c>
      <c r="H96" s="15">
        <f>2164.44+0</f>
        <v>2164.44</v>
      </c>
      <c r="I96" s="15">
        <f>3324.19+0</f>
        <v>3324.19</v>
      </c>
      <c r="J96" s="15">
        <f>2742.18+0</f>
        <v>2742.18</v>
      </c>
      <c r="K96" s="15">
        <f>3905.6+0</f>
        <v>3905.6</v>
      </c>
      <c r="L96" s="15">
        <f>2878.18+0</f>
        <v>2878.18</v>
      </c>
      <c r="M96" s="15">
        <f>1861.23+0</f>
        <v>1861.23</v>
      </c>
      <c r="N96" s="16"/>
      <c r="O96" s="17">
        <f t="shared" ref="O96:O104" si="15">SUM(B96:N96)</f>
        <v>31956.679999999997</v>
      </c>
    </row>
    <row r="97" spans="1:15" hidden="1" outlineLevel="2" x14ac:dyDescent="0.25">
      <c r="A97" t="str">
        <f>("61550")&amp;" - "&amp;("On-Site Med.- Lab Services")</f>
        <v>61550 - On-Site Med.- Lab Services</v>
      </c>
      <c r="B97" s="15">
        <f>1552.05+0</f>
        <v>1552.05</v>
      </c>
      <c r="C97" s="15">
        <f>1839.93+0</f>
        <v>1839.93</v>
      </c>
      <c r="D97" s="15">
        <f>1129.74+0</f>
        <v>1129.74</v>
      </c>
      <c r="E97" s="15">
        <f>2346.1+0</f>
        <v>2346.1</v>
      </c>
      <c r="F97" s="15">
        <f>1028.44+0</f>
        <v>1028.44</v>
      </c>
      <c r="G97" s="15">
        <f>2058.92+0</f>
        <v>2058.92</v>
      </c>
      <c r="H97" s="15">
        <f>3300.52+0</f>
        <v>3300.52</v>
      </c>
      <c r="I97" s="15">
        <f>3806.55+0</f>
        <v>3806.55</v>
      </c>
      <c r="J97" s="15">
        <f>6528.74+0</f>
        <v>6528.74</v>
      </c>
      <c r="K97" s="15">
        <f>4691.64+0</f>
        <v>4691.6400000000003</v>
      </c>
      <c r="L97" s="15">
        <f>3211.31+0</f>
        <v>3211.31</v>
      </c>
      <c r="M97" s="15">
        <f>1232.55+0</f>
        <v>1232.55</v>
      </c>
      <c r="N97" s="16"/>
      <c r="O97" s="17">
        <f t="shared" si="15"/>
        <v>32726.489999999998</v>
      </c>
    </row>
    <row r="98" spans="1:15" hidden="1" outlineLevel="2" x14ac:dyDescent="0.25">
      <c r="A98" t="str">
        <f>("61600")&amp;" - "&amp;("On-Site Med.- Dialysis")</f>
        <v>61600 - On-Site Med.- Dialysis</v>
      </c>
      <c r="B98" s="15">
        <f>-5360+0</f>
        <v>-5360</v>
      </c>
      <c r="C98" s="15">
        <f>-7991+0</f>
        <v>-7991</v>
      </c>
      <c r="D98" s="15">
        <f t="shared" ref="D98:M98" si="16">0+0</f>
        <v>0</v>
      </c>
      <c r="E98" s="15">
        <f t="shared" si="16"/>
        <v>0</v>
      </c>
      <c r="F98" s="15">
        <f t="shared" si="16"/>
        <v>0</v>
      </c>
      <c r="G98" s="15">
        <f t="shared" si="16"/>
        <v>0</v>
      </c>
      <c r="H98" s="15">
        <f t="shared" si="16"/>
        <v>0</v>
      </c>
      <c r="I98" s="15">
        <f t="shared" si="16"/>
        <v>0</v>
      </c>
      <c r="J98" s="15">
        <f t="shared" si="16"/>
        <v>0</v>
      </c>
      <c r="K98" s="15">
        <f t="shared" si="16"/>
        <v>0</v>
      </c>
      <c r="L98" s="15">
        <f t="shared" si="16"/>
        <v>0</v>
      </c>
      <c r="M98" s="15">
        <f t="shared" si="16"/>
        <v>0</v>
      </c>
      <c r="N98" s="16"/>
      <c r="O98" s="17">
        <f t="shared" si="15"/>
        <v>-13351</v>
      </c>
    </row>
    <row r="99" spans="1:15" hidden="1" outlineLevel="2" x14ac:dyDescent="0.25">
      <c r="A99" t="str">
        <f>("61650")&amp;" - "&amp;("On-Site Med.- Med. Supplies")</f>
        <v>61650 - On-Site Med.- Med. Supplies</v>
      </c>
      <c r="B99" s="15">
        <v>7332.24</v>
      </c>
      <c r="C99" s="15">
        <f>1602.37+0</f>
        <v>1602.37</v>
      </c>
      <c r="D99" s="15">
        <f>2706.59+0</f>
        <v>2706.59</v>
      </c>
      <c r="E99" s="15">
        <v>3968.75</v>
      </c>
      <c r="F99" s="15">
        <f>4134.51+0</f>
        <v>4134.51</v>
      </c>
      <c r="G99" s="15">
        <f>5569.35+0</f>
        <v>5569.35</v>
      </c>
      <c r="H99" s="15">
        <f>794.47+0</f>
        <v>794.47</v>
      </c>
      <c r="I99" s="15">
        <f>3268+0</f>
        <v>3268</v>
      </c>
      <c r="J99" s="15">
        <f>5656.21+0</f>
        <v>5656.21</v>
      </c>
      <c r="K99" s="15">
        <f>6051.74+0</f>
        <v>6051.74</v>
      </c>
      <c r="L99" s="15">
        <f>3750.87+0</f>
        <v>3750.87</v>
      </c>
      <c r="M99" s="15">
        <f>5190.86+0</f>
        <v>5190.8599999999997</v>
      </c>
      <c r="N99" s="16"/>
      <c r="O99" s="17">
        <f t="shared" si="15"/>
        <v>50025.96</v>
      </c>
    </row>
    <row r="100" spans="1:15" hidden="1" outlineLevel="2" x14ac:dyDescent="0.25">
      <c r="A100" t="str">
        <f>("61700")&amp;" - "&amp;("On-Site Med.- Dental Supplies")</f>
        <v>61700 - On-Site Med.- Dental Supplies</v>
      </c>
      <c r="B100" s="15">
        <f>157.28+0</f>
        <v>157.28</v>
      </c>
      <c r="C100" s="15">
        <f>-335.52+0</f>
        <v>-335.52</v>
      </c>
      <c r="D100" s="15">
        <f>9.17+0</f>
        <v>9.17</v>
      </c>
      <c r="E100" s="15">
        <f>1216.37+0</f>
        <v>1216.3699999999999</v>
      </c>
      <c r="F100" s="15">
        <f>60.82+0</f>
        <v>60.82</v>
      </c>
      <c r="G100" s="15">
        <f>465.42+0</f>
        <v>465.42</v>
      </c>
      <c r="H100" s="15">
        <f>-24.07+0</f>
        <v>-24.07</v>
      </c>
      <c r="I100" s="15">
        <f>80.29+0</f>
        <v>80.290000000000006</v>
      </c>
      <c r="J100" s="15">
        <f>40.63+0</f>
        <v>40.630000000000003</v>
      </c>
      <c r="K100" s="15">
        <f>339.86+0</f>
        <v>339.86</v>
      </c>
      <c r="L100" s="15">
        <f>-15.5+0</f>
        <v>-15.5</v>
      </c>
      <c r="M100" s="15">
        <f>1334.67+0</f>
        <v>1334.67</v>
      </c>
      <c r="N100" s="16"/>
      <c r="O100" s="17">
        <f t="shared" si="15"/>
        <v>3329.42</v>
      </c>
    </row>
    <row r="101" spans="1:15" hidden="1" outlineLevel="2" x14ac:dyDescent="0.25">
      <c r="A101" t="str">
        <f>("61750")&amp;" - "&amp;("On-Site Med.- Bio Hazard")</f>
        <v>61750 - On-Site Med.- Bio Hazard</v>
      </c>
      <c r="B101" s="15">
        <f>393.54+0</f>
        <v>393.54</v>
      </c>
      <c r="C101" s="15">
        <f>461.36+0</f>
        <v>461.36</v>
      </c>
      <c r="D101" s="15">
        <f>369.2+0</f>
        <v>369.2</v>
      </c>
      <c r="E101" s="15">
        <f>342.46+0</f>
        <v>342.46</v>
      </c>
      <c r="F101" s="15">
        <f>393.77+0</f>
        <v>393.77</v>
      </c>
      <c r="G101" s="15">
        <f>375.52+0</f>
        <v>375.52</v>
      </c>
      <c r="H101" s="15">
        <f>395.61+0</f>
        <v>395.61</v>
      </c>
      <c r="I101" s="15">
        <f>373.21+0</f>
        <v>373.21</v>
      </c>
      <c r="J101" s="15">
        <f>373.46+0</f>
        <v>373.46</v>
      </c>
      <c r="K101" s="15">
        <f>378.76+0</f>
        <v>378.76</v>
      </c>
      <c r="L101" s="15">
        <f>30.87+0</f>
        <v>30.87</v>
      </c>
      <c r="M101" s="15">
        <f>0+0</f>
        <v>0</v>
      </c>
      <c r="N101" s="16"/>
      <c r="O101" s="17">
        <f t="shared" si="15"/>
        <v>3887.76</v>
      </c>
    </row>
    <row r="102" spans="1:15" hidden="1" outlineLevel="2" x14ac:dyDescent="0.25">
      <c r="A102" t="str">
        <f>("61800")&amp;" - "&amp;("On-Site Med.- Other")</f>
        <v>61800 - On-Site Med.- Other</v>
      </c>
      <c r="B102" s="15">
        <f>659.22+0</f>
        <v>659.22</v>
      </c>
      <c r="C102" s="15">
        <f>578.93+0</f>
        <v>578.92999999999995</v>
      </c>
      <c r="D102" s="15">
        <f>-508.22+0</f>
        <v>-508.22</v>
      </c>
      <c r="E102" s="15">
        <f>1018.56+0</f>
        <v>1018.56</v>
      </c>
      <c r="F102" s="15">
        <f>348.22+0</f>
        <v>348.22</v>
      </c>
      <c r="G102" s="15">
        <f>209.52+0</f>
        <v>209.52</v>
      </c>
      <c r="H102" s="15">
        <f>359.86+0</f>
        <v>359.86</v>
      </c>
      <c r="I102" s="15">
        <f>501.58+0</f>
        <v>501.58</v>
      </c>
      <c r="J102" s="15">
        <f>577.36+0</f>
        <v>577.36</v>
      </c>
      <c r="K102" s="15">
        <f>512.04+0</f>
        <v>512.04</v>
      </c>
      <c r="L102" s="15">
        <f>196.58+0</f>
        <v>196.58</v>
      </c>
      <c r="M102" s="15">
        <f>886.35+0</f>
        <v>886.35</v>
      </c>
      <c r="N102" s="16"/>
      <c r="O102" s="17">
        <f t="shared" si="15"/>
        <v>5340</v>
      </c>
    </row>
    <row r="103" spans="1:15" s="4" customFormat="1" hidden="1" outlineLevel="1" x14ac:dyDescent="0.25">
      <c r="A103" s="3" t="s">
        <v>9</v>
      </c>
      <c r="B103" s="18">
        <f>SUM(OSRRefB13_2_0x_0)</f>
        <v>10050.920000000002</v>
      </c>
      <c r="C103" s="18">
        <f>SUM(OSRRefB13_2_0x_1)</f>
        <v>-3298.38</v>
      </c>
      <c r="D103" s="18">
        <f>SUM(OSRRefB13_2_0x_2)</f>
        <v>4489.5599999999995</v>
      </c>
      <c r="E103" s="18">
        <f>SUM(OSRRefB13_2_0x_3)</f>
        <v>9627.33</v>
      </c>
      <c r="F103" s="18">
        <f>SUM(OSRRefB13_2_0x_4)</f>
        <v>11880.56</v>
      </c>
      <c r="G103" s="18">
        <f>SUM(OSRRefB13_2_0x_5)</f>
        <v>10464.480000000001</v>
      </c>
      <c r="H103" s="18">
        <f>SUM(OSRRefB13_2_0x_6)</f>
        <v>6990.83</v>
      </c>
      <c r="I103" s="18">
        <f>SUM(OSRRefB13_2_0x_7)</f>
        <v>11353.82</v>
      </c>
      <c r="J103" s="18">
        <f>SUM(OSRRefB13_2_0x_8)</f>
        <v>15918.58</v>
      </c>
      <c r="K103" s="18">
        <f>SUM(OSRRefB13_2_0x_9)</f>
        <v>15879.64</v>
      </c>
      <c r="L103" s="18">
        <f>SUM(OSRRefB13_2_0x_10)</f>
        <v>10052.310000000001</v>
      </c>
      <c r="M103" s="18">
        <f>SUM(OSRRefB13_2_0x_11)</f>
        <v>10505.66</v>
      </c>
      <c r="N103" s="19"/>
      <c r="O103" s="20">
        <f t="shared" si="15"/>
        <v>113915.31</v>
      </c>
    </row>
    <row r="104" spans="1:15" s="3" customFormat="1" collapsed="1" x14ac:dyDescent="0.25">
      <c r="A104" s="3" t="str">
        <f>"Total "&amp;TRIM(MID("2H.Other On-Site",4,125))</f>
        <v>Total Other On-Site</v>
      </c>
      <c r="B104" s="12">
        <f>SUM(OSRRefB14_2x_0)</f>
        <v>10050.920000000002</v>
      </c>
      <c r="C104" s="12">
        <f>SUM(OSRRefB14_2x_1)</f>
        <v>-3298.38</v>
      </c>
      <c r="D104" s="12">
        <f>SUM(OSRRefB14_2x_2)</f>
        <v>4489.5599999999995</v>
      </c>
      <c r="E104" s="12">
        <f>SUM(OSRRefB14_2x_3)</f>
        <v>9627.33</v>
      </c>
      <c r="F104" s="12">
        <f>SUM(OSRRefB14_2x_4)</f>
        <v>11880.56</v>
      </c>
      <c r="G104" s="12">
        <f>SUM(OSRRefB14_2x_5)</f>
        <v>10464.480000000001</v>
      </c>
      <c r="H104" s="12">
        <f>SUM(OSRRefB14_2x_6)</f>
        <v>6990.83</v>
      </c>
      <c r="I104" s="12">
        <f>SUM(OSRRefB14_2x_7)</f>
        <v>11353.82</v>
      </c>
      <c r="J104" s="12">
        <f>SUM(OSRRefB14_2x_8)</f>
        <v>15918.58</v>
      </c>
      <c r="K104" s="12">
        <f>SUM(OSRRefB14_2x_9)</f>
        <v>15879.64</v>
      </c>
      <c r="L104" s="12">
        <f>SUM(OSRRefB14_2x_10)</f>
        <v>10052.310000000001</v>
      </c>
      <c r="M104" s="12">
        <f>SUM(OSRRefB14_2x_11)</f>
        <v>10505.66</v>
      </c>
      <c r="N104" s="13"/>
      <c r="O104" s="14">
        <f t="shared" si="15"/>
        <v>113915.31</v>
      </c>
    </row>
    <row r="105" spans="1:15" x14ac:dyDescent="0.25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6"/>
      <c r="O105" s="17"/>
    </row>
    <row r="106" spans="1:15" hidden="1" outlineLevel="1" x14ac:dyDescent="0.25">
      <c r="A106" s="3" t="str">
        <f>TRIM(MID("2J.Off-Site Services",4,125))</f>
        <v>Off-Site Services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6"/>
      <c r="O106" s="17"/>
    </row>
    <row r="107" spans="1:15" hidden="1" outlineLevel="2" x14ac:dyDescent="0.25">
      <c r="A107" t="str">
        <f>("68000")&amp;" - "&amp;("Offsite- Inpatient Hospitaliza")</f>
        <v>68000 - Offsite- Inpatient Hospitaliza</v>
      </c>
      <c r="B107" s="15">
        <f>28244.15+0</f>
        <v>28244.15</v>
      </c>
      <c r="C107" s="15">
        <f>870.86+0</f>
        <v>870.86</v>
      </c>
      <c r="D107" s="15">
        <f>12223.06+0</f>
        <v>12223.06</v>
      </c>
      <c r="E107" s="15">
        <f>33156.28+0</f>
        <v>33156.28</v>
      </c>
      <c r="F107" s="15">
        <f>0+0</f>
        <v>0</v>
      </c>
      <c r="G107" s="15">
        <f>27451.43+0</f>
        <v>27451.43</v>
      </c>
      <c r="H107" s="15">
        <f>5106.5+0</f>
        <v>5106.5</v>
      </c>
      <c r="I107" s="15">
        <f>474+0</f>
        <v>474</v>
      </c>
      <c r="J107" s="15">
        <f>1294.86+0</f>
        <v>1294.8599999999999</v>
      </c>
      <c r="K107" s="15">
        <f>12999.78+0</f>
        <v>12999.78</v>
      </c>
      <c r="L107" s="15">
        <f>163785.21+0</f>
        <v>163785.21</v>
      </c>
      <c r="M107" s="15">
        <f>23711.16+0</f>
        <v>23711.16</v>
      </c>
      <c r="N107" s="16"/>
      <c r="O107" s="17">
        <f t="shared" ref="O107:O118" si="17">SUM(B107:N107)</f>
        <v>309317.28999999998</v>
      </c>
    </row>
    <row r="108" spans="1:15" hidden="1" outlineLevel="2" x14ac:dyDescent="0.25">
      <c r="A108" t="str">
        <f>("68025")&amp;" - "&amp;("Offsite- Observation")</f>
        <v>68025 - Offsite- Observation</v>
      </c>
      <c r="B108" s="15">
        <f>0+0</f>
        <v>0</v>
      </c>
      <c r="C108" s="15">
        <f>0+0</f>
        <v>0</v>
      </c>
      <c r="D108" s="15">
        <f>0+0</f>
        <v>0</v>
      </c>
      <c r="E108" s="15">
        <f>0+0</f>
        <v>0</v>
      </c>
      <c r="F108" s="15">
        <f>0+0</f>
        <v>0</v>
      </c>
      <c r="G108" s="15">
        <f>120.14+0</f>
        <v>120.14</v>
      </c>
      <c r="H108" s="15">
        <f>5282.15+0</f>
        <v>5282.15</v>
      </c>
      <c r="I108" s="15">
        <f>0+0</f>
        <v>0</v>
      </c>
      <c r="J108" s="15">
        <f>0+0</f>
        <v>0</v>
      </c>
      <c r="K108" s="15">
        <f>0+0</f>
        <v>0</v>
      </c>
      <c r="L108" s="15">
        <f>0+0</f>
        <v>0</v>
      </c>
      <c r="M108" s="15">
        <f>0+0</f>
        <v>0</v>
      </c>
      <c r="N108" s="16"/>
      <c r="O108" s="17">
        <f t="shared" si="17"/>
        <v>5402.29</v>
      </c>
    </row>
    <row r="109" spans="1:15" hidden="1" outlineLevel="2" x14ac:dyDescent="0.25">
      <c r="A109" t="str">
        <f>("68075")&amp;" - "&amp;("Offsite- Office Visit")</f>
        <v>68075 - Offsite- Office Visit</v>
      </c>
      <c r="B109" s="15">
        <f>1022.14+0</f>
        <v>1022.14</v>
      </c>
      <c r="C109" s="15">
        <f>198.34+0</f>
        <v>198.34</v>
      </c>
      <c r="D109" s="15">
        <f>272.57+0</f>
        <v>272.57</v>
      </c>
      <c r="E109" s="15">
        <f>328.69+0</f>
        <v>328.69</v>
      </c>
      <c r="F109" s="15">
        <f>4133.93+0</f>
        <v>4133.93</v>
      </c>
      <c r="G109" s="15">
        <f>331.05+0</f>
        <v>331.05</v>
      </c>
      <c r="H109" s="15">
        <f>1814.75+0</f>
        <v>1814.75</v>
      </c>
      <c r="I109" s="15">
        <f>508.83+0</f>
        <v>508.83</v>
      </c>
      <c r="J109" s="15">
        <f>383.97+0</f>
        <v>383.97</v>
      </c>
      <c r="K109" s="15">
        <f>267.7+0</f>
        <v>267.7</v>
      </c>
      <c r="L109" s="15">
        <f>478.15+0</f>
        <v>478.15</v>
      </c>
      <c r="M109" s="15">
        <f>567.22+0</f>
        <v>567.22</v>
      </c>
      <c r="N109" s="16"/>
      <c r="O109" s="17">
        <f t="shared" si="17"/>
        <v>10307.34</v>
      </c>
    </row>
    <row r="110" spans="1:15" hidden="1" outlineLevel="2" x14ac:dyDescent="0.25">
      <c r="A110" t="str">
        <f>("68100")&amp;" - "&amp;("Offsite- Visit W/Procedure")</f>
        <v>68100 - Offsite- Visit W/Procedure</v>
      </c>
      <c r="B110" s="15">
        <f>0+0</f>
        <v>0</v>
      </c>
      <c r="C110" s="15">
        <f>0+0</f>
        <v>0</v>
      </c>
      <c r="D110" s="15">
        <f>156.64+0</f>
        <v>156.63999999999999</v>
      </c>
      <c r="E110" s="15">
        <f>81.24+0</f>
        <v>81.239999999999995</v>
      </c>
      <c r="F110" s="15">
        <f>0+0</f>
        <v>0</v>
      </c>
      <c r="G110" s="15">
        <f>2288.44+0</f>
        <v>2288.44</v>
      </c>
      <c r="H110" s="15">
        <f>0+0</f>
        <v>0</v>
      </c>
      <c r="I110" s="15">
        <f>0+0</f>
        <v>0</v>
      </c>
      <c r="J110" s="15">
        <f>0+0</f>
        <v>0</v>
      </c>
      <c r="K110" s="15">
        <f>0+0</f>
        <v>0</v>
      </c>
      <c r="L110" s="15">
        <f>1731.07+0</f>
        <v>1731.07</v>
      </c>
      <c r="M110" s="15">
        <f>70.18+0</f>
        <v>70.180000000000007</v>
      </c>
      <c r="N110" s="16"/>
      <c r="O110" s="17">
        <f t="shared" si="17"/>
        <v>4327.5700000000006</v>
      </c>
    </row>
    <row r="111" spans="1:15" hidden="1" outlineLevel="2" x14ac:dyDescent="0.25">
      <c r="A111" t="str">
        <f>("68250")&amp;" - "&amp;("Offsite- Emergency Room")</f>
        <v>68250 - Offsite- Emergency Room</v>
      </c>
      <c r="B111" s="15">
        <f>7628.22+0</f>
        <v>7628.22</v>
      </c>
      <c r="C111" s="15">
        <f>9265.58+0</f>
        <v>9265.58</v>
      </c>
      <c r="D111" s="15">
        <f>35383.46+0</f>
        <v>35383.46</v>
      </c>
      <c r="E111" s="15">
        <f>5723.25+0</f>
        <v>5723.25</v>
      </c>
      <c r="F111" s="15">
        <f>10973.36+0</f>
        <v>10973.36</v>
      </c>
      <c r="G111" s="15">
        <f>28700.82+0</f>
        <v>28700.82</v>
      </c>
      <c r="H111" s="15">
        <f>23016.61+0</f>
        <v>23016.61</v>
      </c>
      <c r="I111" s="15">
        <f>6386.06+0</f>
        <v>6386.06</v>
      </c>
      <c r="J111" s="15">
        <f>8481.43+0</f>
        <v>8481.43</v>
      </c>
      <c r="K111" s="15">
        <f>5822.01+0</f>
        <v>5822.01</v>
      </c>
      <c r="L111" s="15">
        <f>17396.21+0</f>
        <v>17396.21</v>
      </c>
      <c r="M111" s="15">
        <f>3258.35+0</f>
        <v>3258.35</v>
      </c>
      <c r="N111" s="16"/>
      <c r="O111" s="17">
        <f t="shared" si="17"/>
        <v>162035.36000000002</v>
      </c>
    </row>
    <row r="112" spans="1:15" hidden="1" outlineLevel="2" x14ac:dyDescent="0.25">
      <c r="A112" t="str">
        <f>("68300")&amp;" - "&amp;("Offsite- 1 day Surgery")</f>
        <v>68300 - Offsite- 1 day Surgery</v>
      </c>
      <c r="B112" s="15">
        <f>0+0</f>
        <v>0</v>
      </c>
      <c r="C112" s="15">
        <f>4193.85+0</f>
        <v>4193.8500000000004</v>
      </c>
      <c r="D112" s="15">
        <f>5984.1+0</f>
        <v>5984.1</v>
      </c>
      <c r="E112" s="15">
        <f>749.25+0</f>
        <v>749.25</v>
      </c>
      <c r="F112" s="15">
        <f>2017.5+0</f>
        <v>2017.5</v>
      </c>
      <c r="G112" s="15">
        <f>0+0</f>
        <v>0</v>
      </c>
      <c r="H112" s="15">
        <f>0+0</f>
        <v>0</v>
      </c>
      <c r="I112" s="15">
        <f>15988.02+0</f>
        <v>15988.02</v>
      </c>
      <c r="J112" s="15">
        <f>7644.47+0</f>
        <v>7644.47</v>
      </c>
      <c r="K112" s="15">
        <f>2481.75+0</f>
        <v>2481.75</v>
      </c>
      <c r="L112" s="15">
        <f>1245.75+0</f>
        <v>1245.75</v>
      </c>
      <c r="M112" s="15">
        <f>608.39+0</f>
        <v>608.39</v>
      </c>
      <c r="N112" s="16"/>
      <c r="O112" s="17">
        <f t="shared" si="17"/>
        <v>40913.08</v>
      </c>
    </row>
    <row r="113" spans="1:15" hidden="1" outlineLevel="2" x14ac:dyDescent="0.25">
      <c r="A113" t="str">
        <f>("68350")&amp;" - "&amp;("Offsite- Radiology")</f>
        <v>68350 - Offsite- Radiology</v>
      </c>
      <c r="B113" s="15">
        <f>1438.19+0</f>
        <v>1438.19</v>
      </c>
      <c r="C113" s="15">
        <f>204+0</f>
        <v>204</v>
      </c>
      <c r="D113" s="15">
        <f>204+0</f>
        <v>204</v>
      </c>
      <c r="E113" s="15">
        <f>831.36+0</f>
        <v>831.36</v>
      </c>
      <c r="F113" s="15">
        <f>104.59+0</f>
        <v>104.59</v>
      </c>
      <c r="G113" s="15">
        <f>229.46+0</f>
        <v>229.46</v>
      </c>
      <c r="H113" s="15">
        <f>1524.59+0</f>
        <v>1524.59</v>
      </c>
      <c r="I113" s="15">
        <f>313.02+0</f>
        <v>313.02</v>
      </c>
      <c r="J113" s="15">
        <f>1423.85+0</f>
        <v>1423.85</v>
      </c>
      <c r="K113" s="15">
        <f>1474.11+0</f>
        <v>1474.11</v>
      </c>
      <c r="L113" s="15">
        <f>8.55+0</f>
        <v>8.5500000000000007</v>
      </c>
      <c r="M113" s="15">
        <f>631.26+0</f>
        <v>631.26</v>
      </c>
      <c r="N113" s="16"/>
      <c r="O113" s="17">
        <f t="shared" si="17"/>
        <v>8386.9800000000014</v>
      </c>
    </row>
    <row r="114" spans="1:15" hidden="1" outlineLevel="2" x14ac:dyDescent="0.25">
      <c r="A114" t="str">
        <f>("68475")&amp;" - "&amp;("Offsite- TPA Fees")</f>
        <v>68475 - Offsite- TPA Fees</v>
      </c>
      <c r="B114" s="15">
        <f>637.2+0</f>
        <v>637.20000000000005</v>
      </c>
      <c r="C114" s="15">
        <f>550.8+0</f>
        <v>550.79999999999995</v>
      </c>
      <c r="D114" s="15">
        <f>475.2+0</f>
        <v>475.2</v>
      </c>
      <c r="E114" s="15">
        <f>345.6+0</f>
        <v>345.6</v>
      </c>
      <c r="F114" s="15">
        <f>550.8+0</f>
        <v>550.79999999999995</v>
      </c>
      <c r="G114" s="15">
        <f>1058.4+0</f>
        <v>1058.4000000000001</v>
      </c>
      <c r="H114" s="15">
        <f>1306.8+0</f>
        <v>1306.8</v>
      </c>
      <c r="I114" s="15">
        <f>680.4+0</f>
        <v>680.4</v>
      </c>
      <c r="J114" s="15">
        <f>896.4+0</f>
        <v>896.4</v>
      </c>
      <c r="K114" s="15">
        <f>831.6+0</f>
        <v>831.6</v>
      </c>
      <c r="L114" s="15">
        <f>1296+0</f>
        <v>1296</v>
      </c>
      <c r="M114" s="15">
        <f>756+0</f>
        <v>756</v>
      </c>
      <c r="N114" s="16"/>
      <c r="O114" s="17">
        <f t="shared" si="17"/>
        <v>9385.2000000000007</v>
      </c>
    </row>
    <row r="115" spans="1:15" hidden="1" outlineLevel="2" x14ac:dyDescent="0.25">
      <c r="A115" t="str">
        <f>("68550")&amp;" - "&amp;("Offsite-Other")</f>
        <v>68550 - Offsite-Other</v>
      </c>
      <c r="B115" s="15">
        <f>0+0</f>
        <v>0</v>
      </c>
      <c r="C115" s="15">
        <f>0+0</f>
        <v>0</v>
      </c>
      <c r="D115" s="15">
        <f>0+0</f>
        <v>0</v>
      </c>
      <c r="E115" s="15">
        <f>0+0</f>
        <v>0</v>
      </c>
      <c r="F115" s="15">
        <f>0+0</f>
        <v>0</v>
      </c>
      <c r="G115" s="15">
        <f>-28646.57+0</f>
        <v>-28646.57</v>
      </c>
      <c r="H115" s="15">
        <f>28646.57+0</f>
        <v>28646.57</v>
      </c>
      <c r="I115" s="15">
        <f>-101+0</f>
        <v>-101</v>
      </c>
      <c r="J115" s="15">
        <f>0+0</f>
        <v>0</v>
      </c>
      <c r="K115" s="15">
        <f>0+0</f>
        <v>0</v>
      </c>
      <c r="L115" s="15">
        <f>-3078.69+0</f>
        <v>-3078.69</v>
      </c>
      <c r="M115" s="15">
        <f>3078.69+0</f>
        <v>3078.69</v>
      </c>
      <c r="N115" s="16"/>
      <c r="O115" s="17">
        <f t="shared" si="17"/>
        <v>-101</v>
      </c>
    </row>
    <row r="116" spans="1:15" hidden="1" outlineLevel="2" x14ac:dyDescent="0.25">
      <c r="A116" t="str">
        <f>("68600")&amp;" - "&amp;("Off-Site: Reserve Adjustment")</f>
        <v>68600 - Off-Site: Reserve Adjustment</v>
      </c>
      <c r="B116" s="15">
        <f>22827.76+0</f>
        <v>22827.759999999998</v>
      </c>
      <c r="C116" s="15">
        <f>-15748.63+0</f>
        <v>-15748.63</v>
      </c>
      <c r="D116" s="15">
        <f>-52158.69+0</f>
        <v>-52158.69</v>
      </c>
      <c r="E116" s="15">
        <f>-55614.54+0</f>
        <v>-55614.54</v>
      </c>
      <c r="F116" s="15">
        <f>-719.55+0</f>
        <v>-719.55</v>
      </c>
      <c r="G116" s="15">
        <f>30566.66+0</f>
        <v>30566.66</v>
      </c>
      <c r="H116" s="15">
        <f>-27122.22+0</f>
        <v>-27122.22</v>
      </c>
      <c r="I116" s="15">
        <f>24975.53+0</f>
        <v>24975.53</v>
      </c>
      <c r="J116" s="15">
        <f>7384.38+0</f>
        <v>7384.38</v>
      </c>
      <c r="K116" s="15">
        <f>16891.38+0</f>
        <v>16891.38</v>
      </c>
      <c r="L116" s="15">
        <f>-62939+0</f>
        <v>-62939</v>
      </c>
      <c r="M116" s="15">
        <f>-16786.02+0</f>
        <v>-16786.02</v>
      </c>
      <c r="N116" s="16"/>
      <c r="O116" s="17">
        <f t="shared" si="17"/>
        <v>-128442.94</v>
      </c>
    </row>
    <row r="117" spans="1:15" s="4" customFormat="1" hidden="1" outlineLevel="1" x14ac:dyDescent="0.25">
      <c r="A117" s="3" t="s">
        <v>8</v>
      </c>
      <c r="B117" s="18">
        <f>SUM(OSRRefB13_3_0x_0)</f>
        <v>61797.66</v>
      </c>
      <c r="C117" s="18">
        <f>SUM(OSRRefB13_3_0x_1)</f>
        <v>-465.19999999999891</v>
      </c>
      <c r="D117" s="18">
        <f>SUM(OSRRefB13_3_0x_2)</f>
        <v>2540.3399999999892</v>
      </c>
      <c r="E117" s="18">
        <f>SUM(OSRRefB13_3_0x_3)</f>
        <v>-14398.870000000003</v>
      </c>
      <c r="F117" s="18">
        <f>SUM(OSRRefB13_3_0x_4)</f>
        <v>17060.63</v>
      </c>
      <c r="G117" s="18">
        <f>SUM(OSRRefB13_3_0x_5)</f>
        <v>62099.83</v>
      </c>
      <c r="H117" s="18">
        <f>SUM(OSRRefB13_3_0x_6)</f>
        <v>39575.75</v>
      </c>
      <c r="I117" s="18">
        <f>SUM(OSRRefB13_3_0x_7)</f>
        <v>49224.86</v>
      </c>
      <c r="J117" s="18">
        <f>SUM(OSRRefB13_3_0x_8)</f>
        <v>27509.360000000001</v>
      </c>
      <c r="K117" s="18">
        <f>SUM(OSRRefB13_3_0x_9)</f>
        <v>40768.33</v>
      </c>
      <c r="L117" s="18">
        <f>SUM(OSRRefB13_3_0x_10)</f>
        <v>119923.24999999997</v>
      </c>
      <c r="M117" s="18">
        <f>SUM(OSRRefB13_3_0x_11)</f>
        <v>15895.229999999996</v>
      </c>
      <c r="N117" s="19"/>
      <c r="O117" s="20">
        <f t="shared" si="17"/>
        <v>421531.16999999993</v>
      </c>
    </row>
    <row r="118" spans="1:15" s="3" customFormat="1" collapsed="1" x14ac:dyDescent="0.25">
      <c r="A118" s="3" t="str">
        <f>"Total "&amp;TRIM(MID("2J.Off-Site Services",4,125))</f>
        <v>Total Off-Site Services</v>
      </c>
      <c r="B118" s="12">
        <f>SUM(OSRRefB14_3x_0)</f>
        <v>61797.66</v>
      </c>
      <c r="C118" s="12">
        <f>SUM(OSRRefB14_3x_1)</f>
        <v>-465.19999999999891</v>
      </c>
      <c r="D118" s="12">
        <f>SUM(OSRRefB14_3x_2)</f>
        <v>2540.3399999999892</v>
      </c>
      <c r="E118" s="12">
        <f>SUM(OSRRefB14_3x_3)</f>
        <v>-14398.870000000003</v>
      </c>
      <c r="F118" s="12">
        <f>SUM(OSRRefB14_3x_4)</f>
        <v>17060.63</v>
      </c>
      <c r="G118" s="12">
        <f>SUM(OSRRefB14_3x_5)</f>
        <v>62099.83</v>
      </c>
      <c r="H118" s="12">
        <f>SUM(OSRRefB14_3x_6)</f>
        <v>39575.75</v>
      </c>
      <c r="I118" s="12">
        <f>SUM(OSRRefB14_3x_7)</f>
        <v>49224.86</v>
      </c>
      <c r="J118" s="12">
        <f>SUM(OSRRefB14_3x_8)</f>
        <v>27509.360000000001</v>
      </c>
      <c r="K118" s="12">
        <f>SUM(OSRRefB14_3x_9)</f>
        <v>40768.33</v>
      </c>
      <c r="L118" s="12">
        <f>SUM(OSRRefB14_3x_10)</f>
        <v>119923.24999999997</v>
      </c>
      <c r="M118" s="12">
        <f>SUM(OSRRefB14_3x_11)</f>
        <v>15895.229999999996</v>
      </c>
      <c r="N118" s="13"/>
      <c r="O118" s="14">
        <f t="shared" si="17"/>
        <v>421531.16999999993</v>
      </c>
    </row>
    <row r="119" spans="1:15" x14ac:dyDescent="0.25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6"/>
      <c r="O119" s="17"/>
    </row>
    <row r="120" spans="1:15" s="3" customFormat="1" outlineLevel="1" x14ac:dyDescent="0.25">
      <c r="A120" s="3" t="s">
        <v>7</v>
      </c>
      <c r="B120" s="21">
        <f>SUM(OSRRefB15x_0)</f>
        <v>102191.01000000001</v>
      </c>
      <c r="C120" s="21">
        <f>SUM(OSRRefB15x_1)</f>
        <v>23586.75</v>
      </c>
      <c r="D120" s="21">
        <f>SUM(OSRRefB15x_2)</f>
        <v>34769.939999999988</v>
      </c>
      <c r="E120" s="21">
        <f>SUM(OSRRefB15x_3)</f>
        <v>29872.330000000009</v>
      </c>
      <c r="F120" s="21">
        <f>SUM(OSRRefB15x_4)</f>
        <v>83241.040000000008</v>
      </c>
      <c r="G120" s="21">
        <f>SUM(OSRRefB15x_5)</f>
        <v>132647.75</v>
      </c>
      <c r="H120" s="21">
        <f>SUM(OSRRefB15x_6)</f>
        <v>130702.78</v>
      </c>
      <c r="I120" s="21">
        <f>SUM(OSRRefB15x_7)</f>
        <v>87479.25</v>
      </c>
      <c r="J120" s="21">
        <f>SUM(OSRRefB15x_8)</f>
        <v>102268.47</v>
      </c>
      <c r="K120" s="21">
        <f>SUM(OSRRefB15x_9)</f>
        <v>91191.329999999987</v>
      </c>
      <c r="L120" s="21">
        <f>SUM(OSRRefB15x_10)</f>
        <v>188869.08999999997</v>
      </c>
      <c r="M120" s="21">
        <f>SUM(OSRRefB15x_11)</f>
        <v>105827.80999999998</v>
      </c>
      <c r="N120" s="13"/>
      <c r="O120" s="22">
        <f>SUM(B120:N120)</f>
        <v>1112647.55</v>
      </c>
    </row>
    <row r="121" spans="1:15" x14ac:dyDescent="0.25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6"/>
      <c r="O121" s="17"/>
    </row>
    <row r="122" spans="1:15" hidden="1" outlineLevel="1" x14ac:dyDescent="0.25">
      <c r="A122" s="3" t="str">
        <f>TRIM(MID("2L.Other Expenses",4,125))</f>
        <v>Other Expenses</v>
      </c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6"/>
      <c r="O122" s="17"/>
    </row>
    <row r="123" spans="1:15" hidden="1" outlineLevel="2" x14ac:dyDescent="0.25">
      <c r="A123" t="str">
        <f>("66000")&amp;" - "&amp;("Admin.- Office Supplies")</f>
        <v>66000 - Admin.- Office Supplies</v>
      </c>
      <c r="B123" s="15">
        <v>584.37</v>
      </c>
      <c r="C123" s="15">
        <v>231.15</v>
      </c>
      <c r="D123" s="15">
        <v>429.09</v>
      </c>
      <c r="E123" s="15">
        <f>365.55+0</f>
        <v>365.55</v>
      </c>
      <c r="F123" s="15">
        <f>555.59+0</f>
        <v>555.59</v>
      </c>
      <c r="G123" s="15">
        <f>12394.81+0</f>
        <v>12394.81</v>
      </c>
      <c r="H123" s="15">
        <f>481.15+0</f>
        <v>481.15</v>
      </c>
      <c r="I123" s="15">
        <f>1190.4+0</f>
        <v>1190.4000000000001</v>
      </c>
      <c r="J123" s="15">
        <f>1002.44+0</f>
        <v>1002.44</v>
      </c>
      <c r="K123" s="15">
        <f>1568.84+0</f>
        <v>1568.84</v>
      </c>
      <c r="L123" s="15">
        <f>180.83+0</f>
        <v>180.83</v>
      </c>
      <c r="M123" s="15">
        <f>-0.6+0</f>
        <v>-0.6</v>
      </c>
      <c r="N123" s="16"/>
      <c r="O123" s="17">
        <f t="shared" ref="O123:O142" si="18">SUM(B123:N123)</f>
        <v>18983.620000000003</v>
      </c>
    </row>
    <row r="124" spans="1:15" hidden="1" outlineLevel="2" x14ac:dyDescent="0.25">
      <c r="A124" t="str">
        <f>("66025")&amp;" - "&amp;("Admin.- Printing &amp; Forms")</f>
        <v>66025 - Admin.- Printing &amp; Forms</v>
      </c>
      <c r="B124" s="15">
        <f>64.47+0</f>
        <v>64.47</v>
      </c>
      <c r="C124" s="15">
        <f>0+0</f>
        <v>0</v>
      </c>
      <c r="D124" s="15">
        <f>322.34+0</f>
        <v>322.33999999999997</v>
      </c>
      <c r="E124" s="15">
        <f>128.94+0</f>
        <v>128.94</v>
      </c>
      <c r="F124" s="15">
        <f>-128.94+0</f>
        <v>-128.94</v>
      </c>
      <c r="G124" s="15">
        <f t="shared" ref="G124:M124" si="19">0+0</f>
        <v>0</v>
      </c>
      <c r="H124" s="15">
        <f t="shared" si="19"/>
        <v>0</v>
      </c>
      <c r="I124" s="15">
        <f t="shared" si="19"/>
        <v>0</v>
      </c>
      <c r="J124" s="15">
        <f t="shared" si="19"/>
        <v>0</v>
      </c>
      <c r="K124" s="15">
        <f t="shared" si="19"/>
        <v>0</v>
      </c>
      <c r="L124" s="15">
        <f t="shared" si="19"/>
        <v>0</v>
      </c>
      <c r="M124" s="15">
        <f t="shared" si="19"/>
        <v>0</v>
      </c>
      <c r="N124" s="16"/>
      <c r="O124" s="17">
        <f t="shared" si="18"/>
        <v>386.81</v>
      </c>
    </row>
    <row r="125" spans="1:15" hidden="1" outlineLevel="2" x14ac:dyDescent="0.25">
      <c r="A125" t="str">
        <f>("66075")&amp;" - "&amp;("Admin.- Postage")</f>
        <v>66075 - Admin.- Postage</v>
      </c>
      <c r="B125" s="15">
        <v>-353.21</v>
      </c>
      <c r="C125" s="15">
        <v>-54.34</v>
      </c>
      <c r="D125" s="15">
        <f t="shared" ref="D125:I125" si="20">0+0</f>
        <v>0</v>
      </c>
      <c r="E125" s="15">
        <v>108.68</v>
      </c>
      <c r="F125" s="15">
        <f t="shared" si="20"/>
        <v>0</v>
      </c>
      <c r="G125" s="15">
        <f t="shared" si="20"/>
        <v>0</v>
      </c>
      <c r="H125" s="15">
        <f t="shared" si="20"/>
        <v>0</v>
      </c>
      <c r="I125" s="15">
        <f t="shared" si="20"/>
        <v>0</v>
      </c>
      <c r="J125" s="15">
        <f>11.6+0</f>
        <v>11.6</v>
      </c>
      <c r="K125" s="15">
        <f>0+0</f>
        <v>0</v>
      </c>
      <c r="L125" s="15">
        <f>0+0</f>
        <v>0</v>
      </c>
      <c r="M125" s="15">
        <f>0+0</f>
        <v>0</v>
      </c>
      <c r="N125" s="16"/>
      <c r="O125" s="17">
        <f t="shared" si="18"/>
        <v>-287.26999999999992</v>
      </c>
    </row>
    <row r="126" spans="1:15" hidden="1" outlineLevel="2" x14ac:dyDescent="0.25">
      <c r="A126" t="str">
        <f>("66125")&amp;" - "&amp;("Admin.- Courier")</f>
        <v>66125 - Admin.- Courier</v>
      </c>
      <c r="B126" s="15">
        <v>653.44000000000005</v>
      </c>
      <c r="C126" s="15">
        <f>29.18+0</f>
        <v>29.18</v>
      </c>
      <c r="D126" s="15">
        <v>124.59</v>
      </c>
      <c r="E126" s="15">
        <f>16.11+0</f>
        <v>16.11</v>
      </c>
      <c r="F126" s="15">
        <f>-22.45+0</f>
        <v>-22.45</v>
      </c>
      <c r="G126" s="15">
        <f>518.63+0</f>
        <v>518.63</v>
      </c>
      <c r="H126" s="15">
        <f>481.05+0</f>
        <v>481.05</v>
      </c>
      <c r="I126" s="15">
        <f>368.4+0</f>
        <v>368.4</v>
      </c>
      <c r="J126" s="15">
        <f>10.15+0</f>
        <v>10.15</v>
      </c>
      <c r="K126" s="15">
        <f>16.37+0</f>
        <v>16.37</v>
      </c>
      <c r="L126" s="15">
        <f>119.58+0</f>
        <v>119.58</v>
      </c>
      <c r="M126" s="15">
        <f>121.34+0</f>
        <v>121.34</v>
      </c>
      <c r="N126" s="16"/>
      <c r="O126" s="17">
        <f t="shared" si="18"/>
        <v>2436.39</v>
      </c>
    </row>
    <row r="127" spans="1:15" hidden="1" outlineLevel="2" x14ac:dyDescent="0.25">
      <c r="A127" t="str">
        <f>("66225")&amp;" - "&amp;("Admin.- Consulting")</f>
        <v>66225 - Admin.- Consulting</v>
      </c>
      <c r="B127" s="15">
        <f>0+0</f>
        <v>0</v>
      </c>
      <c r="C127" s="15">
        <f>0+0</f>
        <v>0</v>
      </c>
      <c r="D127" s="15">
        <f>0+0</f>
        <v>0</v>
      </c>
      <c r="E127" s="15">
        <f>200+0</f>
        <v>200</v>
      </c>
      <c r="F127" s="15">
        <f>33.33+0</f>
        <v>33.33</v>
      </c>
      <c r="G127" s="15">
        <f>0+0</f>
        <v>0</v>
      </c>
      <c r="H127" s="15">
        <f>0+0</f>
        <v>0</v>
      </c>
      <c r="I127" s="15">
        <f>-33.33+0</f>
        <v>-33.33</v>
      </c>
      <c r="J127" s="15">
        <f>0+0</f>
        <v>0</v>
      </c>
      <c r="K127" s="15">
        <f>0+0</f>
        <v>0</v>
      </c>
      <c r="L127" s="15">
        <f>0+0</f>
        <v>0</v>
      </c>
      <c r="M127" s="15">
        <f>0+0</f>
        <v>0</v>
      </c>
      <c r="N127" s="16"/>
      <c r="O127" s="17">
        <f t="shared" si="18"/>
        <v>200</v>
      </c>
    </row>
    <row r="128" spans="1:15" hidden="1" outlineLevel="2" x14ac:dyDescent="0.25">
      <c r="A128" t="str">
        <f>("66300")&amp;" - "&amp;("Admin.- Licenses &amp; Taxes")</f>
        <v>66300 - Admin.- Licenses &amp; Taxes</v>
      </c>
      <c r="B128" s="15">
        <f>40.6+0</f>
        <v>40.6</v>
      </c>
      <c r="C128" s="15">
        <f>19.82+0</f>
        <v>19.82</v>
      </c>
      <c r="D128" s="15">
        <f>69.26+0</f>
        <v>69.260000000000005</v>
      </c>
      <c r="E128" s="15">
        <f>43.88+0</f>
        <v>43.88</v>
      </c>
      <c r="F128" s="15">
        <f>26.3+0</f>
        <v>26.3</v>
      </c>
      <c r="G128" s="15">
        <f>88.53+0</f>
        <v>88.53</v>
      </c>
      <c r="H128" s="15">
        <f>42.57+0</f>
        <v>42.57</v>
      </c>
      <c r="I128" s="15">
        <f>24.85+0</f>
        <v>24.85</v>
      </c>
      <c r="J128" s="15">
        <f>69.87+0</f>
        <v>69.87</v>
      </c>
      <c r="K128" s="15">
        <f>65.57+0</f>
        <v>65.569999999999993</v>
      </c>
      <c r="L128" s="15">
        <f>35.28+0</f>
        <v>35.28</v>
      </c>
      <c r="M128" s="15">
        <f>0+0</f>
        <v>0</v>
      </c>
      <c r="N128" s="16"/>
      <c r="O128" s="17">
        <f t="shared" si="18"/>
        <v>526.53</v>
      </c>
    </row>
    <row r="129" spans="1:15" hidden="1" outlineLevel="2" x14ac:dyDescent="0.25">
      <c r="A129" t="str">
        <f>("66310")&amp;" - "&amp;("Admin- Sales/Use Tax")</f>
        <v>66310 - Admin- Sales/Use Tax</v>
      </c>
      <c r="B129" s="15">
        <f t="shared" ref="B129:L129" si="21">0+0</f>
        <v>0</v>
      </c>
      <c r="C129" s="15">
        <f t="shared" si="21"/>
        <v>0</v>
      </c>
      <c r="D129" s="15">
        <f t="shared" si="21"/>
        <v>0</v>
      </c>
      <c r="E129" s="15">
        <f t="shared" si="21"/>
        <v>0</v>
      </c>
      <c r="F129" s="15">
        <f t="shared" si="21"/>
        <v>0</v>
      </c>
      <c r="G129" s="15">
        <f t="shared" si="21"/>
        <v>0</v>
      </c>
      <c r="H129" s="15">
        <f t="shared" si="21"/>
        <v>0</v>
      </c>
      <c r="I129" s="15">
        <f t="shared" si="21"/>
        <v>0</v>
      </c>
      <c r="J129" s="15">
        <f t="shared" si="21"/>
        <v>0</v>
      </c>
      <c r="K129" s="15">
        <f t="shared" si="21"/>
        <v>0</v>
      </c>
      <c r="L129" s="15">
        <f t="shared" si="21"/>
        <v>0</v>
      </c>
      <c r="M129" s="15">
        <f>69.5+0</f>
        <v>69.5</v>
      </c>
      <c r="N129" s="16"/>
      <c r="O129" s="17">
        <f t="shared" si="18"/>
        <v>69.5</v>
      </c>
    </row>
    <row r="130" spans="1:15" s="4" customFormat="1" hidden="1" outlineLevel="1" x14ac:dyDescent="0.25">
      <c r="A130" s="3" t="s">
        <v>6</v>
      </c>
      <c r="B130" s="18">
        <f>SUM(OSRRefB20_0_0x_0)</f>
        <v>989.67000000000019</v>
      </c>
      <c r="C130" s="18">
        <f>SUM(OSRRefB20_0_0x_1)</f>
        <v>225.81</v>
      </c>
      <c r="D130" s="18">
        <f>SUM(OSRRefB20_0_0x_2)</f>
        <v>945.28</v>
      </c>
      <c r="E130" s="18">
        <f>SUM(OSRRefB20_0_0x_3)</f>
        <v>863.16000000000008</v>
      </c>
      <c r="F130" s="18">
        <f>SUM(OSRRefB20_0_0x_4)</f>
        <v>463.83000000000004</v>
      </c>
      <c r="G130" s="18">
        <f>SUM(OSRRefB20_0_0x_5)</f>
        <v>13001.97</v>
      </c>
      <c r="H130" s="18">
        <f>SUM(OSRRefB20_0_0x_6)</f>
        <v>1004.7700000000001</v>
      </c>
      <c r="I130" s="18">
        <f>SUM(OSRRefB20_0_0x_7)</f>
        <v>1550.3200000000002</v>
      </c>
      <c r="J130" s="18">
        <f>SUM(OSRRefB20_0_0x_8)</f>
        <v>1094.06</v>
      </c>
      <c r="K130" s="18">
        <f>SUM(OSRRefB20_0_0x_9)</f>
        <v>1650.7799999999997</v>
      </c>
      <c r="L130" s="18">
        <f>SUM(OSRRefB20_0_0x_10)</f>
        <v>335.69000000000005</v>
      </c>
      <c r="M130" s="18">
        <f>SUM(OSRRefB20_0_0x_11)</f>
        <v>190.24</v>
      </c>
      <c r="N130" s="19"/>
      <c r="O130" s="20">
        <f t="shared" si="18"/>
        <v>22315.58</v>
      </c>
    </row>
    <row r="131" spans="1:15" hidden="1" outlineLevel="2" x14ac:dyDescent="0.25">
      <c r="A131" t="str">
        <f>("64025")&amp;" - "&amp;("Facility- Office Equip. Rent")</f>
        <v>64025 - Facility- Office Equip. Rent</v>
      </c>
      <c r="B131" s="15">
        <f>480.43+0</f>
        <v>480.43</v>
      </c>
      <c r="C131" s="15">
        <f>206.19+0</f>
        <v>206.19</v>
      </c>
      <c r="D131" s="15">
        <f>35.23+0</f>
        <v>35.229999999999997</v>
      </c>
      <c r="E131" s="15">
        <f>2.35+0</f>
        <v>2.35</v>
      </c>
      <c r="F131" s="15">
        <f>629.78+0</f>
        <v>629.78</v>
      </c>
      <c r="G131" s="15">
        <f>244.52+0</f>
        <v>244.52</v>
      </c>
      <c r="H131" s="15">
        <f>211.4+0</f>
        <v>211.4</v>
      </c>
      <c r="I131" s="15">
        <f>180.39+0</f>
        <v>180.39</v>
      </c>
      <c r="J131" s="15">
        <f>265.51+0</f>
        <v>265.51</v>
      </c>
      <c r="K131" s="15">
        <f>198.8+0</f>
        <v>198.8</v>
      </c>
      <c r="L131" s="15">
        <f>42.21+0</f>
        <v>42.21</v>
      </c>
      <c r="M131" s="15">
        <f>0+0</f>
        <v>0</v>
      </c>
      <c r="N131" s="16"/>
      <c r="O131" s="17">
        <f t="shared" si="18"/>
        <v>2496.8100000000004</v>
      </c>
    </row>
    <row r="132" spans="1:15" hidden="1" outlineLevel="2" x14ac:dyDescent="0.25">
      <c r="A132" t="str">
        <f>("64050")&amp;" - "&amp;("Facility- Equip. Rent")</f>
        <v>64050 - Facility- Equip. Rent</v>
      </c>
      <c r="B132" s="15">
        <f>310.66+0</f>
        <v>310.66000000000003</v>
      </c>
      <c r="C132" s="15">
        <f>366.82+0</f>
        <v>366.82</v>
      </c>
      <c r="D132" s="15">
        <f>399.48+0</f>
        <v>399.48</v>
      </c>
      <c r="E132" s="15">
        <f>173.62+0</f>
        <v>173.62</v>
      </c>
      <c r="F132" s="15">
        <f>247.86+0</f>
        <v>247.86</v>
      </c>
      <c r="G132" s="15">
        <f>266.41+0</f>
        <v>266.41000000000003</v>
      </c>
      <c r="H132" s="15">
        <f>466.7+0</f>
        <v>466.7</v>
      </c>
      <c r="I132" s="15">
        <f>283.85+0</f>
        <v>283.85000000000002</v>
      </c>
      <c r="J132" s="15">
        <f>352.31+0</f>
        <v>352.31</v>
      </c>
      <c r="K132" s="15">
        <f>306.74+0</f>
        <v>306.74</v>
      </c>
      <c r="L132" s="15">
        <f>-45.91+0</f>
        <v>-45.91</v>
      </c>
      <c r="M132" s="15">
        <f>352.48+0</f>
        <v>352.48</v>
      </c>
      <c r="N132" s="16"/>
      <c r="O132" s="17">
        <f t="shared" si="18"/>
        <v>3481.02</v>
      </c>
    </row>
    <row r="133" spans="1:15" hidden="1" outlineLevel="2" x14ac:dyDescent="0.25">
      <c r="A133" t="str">
        <f>("64150")&amp;" - "&amp;("Facility- Equipment R&amp;M")</f>
        <v>64150 - Facility- Equipment R&amp;M</v>
      </c>
      <c r="B133" s="15">
        <f>0+0</f>
        <v>0</v>
      </c>
      <c r="C133" s="15">
        <f>0+0</f>
        <v>0</v>
      </c>
      <c r="D133" s="15">
        <f>0+0</f>
        <v>0</v>
      </c>
      <c r="E133" s="15">
        <f>0+0</f>
        <v>0</v>
      </c>
      <c r="F133" s="15">
        <f>139.64+0</f>
        <v>139.63999999999999</v>
      </c>
      <c r="G133" s="15">
        <f t="shared" ref="G133:M133" si="22">0+0</f>
        <v>0</v>
      </c>
      <c r="H133" s="15">
        <f t="shared" si="22"/>
        <v>0</v>
      </c>
      <c r="I133" s="15">
        <f t="shared" si="22"/>
        <v>0</v>
      </c>
      <c r="J133" s="15">
        <f t="shared" si="22"/>
        <v>0</v>
      </c>
      <c r="K133" s="15">
        <f t="shared" si="22"/>
        <v>0</v>
      </c>
      <c r="L133" s="15">
        <f t="shared" si="22"/>
        <v>0</v>
      </c>
      <c r="M133" s="15">
        <f t="shared" si="22"/>
        <v>0</v>
      </c>
      <c r="N133" s="16"/>
      <c r="O133" s="17">
        <f t="shared" si="18"/>
        <v>139.63999999999999</v>
      </c>
    </row>
    <row r="134" spans="1:15" hidden="1" outlineLevel="2" x14ac:dyDescent="0.25">
      <c r="A134" t="str">
        <f>("64325")&amp;" - "&amp;("Facility- Contract Services")</f>
        <v>64325 - Facility- Contract Services</v>
      </c>
      <c r="B134" s="15">
        <f>0+0</f>
        <v>0</v>
      </c>
      <c r="C134" s="15">
        <f>0+0</f>
        <v>0</v>
      </c>
      <c r="D134" s="15">
        <f>-170+0</f>
        <v>-170</v>
      </c>
      <c r="E134" s="15">
        <f>0+0</f>
        <v>0</v>
      </c>
      <c r="F134" s="15">
        <f>0+0</f>
        <v>0</v>
      </c>
      <c r="G134" s="15">
        <f>0+0</f>
        <v>0</v>
      </c>
      <c r="H134" s="15">
        <f>0+0</f>
        <v>0</v>
      </c>
      <c r="I134" s="15">
        <f>1205+0</f>
        <v>1205</v>
      </c>
      <c r="J134" s="15">
        <f>200.83+0</f>
        <v>200.83</v>
      </c>
      <c r="K134" s="15">
        <f>0+0</f>
        <v>0</v>
      </c>
      <c r="L134" s="15">
        <f>0+0</f>
        <v>0</v>
      </c>
      <c r="M134" s="15">
        <f>-200.83+0</f>
        <v>-200.83</v>
      </c>
      <c r="N134" s="16"/>
      <c r="O134" s="17">
        <f t="shared" si="18"/>
        <v>1035</v>
      </c>
    </row>
    <row r="135" spans="1:15" hidden="1" outlineLevel="2" x14ac:dyDescent="0.25">
      <c r="A135" t="str">
        <f>("64354")&amp;" - "&amp;("Facility- Mobile Device Allow")</f>
        <v>64354 - Facility- Mobile Device Allow</v>
      </c>
      <c r="B135" s="15">
        <f>120+0</f>
        <v>120</v>
      </c>
      <c r="C135" s="15">
        <f>120+0</f>
        <v>120</v>
      </c>
      <c r="D135" s="15">
        <f>120+0</f>
        <v>120</v>
      </c>
      <c r="E135" s="15">
        <f>120.01+0</f>
        <v>120.01</v>
      </c>
      <c r="F135" s="15">
        <f>120.01+0</f>
        <v>120.01</v>
      </c>
      <c r="G135" s="15">
        <f>120.02+0</f>
        <v>120.02</v>
      </c>
      <c r="H135" s="15">
        <f>120.01+0</f>
        <v>120.01</v>
      </c>
      <c r="I135" s="15">
        <f>120+0</f>
        <v>120</v>
      </c>
      <c r="J135" s="15">
        <f>180+0</f>
        <v>180</v>
      </c>
      <c r="K135" s="15">
        <f>180+0</f>
        <v>180</v>
      </c>
      <c r="L135" s="15">
        <f>180+0</f>
        <v>180</v>
      </c>
      <c r="M135" s="15">
        <f>180+0</f>
        <v>180</v>
      </c>
      <c r="N135" s="16"/>
      <c r="O135" s="17">
        <f t="shared" si="18"/>
        <v>1680.05</v>
      </c>
    </row>
    <row r="136" spans="1:15" hidden="1" outlineLevel="2" x14ac:dyDescent="0.25">
      <c r="A136" t="str">
        <f>("64375")&amp;" - "&amp;("Facility- IT Maintenance")</f>
        <v>64375 - Facility- IT Maintenance</v>
      </c>
      <c r="B136" s="15">
        <f t="shared" ref="B136:K136" si="23">0+0</f>
        <v>0</v>
      </c>
      <c r="C136" s="15">
        <f t="shared" si="23"/>
        <v>0</v>
      </c>
      <c r="D136" s="15">
        <f t="shared" si="23"/>
        <v>0</v>
      </c>
      <c r="E136" s="15">
        <f t="shared" si="23"/>
        <v>0</v>
      </c>
      <c r="F136" s="15">
        <f t="shared" si="23"/>
        <v>0</v>
      </c>
      <c r="G136" s="15">
        <f t="shared" si="23"/>
        <v>0</v>
      </c>
      <c r="H136" s="15">
        <f t="shared" si="23"/>
        <v>0</v>
      </c>
      <c r="I136" s="15">
        <f t="shared" si="23"/>
        <v>0</v>
      </c>
      <c r="J136" s="15">
        <f t="shared" si="23"/>
        <v>0</v>
      </c>
      <c r="K136" s="15">
        <f t="shared" si="23"/>
        <v>0</v>
      </c>
      <c r="L136" s="15">
        <f>102.16+0</f>
        <v>102.16</v>
      </c>
      <c r="M136" s="15">
        <f>430.6+0</f>
        <v>430.6</v>
      </c>
      <c r="N136" s="16"/>
      <c r="O136" s="17">
        <f t="shared" si="18"/>
        <v>532.76</v>
      </c>
    </row>
    <row r="137" spans="1:15" s="4" customFormat="1" hidden="1" outlineLevel="1" x14ac:dyDescent="0.25">
      <c r="A137" s="3" t="s">
        <v>5</v>
      </c>
      <c r="B137" s="18">
        <f>SUM(OSRRefB20_0_1x_0)</f>
        <v>911.09</v>
      </c>
      <c r="C137" s="18">
        <f>SUM(OSRRefB20_0_1x_1)</f>
        <v>693.01</v>
      </c>
      <c r="D137" s="18">
        <f>SUM(OSRRefB20_0_1x_2)</f>
        <v>384.71000000000004</v>
      </c>
      <c r="E137" s="18">
        <f>SUM(OSRRefB20_0_1x_3)</f>
        <v>295.98</v>
      </c>
      <c r="F137" s="18">
        <f>SUM(OSRRefB20_0_1x_4)</f>
        <v>1137.29</v>
      </c>
      <c r="G137" s="18">
        <f>SUM(OSRRefB20_0_1x_5)</f>
        <v>630.95000000000005</v>
      </c>
      <c r="H137" s="18">
        <f>SUM(OSRRefB20_0_1x_6)</f>
        <v>798.11</v>
      </c>
      <c r="I137" s="18">
        <f>SUM(OSRRefB20_0_1x_7)</f>
        <v>1789.24</v>
      </c>
      <c r="J137" s="18">
        <f>SUM(OSRRefB20_0_1x_8)</f>
        <v>998.65</v>
      </c>
      <c r="K137" s="18">
        <f>SUM(OSRRefB20_0_1x_9)</f>
        <v>685.54</v>
      </c>
      <c r="L137" s="18">
        <f>SUM(OSRRefB20_0_1x_10)</f>
        <v>278.46000000000004</v>
      </c>
      <c r="M137" s="18">
        <f>SUM(OSRRefB20_0_1x_11)</f>
        <v>762.25</v>
      </c>
      <c r="N137" s="19"/>
      <c r="O137" s="20">
        <f t="shared" si="18"/>
        <v>9365.2799999999988</v>
      </c>
    </row>
    <row r="138" spans="1:15" hidden="1" outlineLevel="2" x14ac:dyDescent="0.25">
      <c r="A138" t="str">
        <f>("64500")&amp;" - "&amp;("Operating- Communication")</f>
        <v>64500 - Operating- Communication</v>
      </c>
      <c r="B138" s="15">
        <f t="shared" ref="B138:H138" si="24">0+0</f>
        <v>0</v>
      </c>
      <c r="C138" s="15">
        <f t="shared" si="24"/>
        <v>0</v>
      </c>
      <c r="D138" s="15">
        <f t="shared" si="24"/>
        <v>0</v>
      </c>
      <c r="E138" s="15">
        <f t="shared" si="24"/>
        <v>0</v>
      </c>
      <c r="F138" s="15">
        <f t="shared" si="24"/>
        <v>0</v>
      </c>
      <c r="G138" s="15">
        <f t="shared" si="24"/>
        <v>0</v>
      </c>
      <c r="H138" s="15">
        <f t="shared" si="24"/>
        <v>0</v>
      </c>
      <c r="I138" s="15">
        <f>325.2+0</f>
        <v>325.2</v>
      </c>
      <c r="J138" s="15">
        <f>11.61+0</f>
        <v>11.61</v>
      </c>
      <c r="K138" s="15">
        <f>36.2+0</f>
        <v>36.200000000000003</v>
      </c>
      <c r="L138" s="15">
        <f>-54.92+0</f>
        <v>-54.92</v>
      </c>
      <c r="M138" s="15">
        <f>0+0</f>
        <v>0</v>
      </c>
      <c r="N138" s="16"/>
      <c r="O138" s="17">
        <f t="shared" si="18"/>
        <v>318.08999999999997</v>
      </c>
    </row>
    <row r="139" spans="1:15" hidden="1" outlineLevel="2" x14ac:dyDescent="0.25">
      <c r="A139" t="str">
        <f>("64550")&amp;" - "&amp;("Operating- Equipment")</f>
        <v>64550 - Operating- Equipment</v>
      </c>
      <c r="B139" s="15">
        <f>0+0</f>
        <v>0</v>
      </c>
      <c r="C139" s="15">
        <f>0+0</f>
        <v>0</v>
      </c>
      <c r="D139" s="15">
        <f>364.85+0</f>
        <v>364.85</v>
      </c>
      <c r="E139" s="15">
        <f>6.53+0</f>
        <v>6.53</v>
      </c>
      <c r="F139" s="15">
        <f>1.12+0</f>
        <v>1.1200000000000001</v>
      </c>
      <c r="G139" s="15">
        <f>-16.62+0</f>
        <v>-16.62</v>
      </c>
      <c r="H139" s="15">
        <f>19.3+0</f>
        <v>19.3</v>
      </c>
      <c r="I139" s="15">
        <f>-27.62+0</f>
        <v>-27.62</v>
      </c>
      <c r="J139" s="15">
        <f>12.42+0</f>
        <v>12.42</v>
      </c>
      <c r="K139" s="15">
        <f>38.68+0</f>
        <v>38.68</v>
      </c>
      <c r="L139" s="15">
        <f>-58.69+0</f>
        <v>-58.69</v>
      </c>
      <c r="M139" s="15">
        <f>0+0</f>
        <v>0</v>
      </c>
      <c r="N139" s="16"/>
      <c r="O139" s="17">
        <f t="shared" si="18"/>
        <v>339.97</v>
      </c>
    </row>
    <row r="140" spans="1:15" hidden="1" outlineLevel="2" x14ac:dyDescent="0.25">
      <c r="A140" t="str">
        <f>("64750")&amp;" - "&amp;("Operating- Other")</f>
        <v>64750 - Operating- Other</v>
      </c>
      <c r="B140" s="15">
        <f>1520.94+0</f>
        <v>1520.94</v>
      </c>
      <c r="C140" s="15">
        <f>4579.18+0</f>
        <v>4579.18</v>
      </c>
      <c r="D140" s="15">
        <f>1857.46+0</f>
        <v>1857.46</v>
      </c>
      <c r="E140" s="15">
        <f>5434.55+0</f>
        <v>5434.55</v>
      </c>
      <c r="F140" s="15">
        <f>-5599.3+0</f>
        <v>-5599.3</v>
      </c>
      <c r="G140" s="15">
        <f>1595.9+0</f>
        <v>1595.9</v>
      </c>
      <c r="H140" s="15">
        <f>1644.33+0</f>
        <v>1644.33</v>
      </c>
      <c r="I140" s="15">
        <f>1555.67+0</f>
        <v>1555.67</v>
      </c>
      <c r="J140" s="15">
        <f>1600+0</f>
        <v>1600</v>
      </c>
      <c r="K140" s="15">
        <f>2966.54+0</f>
        <v>2966.54</v>
      </c>
      <c r="L140" s="15">
        <f>233.46+0</f>
        <v>233.46</v>
      </c>
      <c r="M140" s="15">
        <f>0+0</f>
        <v>0</v>
      </c>
      <c r="N140" s="16"/>
      <c r="O140" s="17">
        <f t="shared" si="18"/>
        <v>17388.73</v>
      </c>
    </row>
    <row r="141" spans="1:15" s="4" customFormat="1" hidden="1" outlineLevel="1" x14ac:dyDescent="0.25">
      <c r="A141" s="3" t="s">
        <v>4</v>
      </c>
      <c r="B141" s="18">
        <f>SUM(OSRRefB20_0_2x_0)</f>
        <v>1520.94</v>
      </c>
      <c r="C141" s="18">
        <f>SUM(OSRRefB20_0_2x_1)</f>
        <v>4579.18</v>
      </c>
      <c r="D141" s="18">
        <f>SUM(OSRRefB20_0_2x_2)</f>
        <v>2222.31</v>
      </c>
      <c r="E141" s="18">
        <f>SUM(OSRRefB20_0_2x_3)</f>
        <v>5441.08</v>
      </c>
      <c r="F141" s="18">
        <f>SUM(OSRRefB20_0_2x_4)</f>
        <v>-5598.18</v>
      </c>
      <c r="G141" s="18">
        <f>SUM(OSRRefB20_0_2x_5)</f>
        <v>1579.2800000000002</v>
      </c>
      <c r="H141" s="18">
        <f>SUM(OSRRefB20_0_2x_6)</f>
        <v>1663.6299999999999</v>
      </c>
      <c r="I141" s="18">
        <f>SUM(OSRRefB20_0_2x_7)</f>
        <v>1853.25</v>
      </c>
      <c r="J141" s="18">
        <f>SUM(OSRRefB20_0_2x_8)</f>
        <v>1624.03</v>
      </c>
      <c r="K141" s="18">
        <f>SUM(OSRRefB20_0_2x_9)</f>
        <v>3041.42</v>
      </c>
      <c r="L141" s="18">
        <f>SUM(OSRRefB20_0_2x_10)</f>
        <v>119.85000000000001</v>
      </c>
      <c r="M141" s="18">
        <f>SUM(OSRRefB20_0_2x_11)</f>
        <v>0</v>
      </c>
      <c r="N141" s="19"/>
      <c r="O141" s="20">
        <f t="shared" si="18"/>
        <v>18046.79</v>
      </c>
    </row>
    <row r="142" spans="1:15" s="3" customFormat="1" collapsed="1" x14ac:dyDescent="0.25">
      <c r="A142" s="3" t="str">
        <f>"Total "&amp;TRIM(MID("2L.Other Expenses",4,125))</f>
        <v>Total Other Expenses</v>
      </c>
      <c r="B142" s="12">
        <f>SUM(OSRRefB21_0x_0)</f>
        <v>3421.7000000000003</v>
      </c>
      <c r="C142" s="12">
        <f>SUM(OSRRefB21_0x_1)</f>
        <v>5498</v>
      </c>
      <c r="D142" s="12">
        <f>SUM(OSRRefB21_0x_2)</f>
        <v>3552.3</v>
      </c>
      <c r="E142" s="12">
        <f>SUM(OSRRefB21_0x_3)</f>
        <v>6600.22</v>
      </c>
      <c r="F142" s="12">
        <f>SUM(OSRRefB21_0x_4)</f>
        <v>-3997.0600000000004</v>
      </c>
      <c r="G142" s="12">
        <f>SUM(OSRRefB21_0x_5)</f>
        <v>15212.2</v>
      </c>
      <c r="H142" s="12">
        <f>SUM(OSRRefB21_0x_6)</f>
        <v>3466.51</v>
      </c>
      <c r="I142" s="12">
        <f>SUM(OSRRefB21_0x_7)</f>
        <v>5192.8100000000004</v>
      </c>
      <c r="J142" s="12">
        <f>SUM(OSRRefB21_0x_8)</f>
        <v>3716.74</v>
      </c>
      <c r="K142" s="12">
        <f>SUM(OSRRefB21_0x_9)</f>
        <v>5377.74</v>
      </c>
      <c r="L142" s="12">
        <f>SUM(OSRRefB21_0x_10)</f>
        <v>734.00000000000011</v>
      </c>
      <c r="M142" s="12">
        <f>SUM(OSRRefB21_0x_11)</f>
        <v>952.49</v>
      </c>
      <c r="N142" s="13"/>
      <c r="O142" s="14">
        <f t="shared" si="18"/>
        <v>49727.649999999994</v>
      </c>
    </row>
    <row r="143" spans="1:15" x14ac:dyDescent="0.25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6"/>
      <c r="O143" s="17"/>
    </row>
    <row r="144" spans="1:15" x14ac:dyDescent="0.25">
      <c r="A144" s="3" t="s">
        <v>3</v>
      </c>
      <c r="B144" s="21">
        <f>SUM(OSRRefB22x_0)+SUM(OSRRefB17x_0)+SUM(OSRRefB8x_0)</f>
        <v>395395.11000000004</v>
      </c>
      <c r="C144" s="21">
        <f>SUM(OSRRefB22x_1)+SUM(OSRRefB17x_1)+SUM(OSRRefB8x_1)</f>
        <v>316190.45</v>
      </c>
      <c r="D144" s="21">
        <f>SUM(OSRRefB22x_2)+SUM(OSRRefB17x_2)+SUM(OSRRefB8x_2)</f>
        <v>347950.87999999995</v>
      </c>
      <c r="E144" s="21">
        <f>SUM(OSRRefB22x_3)+SUM(OSRRefB17x_3)+SUM(OSRRefB8x_3)</f>
        <v>295565.91000000003</v>
      </c>
      <c r="F144" s="21">
        <f>SUM(OSRRefB22x_4)+SUM(OSRRefB17x_4)+SUM(OSRRefB8x_4)</f>
        <v>355104.67000000004</v>
      </c>
      <c r="G144" s="21">
        <f>SUM(OSRRefB22x_5)+SUM(OSRRefB17x_5)+SUM(OSRRefB8x_5)</f>
        <v>477864.84</v>
      </c>
      <c r="H144" s="21">
        <f>SUM(OSRRefB22x_6)+SUM(OSRRefB17x_6)+SUM(OSRRefB8x_6)</f>
        <v>423596.63</v>
      </c>
      <c r="I144" s="21">
        <f>SUM(OSRRefB22x_7)+SUM(OSRRefB17x_7)+SUM(OSRRefB8x_7)</f>
        <v>401824.77</v>
      </c>
      <c r="J144" s="21">
        <f>SUM(OSRRefB22x_8)+SUM(OSRRefB17x_8)+SUM(OSRRefB8x_8)</f>
        <v>400047.17</v>
      </c>
      <c r="K144" s="21">
        <f>SUM(OSRRefB22x_9)+SUM(OSRRefB17x_9)+SUM(OSRRefB8x_9)</f>
        <v>451518.93</v>
      </c>
      <c r="L144" s="21">
        <f>SUM(OSRRefB22x_10)+SUM(OSRRefB17x_10)+SUM(OSRRefB8x_10)</f>
        <v>490773.17999999993</v>
      </c>
      <c r="M144" s="21">
        <f>SUM(OSRRefB22x_11)+SUM(OSRRefB17x_11)+SUM(OSRRefB8x_11)</f>
        <v>481080.05</v>
      </c>
      <c r="N144" s="16"/>
      <c r="O144" s="22">
        <f>SUM(B144:N144)</f>
        <v>4836912.59</v>
      </c>
    </row>
    <row r="145" spans="1:15" x14ac:dyDescent="0.25">
      <c r="A145" s="3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16"/>
      <c r="O145" s="22"/>
    </row>
    <row r="146" spans="1:15" hidden="1" outlineLevel="1" x14ac:dyDescent="0.25">
      <c r="A146" s="3" t="str">
        <f>TRIM(MID("3A.Adjustments",4,125))</f>
        <v>Adjustments</v>
      </c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6"/>
      <c r="O146" s="17"/>
    </row>
    <row r="147" spans="1:15" hidden="1" outlineLevel="2" x14ac:dyDescent="0.25">
      <c r="A147" t="str">
        <f>("93000")&amp;" - "&amp;("Depreciation Expense")</f>
        <v>93000 - Depreciation Expense</v>
      </c>
      <c r="B147" s="15">
        <f>191.36+0</f>
        <v>191.36</v>
      </c>
      <c r="C147" s="15">
        <f>191.36+0</f>
        <v>191.36</v>
      </c>
      <c r="D147" s="15">
        <f>191.68+0</f>
        <v>191.68</v>
      </c>
      <c r="E147" s="15">
        <f>194.93+0</f>
        <v>194.93</v>
      </c>
      <c r="F147" s="15">
        <f>1047.34+0</f>
        <v>1047.3399999999999</v>
      </c>
      <c r="G147" s="15">
        <f>73.34+0</f>
        <v>73.34</v>
      </c>
      <c r="H147" s="15">
        <f>350.66+0</f>
        <v>350.66</v>
      </c>
      <c r="I147" s="15">
        <f>562.73+0</f>
        <v>562.73</v>
      </c>
      <c r="J147" s="15">
        <f>562.73+0</f>
        <v>562.73</v>
      </c>
      <c r="K147" s="15">
        <f>562.73+0</f>
        <v>562.73</v>
      </c>
      <c r="L147" s="15">
        <f>562.73+0</f>
        <v>562.73</v>
      </c>
      <c r="M147" s="15">
        <f>592.95+0</f>
        <v>592.95000000000005</v>
      </c>
      <c r="N147" s="16"/>
      <c r="O147" s="17">
        <f>SUM(B147:N147)</f>
        <v>5084.54</v>
      </c>
    </row>
    <row r="148" spans="1:15" s="4" customFormat="1" hidden="1" outlineLevel="1" x14ac:dyDescent="0.25">
      <c r="A148" s="3" t="s">
        <v>2</v>
      </c>
      <c r="B148" s="18">
        <f>SUM(OSRRefB27_0_0x_0)</f>
        <v>191.36</v>
      </c>
      <c r="C148" s="18">
        <f>SUM(OSRRefB27_0_0x_1)</f>
        <v>191.36</v>
      </c>
      <c r="D148" s="18">
        <f>SUM(OSRRefB27_0_0x_2)</f>
        <v>191.68</v>
      </c>
      <c r="E148" s="18">
        <f>SUM(OSRRefB27_0_0x_3)</f>
        <v>194.93</v>
      </c>
      <c r="F148" s="18">
        <f>SUM(OSRRefB27_0_0x_4)</f>
        <v>1047.3399999999999</v>
      </c>
      <c r="G148" s="18">
        <f>SUM(OSRRefB27_0_0x_5)</f>
        <v>73.34</v>
      </c>
      <c r="H148" s="18">
        <f>SUM(OSRRefB27_0_0x_6)</f>
        <v>350.66</v>
      </c>
      <c r="I148" s="18">
        <f>SUM(OSRRefB27_0_0x_7)</f>
        <v>562.73</v>
      </c>
      <c r="J148" s="18">
        <f>SUM(OSRRefB27_0_0x_8)</f>
        <v>562.73</v>
      </c>
      <c r="K148" s="18">
        <f>SUM(OSRRefB27_0_0x_9)</f>
        <v>562.73</v>
      </c>
      <c r="L148" s="18">
        <f>SUM(OSRRefB27_0_0x_10)</f>
        <v>562.73</v>
      </c>
      <c r="M148" s="18">
        <f>SUM(OSRRefB27_0_0x_11)</f>
        <v>592.95000000000005</v>
      </c>
      <c r="N148" s="19"/>
      <c r="O148" s="20">
        <f>SUM(B148:N148)</f>
        <v>5084.54</v>
      </c>
    </row>
    <row r="149" spans="1:15" s="3" customFormat="1" collapsed="1" x14ac:dyDescent="0.25">
      <c r="A149" s="3" t="str">
        <f>"Total "&amp;TRIM(MID("3A.Adjustments",4,125))</f>
        <v>Total Adjustments</v>
      </c>
      <c r="B149" s="12">
        <f>SUM(OSRRefB28_0x_0)</f>
        <v>191.36</v>
      </c>
      <c r="C149" s="12">
        <f>SUM(OSRRefB28_0x_1)</f>
        <v>191.36</v>
      </c>
      <c r="D149" s="12">
        <f>SUM(OSRRefB28_0x_2)</f>
        <v>191.68</v>
      </c>
      <c r="E149" s="12">
        <f>SUM(OSRRefB28_0x_3)</f>
        <v>194.93</v>
      </c>
      <c r="F149" s="12">
        <f>SUM(OSRRefB28_0x_4)</f>
        <v>1047.3399999999999</v>
      </c>
      <c r="G149" s="12">
        <f>SUM(OSRRefB28_0x_5)</f>
        <v>73.34</v>
      </c>
      <c r="H149" s="12">
        <f>SUM(OSRRefB28_0x_6)</f>
        <v>350.66</v>
      </c>
      <c r="I149" s="12">
        <f>SUM(OSRRefB28_0x_7)</f>
        <v>562.73</v>
      </c>
      <c r="J149" s="12">
        <f>SUM(OSRRefB28_0x_8)</f>
        <v>562.73</v>
      </c>
      <c r="K149" s="12">
        <f>SUM(OSRRefB28_0x_9)</f>
        <v>562.73</v>
      </c>
      <c r="L149" s="12">
        <f>SUM(OSRRefB28_0x_10)</f>
        <v>562.73</v>
      </c>
      <c r="M149" s="12">
        <f>SUM(OSRRefB28_0x_11)</f>
        <v>592.95000000000005</v>
      </c>
      <c r="N149" s="13"/>
      <c r="O149" s="14">
        <f>SUM(B149:N149)</f>
        <v>5084.54</v>
      </c>
    </row>
    <row r="150" spans="1:15" x14ac:dyDescent="0.25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6"/>
      <c r="O150" s="17"/>
    </row>
    <row r="151" spans="1:15" x14ac:dyDescent="0.25">
      <c r="A151" s="3" t="s">
        <v>1</v>
      </c>
      <c r="B151" s="15">
        <f>--46897+0</f>
        <v>46897</v>
      </c>
      <c r="C151" s="15">
        <f>--78919+0</f>
        <v>78919</v>
      </c>
      <c r="D151" s="15">
        <f t="shared" ref="D151:M151" si="25">--62908+0</f>
        <v>62908</v>
      </c>
      <c r="E151" s="15">
        <f t="shared" si="25"/>
        <v>62908</v>
      </c>
      <c r="F151" s="15">
        <f t="shared" si="25"/>
        <v>62908</v>
      </c>
      <c r="G151" s="15">
        <f t="shared" si="25"/>
        <v>62908</v>
      </c>
      <c r="H151" s="15">
        <f t="shared" si="25"/>
        <v>62908</v>
      </c>
      <c r="I151" s="15">
        <f t="shared" si="25"/>
        <v>62908</v>
      </c>
      <c r="J151" s="15">
        <f t="shared" si="25"/>
        <v>62908</v>
      </c>
      <c r="K151" s="15">
        <f t="shared" si="25"/>
        <v>62908</v>
      </c>
      <c r="L151" s="15">
        <f t="shared" si="25"/>
        <v>62908</v>
      </c>
      <c r="M151" s="15">
        <f t="shared" si="25"/>
        <v>62908</v>
      </c>
      <c r="N151" s="16"/>
      <c r="O151" s="17">
        <f>SUM(B151:N151)</f>
        <v>754896</v>
      </c>
    </row>
    <row r="152" spans="1:15" x14ac:dyDescent="0.25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6"/>
      <c r="O152" s="17"/>
    </row>
    <row r="153" spans="1:15" ht="15.75" thickBot="1" x14ac:dyDescent="0.3">
      <c r="A153" s="2" t="s">
        <v>0</v>
      </c>
      <c r="B153" s="23">
        <f t="shared" ref="B153:N153" si="26">IFERROR(B151+B149+B144,B144)</f>
        <v>442483.47000000003</v>
      </c>
      <c r="C153" s="23">
        <f t="shared" si="26"/>
        <v>395300.81</v>
      </c>
      <c r="D153" s="23">
        <f t="shared" si="26"/>
        <v>411050.55999999994</v>
      </c>
      <c r="E153" s="23">
        <f t="shared" si="26"/>
        <v>358668.84</v>
      </c>
      <c r="F153" s="23">
        <f t="shared" si="26"/>
        <v>419060.01</v>
      </c>
      <c r="G153" s="23">
        <f t="shared" si="26"/>
        <v>540846.18000000005</v>
      </c>
      <c r="H153" s="23">
        <f t="shared" si="26"/>
        <v>486855.29000000004</v>
      </c>
      <c r="I153" s="23">
        <f t="shared" si="26"/>
        <v>465295.5</v>
      </c>
      <c r="J153" s="23">
        <f t="shared" si="26"/>
        <v>463517.89999999997</v>
      </c>
      <c r="K153" s="23">
        <f t="shared" si="26"/>
        <v>514989.66</v>
      </c>
      <c r="L153" s="23">
        <f t="shared" si="26"/>
        <v>554243.90999999992</v>
      </c>
      <c r="M153" s="23">
        <f t="shared" si="26"/>
        <v>544581</v>
      </c>
      <c r="N153" s="24">
        <f t="shared" si="26"/>
        <v>0</v>
      </c>
      <c r="O153" s="24">
        <f>IFERROR(O151+O149+O144,O144)</f>
        <v>5596893.1299999999</v>
      </c>
    </row>
    <row r="154" spans="1:15" ht="15.75" thickTop="1" x14ac:dyDescent="0.25"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6"/>
      <c r="O154" s="17"/>
    </row>
  </sheetData>
  <mergeCells count="1">
    <mergeCell ref="B3:N3"/>
  </mergeCells>
  <printOptions horizontalCentered="1"/>
  <pageMargins left="0.25" right="0.25" top="0.75" bottom="0.75" header="0.3" footer="0.3"/>
  <pageSetup scale="52" orientation="landscape" r:id="rId1"/>
  <headerFooter>
    <oddFooter>&amp;R&amp;F</oddFooter>
  </headerFooter>
  <customProperties>
    <customPr name="DrilldownID" r:id="rId2"/>
    <customPr name="OSR_KEY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384</vt:i4>
      </vt:variant>
    </vt:vector>
  </HeadingPairs>
  <TitlesOfParts>
    <vt:vector size="385" baseType="lpstr">
      <vt:lpstr>Fort Bend, TX</vt:lpstr>
      <vt:lpstr>'Fort Bend, TX'!OSRRefB13_0_0x_0</vt:lpstr>
      <vt:lpstr>'Fort Bend, TX'!OSRRefB13_0_0x_1</vt:lpstr>
      <vt:lpstr>'Fort Bend, TX'!OSRRefB13_0_0x_10</vt:lpstr>
      <vt:lpstr>'Fort Bend, TX'!OSRRefB13_0_0x_11</vt:lpstr>
      <vt:lpstr>'Fort Bend, TX'!OSRRefB13_0_0x_2</vt:lpstr>
      <vt:lpstr>'Fort Bend, TX'!OSRRefB13_0_0x_3</vt:lpstr>
      <vt:lpstr>'Fort Bend, TX'!OSRRefB13_0_0x_4</vt:lpstr>
      <vt:lpstr>'Fort Bend, TX'!OSRRefB13_0_0x_5</vt:lpstr>
      <vt:lpstr>'Fort Bend, TX'!OSRRefB13_0_0x_6</vt:lpstr>
      <vt:lpstr>'Fort Bend, TX'!OSRRefB13_0_0x_7</vt:lpstr>
      <vt:lpstr>'Fort Bend, TX'!OSRRefB13_0_0x_8</vt:lpstr>
      <vt:lpstr>'Fort Bend, TX'!OSRRefB13_0_0x_9</vt:lpstr>
      <vt:lpstr>'Fort Bend, TX'!OSRRefB13_1_0x_0</vt:lpstr>
      <vt:lpstr>'Fort Bend, TX'!OSRRefB13_1_0x_1</vt:lpstr>
      <vt:lpstr>'Fort Bend, TX'!OSRRefB13_1_0x_10</vt:lpstr>
      <vt:lpstr>'Fort Bend, TX'!OSRRefB13_1_0x_11</vt:lpstr>
      <vt:lpstr>'Fort Bend, TX'!OSRRefB13_1_0x_2</vt:lpstr>
      <vt:lpstr>'Fort Bend, TX'!OSRRefB13_1_0x_3</vt:lpstr>
      <vt:lpstr>'Fort Bend, TX'!OSRRefB13_1_0x_4</vt:lpstr>
      <vt:lpstr>'Fort Bend, TX'!OSRRefB13_1_0x_5</vt:lpstr>
      <vt:lpstr>'Fort Bend, TX'!OSRRefB13_1_0x_6</vt:lpstr>
      <vt:lpstr>'Fort Bend, TX'!OSRRefB13_1_0x_7</vt:lpstr>
      <vt:lpstr>'Fort Bend, TX'!OSRRefB13_1_0x_8</vt:lpstr>
      <vt:lpstr>'Fort Bend, TX'!OSRRefB13_1_0x_9</vt:lpstr>
      <vt:lpstr>'Fort Bend, TX'!OSRRefB13_1_1x_0</vt:lpstr>
      <vt:lpstr>'Fort Bend, TX'!OSRRefB13_1_1x_1</vt:lpstr>
      <vt:lpstr>'Fort Bend, TX'!OSRRefB13_1_1x_10</vt:lpstr>
      <vt:lpstr>'Fort Bend, TX'!OSRRefB13_1_1x_11</vt:lpstr>
      <vt:lpstr>'Fort Bend, TX'!OSRRefB13_1_1x_2</vt:lpstr>
      <vt:lpstr>'Fort Bend, TX'!OSRRefB13_1_1x_3</vt:lpstr>
      <vt:lpstr>'Fort Bend, TX'!OSRRefB13_1_1x_4</vt:lpstr>
      <vt:lpstr>'Fort Bend, TX'!OSRRefB13_1_1x_5</vt:lpstr>
      <vt:lpstr>'Fort Bend, TX'!OSRRefB13_1_1x_6</vt:lpstr>
      <vt:lpstr>'Fort Bend, TX'!OSRRefB13_1_1x_7</vt:lpstr>
      <vt:lpstr>'Fort Bend, TX'!OSRRefB13_1_1x_8</vt:lpstr>
      <vt:lpstr>'Fort Bend, TX'!OSRRefB13_1_1x_9</vt:lpstr>
      <vt:lpstr>'Fort Bend, TX'!OSRRefB13_2_0x_0</vt:lpstr>
      <vt:lpstr>'Fort Bend, TX'!OSRRefB13_2_0x_1</vt:lpstr>
      <vt:lpstr>'Fort Bend, TX'!OSRRefB13_2_0x_10</vt:lpstr>
      <vt:lpstr>'Fort Bend, TX'!OSRRefB13_2_0x_11</vt:lpstr>
      <vt:lpstr>'Fort Bend, TX'!OSRRefB13_2_0x_2</vt:lpstr>
      <vt:lpstr>'Fort Bend, TX'!OSRRefB13_2_0x_3</vt:lpstr>
      <vt:lpstr>'Fort Bend, TX'!OSRRefB13_2_0x_4</vt:lpstr>
      <vt:lpstr>'Fort Bend, TX'!OSRRefB13_2_0x_5</vt:lpstr>
      <vt:lpstr>'Fort Bend, TX'!OSRRefB13_2_0x_6</vt:lpstr>
      <vt:lpstr>'Fort Bend, TX'!OSRRefB13_2_0x_7</vt:lpstr>
      <vt:lpstr>'Fort Bend, TX'!OSRRefB13_2_0x_8</vt:lpstr>
      <vt:lpstr>'Fort Bend, TX'!OSRRefB13_2_0x_9</vt:lpstr>
      <vt:lpstr>'Fort Bend, TX'!OSRRefB13_3_0x_0</vt:lpstr>
      <vt:lpstr>'Fort Bend, TX'!OSRRefB13_3_0x_1</vt:lpstr>
      <vt:lpstr>'Fort Bend, TX'!OSRRefB13_3_0x_10</vt:lpstr>
      <vt:lpstr>'Fort Bend, TX'!OSRRefB13_3_0x_11</vt:lpstr>
      <vt:lpstr>'Fort Bend, TX'!OSRRefB13_3_0x_2</vt:lpstr>
      <vt:lpstr>'Fort Bend, TX'!OSRRefB13_3_0x_3</vt:lpstr>
      <vt:lpstr>'Fort Bend, TX'!OSRRefB13_3_0x_4</vt:lpstr>
      <vt:lpstr>'Fort Bend, TX'!OSRRefB13_3_0x_5</vt:lpstr>
      <vt:lpstr>'Fort Bend, TX'!OSRRefB13_3_0x_6</vt:lpstr>
      <vt:lpstr>'Fort Bend, TX'!OSRRefB13_3_0x_7</vt:lpstr>
      <vt:lpstr>'Fort Bend, TX'!OSRRefB13_3_0x_8</vt:lpstr>
      <vt:lpstr>'Fort Bend, TX'!OSRRefB13_3_0x_9</vt:lpstr>
      <vt:lpstr>'Fort Bend, TX'!OSRRefB14_0x_0</vt:lpstr>
      <vt:lpstr>'Fort Bend, TX'!OSRRefB14_0x_1</vt:lpstr>
      <vt:lpstr>'Fort Bend, TX'!OSRRefB14_0x_10</vt:lpstr>
      <vt:lpstr>'Fort Bend, TX'!OSRRefB14_0x_11</vt:lpstr>
      <vt:lpstr>'Fort Bend, TX'!OSRRefB14_0x_2</vt:lpstr>
      <vt:lpstr>'Fort Bend, TX'!OSRRefB14_0x_3</vt:lpstr>
      <vt:lpstr>'Fort Bend, TX'!OSRRefB14_0x_4</vt:lpstr>
      <vt:lpstr>'Fort Bend, TX'!OSRRefB14_0x_5</vt:lpstr>
      <vt:lpstr>'Fort Bend, TX'!OSRRefB14_0x_6</vt:lpstr>
      <vt:lpstr>'Fort Bend, TX'!OSRRefB14_0x_7</vt:lpstr>
      <vt:lpstr>'Fort Bend, TX'!OSRRefB14_0x_8</vt:lpstr>
      <vt:lpstr>'Fort Bend, TX'!OSRRefB14_0x_9</vt:lpstr>
      <vt:lpstr>'Fort Bend, TX'!OSRRefB14_1x_0</vt:lpstr>
      <vt:lpstr>'Fort Bend, TX'!OSRRefB14_1x_1</vt:lpstr>
      <vt:lpstr>'Fort Bend, TX'!OSRRefB14_1x_10</vt:lpstr>
      <vt:lpstr>'Fort Bend, TX'!OSRRefB14_1x_11</vt:lpstr>
      <vt:lpstr>'Fort Bend, TX'!OSRRefB14_1x_2</vt:lpstr>
      <vt:lpstr>'Fort Bend, TX'!OSRRefB14_1x_3</vt:lpstr>
      <vt:lpstr>'Fort Bend, TX'!OSRRefB14_1x_4</vt:lpstr>
      <vt:lpstr>'Fort Bend, TX'!OSRRefB14_1x_5</vt:lpstr>
      <vt:lpstr>'Fort Bend, TX'!OSRRefB14_1x_6</vt:lpstr>
      <vt:lpstr>'Fort Bend, TX'!OSRRefB14_1x_7</vt:lpstr>
      <vt:lpstr>'Fort Bend, TX'!OSRRefB14_1x_8</vt:lpstr>
      <vt:lpstr>'Fort Bend, TX'!OSRRefB14_1x_9</vt:lpstr>
      <vt:lpstr>'Fort Bend, TX'!OSRRefB14_2x_0</vt:lpstr>
      <vt:lpstr>'Fort Bend, TX'!OSRRefB14_2x_1</vt:lpstr>
      <vt:lpstr>'Fort Bend, TX'!OSRRefB14_2x_10</vt:lpstr>
      <vt:lpstr>'Fort Bend, TX'!OSRRefB14_2x_11</vt:lpstr>
      <vt:lpstr>'Fort Bend, TX'!OSRRefB14_2x_2</vt:lpstr>
      <vt:lpstr>'Fort Bend, TX'!OSRRefB14_2x_3</vt:lpstr>
      <vt:lpstr>'Fort Bend, TX'!OSRRefB14_2x_4</vt:lpstr>
      <vt:lpstr>'Fort Bend, TX'!OSRRefB14_2x_5</vt:lpstr>
      <vt:lpstr>'Fort Bend, TX'!OSRRefB14_2x_6</vt:lpstr>
      <vt:lpstr>'Fort Bend, TX'!OSRRefB14_2x_7</vt:lpstr>
      <vt:lpstr>'Fort Bend, TX'!OSRRefB14_2x_8</vt:lpstr>
      <vt:lpstr>'Fort Bend, TX'!OSRRefB14_2x_9</vt:lpstr>
      <vt:lpstr>'Fort Bend, TX'!OSRRefB14_3x_0</vt:lpstr>
      <vt:lpstr>'Fort Bend, TX'!OSRRefB14_3x_1</vt:lpstr>
      <vt:lpstr>'Fort Bend, TX'!OSRRefB14_3x_10</vt:lpstr>
      <vt:lpstr>'Fort Bend, TX'!OSRRefB14_3x_11</vt:lpstr>
      <vt:lpstr>'Fort Bend, TX'!OSRRefB14_3x_2</vt:lpstr>
      <vt:lpstr>'Fort Bend, TX'!OSRRefB14_3x_3</vt:lpstr>
      <vt:lpstr>'Fort Bend, TX'!OSRRefB14_3x_4</vt:lpstr>
      <vt:lpstr>'Fort Bend, TX'!OSRRefB14_3x_5</vt:lpstr>
      <vt:lpstr>'Fort Bend, TX'!OSRRefB14_3x_6</vt:lpstr>
      <vt:lpstr>'Fort Bend, TX'!OSRRefB14_3x_7</vt:lpstr>
      <vt:lpstr>'Fort Bend, TX'!OSRRefB14_3x_8</vt:lpstr>
      <vt:lpstr>'Fort Bend, TX'!OSRRefB14_3x_9</vt:lpstr>
      <vt:lpstr>'Fort Bend, TX'!OSRRefB15x_0</vt:lpstr>
      <vt:lpstr>'Fort Bend, TX'!OSRRefB15x_1</vt:lpstr>
      <vt:lpstr>'Fort Bend, TX'!OSRRefB15x_10</vt:lpstr>
      <vt:lpstr>'Fort Bend, TX'!OSRRefB15x_11</vt:lpstr>
      <vt:lpstr>'Fort Bend, TX'!OSRRefB15x_2</vt:lpstr>
      <vt:lpstr>'Fort Bend, TX'!OSRRefB15x_3</vt:lpstr>
      <vt:lpstr>'Fort Bend, TX'!OSRRefB15x_4</vt:lpstr>
      <vt:lpstr>'Fort Bend, TX'!OSRRefB15x_5</vt:lpstr>
      <vt:lpstr>'Fort Bend, TX'!OSRRefB15x_6</vt:lpstr>
      <vt:lpstr>'Fort Bend, TX'!OSRRefB15x_7</vt:lpstr>
      <vt:lpstr>'Fort Bend, TX'!OSRRefB15x_8</vt:lpstr>
      <vt:lpstr>'Fort Bend, TX'!OSRRefB15x_9</vt:lpstr>
      <vt:lpstr>'Fort Bend, TX'!OSRRefB17x_0</vt:lpstr>
      <vt:lpstr>'Fort Bend, TX'!OSRRefB17x_1</vt:lpstr>
      <vt:lpstr>'Fort Bend, TX'!OSRRefB17x_10</vt:lpstr>
      <vt:lpstr>'Fort Bend, TX'!OSRRefB17x_11</vt:lpstr>
      <vt:lpstr>'Fort Bend, TX'!OSRRefB17x_2</vt:lpstr>
      <vt:lpstr>'Fort Bend, TX'!OSRRefB17x_3</vt:lpstr>
      <vt:lpstr>'Fort Bend, TX'!OSRRefB17x_4</vt:lpstr>
      <vt:lpstr>'Fort Bend, TX'!OSRRefB17x_5</vt:lpstr>
      <vt:lpstr>'Fort Bend, TX'!OSRRefB17x_6</vt:lpstr>
      <vt:lpstr>'Fort Bend, TX'!OSRRefB17x_7</vt:lpstr>
      <vt:lpstr>'Fort Bend, TX'!OSRRefB17x_8</vt:lpstr>
      <vt:lpstr>'Fort Bend, TX'!OSRRefB17x_9</vt:lpstr>
      <vt:lpstr>'Fort Bend, TX'!OSRRefB20_0_0x_0</vt:lpstr>
      <vt:lpstr>'Fort Bend, TX'!OSRRefB20_0_0x_1</vt:lpstr>
      <vt:lpstr>'Fort Bend, TX'!OSRRefB20_0_0x_10</vt:lpstr>
      <vt:lpstr>'Fort Bend, TX'!OSRRefB20_0_0x_11</vt:lpstr>
      <vt:lpstr>'Fort Bend, TX'!OSRRefB20_0_0x_2</vt:lpstr>
      <vt:lpstr>'Fort Bend, TX'!OSRRefB20_0_0x_3</vt:lpstr>
      <vt:lpstr>'Fort Bend, TX'!OSRRefB20_0_0x_4</vt:lpstr>
      <vt:lpstr>'Fort Bend, TX'!OSRRefB20_0_0x_5</vt:lpstr>
      <vt:lpstr>'Fort Bend, TX'!OSRRefB20_0_0x_6</vt:lpstr>
      <vt:lpstr>'Fort Bend, TX'!OSRRefB20_0_0x_7</vt:lpstr>
      <vt:lpstr>'Fort Bend, TX'!OSRRefB20_0_0x_8</vt:lpstr>
      <vt:lpstr>'Fort Bend, TX'!OSRRefB20_0_0x_9</vt:lpstr>
      <vt:lpstr>'Fort Bend, TX'!OSRRefB20_0_1x_0</vt:lpstr>
      <vt:lpstr>'Fort Bend, TX'!OSRRefB20_0_1x_1</vt:lpstr>
      <vt:lpstr>'Fort Bend, TX'!OSRRefB20_0_1x_10</vt:lpstr>
      <vt:lpstr>'Fort Bend, TX'!OSRRefB20_0_1x_11</vt:lpstr>
      <vt:lpstr>'Fort Bend, TX'!OSRRefB20_0_1x_2</vt:lpstr>
      <vt:lpstr>'Fort Bend, TX'!OSRRefB20_0_1x_3</vt:lpstr>
      <vt:lpstr>'Fort Bend, TX'!OSRRefB20_0_1x_4</vt:lpstr>
      <vt:lpstr>'Fort Bend, TX'!OSRRefB20_0_1x_5</vt:lpstr>
      <vt:lpstr>'Fort Bend, TX'!OSRRefB20_0_1x_6</vt:lpstr>
      <vt:lpstr>'Fort Bend, TX'!OSRRefB20_0_1x_7</vt:lpstr>
      <vt:lpstr>'Fort Bend, TX'!OSRRefB20_0_1x_8</vt:lpstr>
      <vt:lpstr>'Fort Bend, TX'!OSRRefB20_0_1x_9</vt:lpstr>
      <vt:lpstr>'Fort Bend, TX'!OSRRefB20_0_2x_0</vt:lpstr>
      <vt:lpstr>'Fort Bend, TX'!OSRRefB20_0_2x_1</vt:lpstr>
      <vt:lpstr>'Fort Bend, TX'!OSRRefB20_0_2x_10</vt:lpstr>
      <vt:lpstr>'Fort Bend, TX'!OSRRefB20_0_2x_11</vt:lpstr>
      <vt:lpstr>'Fort Bend, TX'!OSRRefB20_0_2x_2</vt:lpstr>
      <vt:lpstr>'Fort Bend, TX'!OSRRefB20_0_2x_3</vt:lpstr>
      <vt:lpstr>'Fort Bend, TX'!OSRRefB20_0_2x_4</vt:lpstr>
      <vt:lpstr>'Fort Bend, TX'!OSRRefB20_0_2x_5</vt:lpstr>
      <vt:lpstr>'Fort Bend, TX'!OSRRefB20_0_2x_6</vt:lpstr>
      <vt:lpstr>'Fort Bend, TX'!OSRRefB20_0_2x_7</vt:lpstr>
      <vt:lpstr>'Fort Bend, TX'!OSRRefB20_0_2x_8</vt:lpstr>
      <vt:lpstr>'Fort Bend, TX'!OSRRefB20_0_2x_9</vt:lpstr>
      <vt:lpstr>'Fort Bend, TX'!OSRRefB21_0x_0</vt:lpstr>
      <vt:lpstr>'Fort Bend, TX'!OSRRefB21_0x_1</vt:lpstr>
      <vt:lpstr>'Fort Bend, TX'!OSRRefB21_0x_10</vt:lpstr>
      <vt:lpstr>'Fort Bend, TX'!OSRRefB21_0x_11</vt:lpstr>
      <vt:lpstr>'Fort Bend, TX'!OSRRefB21_0x_2</vt:lpstr>
      <vt:lpstr>'Fort Bend, TX'!OSRRefB21_0x_3</vt:lpstr>
      <vt:lpstr>'Fort Bend, TX'!OSRRefB21_0x_4</vt:lpstr>
      <vt:lpstr>'Fort Bend, TX'!OSRRefB21_0x_5</vt:lpstr>
      <vt:lpstr>'Fort Bend, TX'!OSRRefB21_0x_6</vt:lpstr>
      <vt:lpstr>'Fort Bend, TX'!OSRRefB21_0x_7</vt:lpstr>
      <vt:lpstr>'Fort Bend, TX'!OSRRefB21_0x_8</vt:lpstr>
      <vt:lpstr>'Fort Bend, TX'!OSRRefB21_0x_9</vt:lpstr>
      <vt:lpstr>'Fort Bend, TX'!OSRRefB22x_0</vt:lpstr>
      <vt:lpstr>'Fort Bend, TX'!OSRRefB22x_1</vt:lpstr>
      <vt:lpstr>'Fort Bend, TX'!OSRRefB22x_10</vt:lpstr>
      <vt:lpstr>'Fort Bend, TX'!OSRRefB22x_11</vt:lpstr>
      <vt:lpstr>'Fort Bend, TX'!OSRRefB22x_2</vt:lpstr>
      <vt:lpstr>'Fort Bend, TX'!OSRRefB22x_3</vt:lpstr>
      <vt:lpstr>'Fort Bend, TX'!OSRRefB22x_4</vt:lpstr>
      <vt:lpstr>'Fort Bend, TX'!OSRRefB22x_5</vt:lpstr>
      <vt:lpstr>'Fort Bend, TX'!OSRRefB22x_6</vt:lpstr>
      <vt:lpstr>'Fort Bend, TX'!OSRRefB22x_7</vt:lpstr>
      <vt:lpstr>'Fort Bend, TX'!OSRRefB22x_8</vt:lpstr>
      <vt:lpstr>'Fort Bend, TX'!OSRRefB22x_9</vt:lpstr>
      <vt:lpstr>'Fort Bend, TX'!OSRRefB27_0_0x_0</vt:lpstr>
      <vt:lpstr>'Fort Bend, TX'!OSRRefB27_0_0x_1</vt:lpstr>
      <vt:lpstr>'Fort Bend, TX'!OSRRefB27_0_0x_10</vt:lpstr>
      <vt:lpstr>'Fort Bend, TX'!OSRRefB27_0_0x_11</vt:lpstr>
      <vt:lpstr>'Fort Bend, TX'!OSRRefB27_0_0x_2</vt:lpstr>
      <vt:lpstr>'Fort Bend, TX'!OSRRefB27_0_0x_3</vt:lpstr>
      <vt:lpstr>'Fort Bend, TX'!OSRRefB27_0_0x_4</vt:lpstr>
      <vt:lpstr>'Fort Bend, TX'!OSRRefB27_0_0x_5</vt:lpstr>
      <vt:lpstr>'Fort Bend, TX'!OSRRefB27_0_0x_6</vt:lpstr>
      <vt:lpstr>'Fort Bend, TX'!OSRRefB27_0_0x_7</vt:lpstr>
      <vt:lpstr>'Fort Bend, TX'!OSRRefB27_0_0x_8</vt:lpstr>
      <vt:lpstr>'Fort Bend, TX'!OSRRefB27_0_0x_9</vt:lpstr>
      <vt:lpstr>'Fort Bend, TX'!OSRRefB28_0x_0</vt:lpstr>
      <vt:lpstr>'Fort Bend, TX'!OSRRefB28_0x_1</vt:lpstr>
      <vt:lpstr>'Fort Bend, TX'!OSRRefB28_0x_10</vt:lpstr>
      <vt:lpstr>'Fort Bend, TX'!OSRRefB28_0x_11</vt:lpstr>
      <vt:lpstr>'Fort Bend, TX'!OSRRefB28_0x_2</vt:lpstr>
      <vt:lpstr>'Fort Bend, TX'!OSRRefB28_0x_3</vt:lpstr>
      <vt:lpstr>'Fort Bend, TX'!OSRRefB28_0x_4</vt:lpstr>
      <vt:lpstr>'Fort Bend, TX'!OSRRefB28_0x_5</vt:lpstr>
      <vt:lpstr>'Fort Bend, TX'!OSRRefB28_0x_6</vt:lpstr>
      <vt:lpstr>'Fort Bend, TX'!OSRRefB28_0x_7</vt:lpstr>
      <vt:lpstr>'Fort Bend, TX'!OSRRefB28_0x_8</vt:lpstr>
      <vt:lpstr>'Fort Bend, TX'!OSRRefB28_0x_9</vt:lpstr>
      <vt:lpstr>'Fort Bend, TX'!OSRRefB6_0_0x_0</vt:lpstr>
      <vt:lpstr>'Fort Bend, TX'!OSRRefB6_0_0x_1</vt:lpstr>
      <vt:lpstr>'Fort Bend, TX'!OSRRefB6_0_0x_10</vt:lpstr>
      <vt:lpstr>'Fort Bend, TX'!OSRRefB6_0_0x_11</vt:lpstr>
      <vt:lpstr>'Fort Bend, TX'!OSRRefB6_0_0x_2</vt:lpstr>
      <vt:lpstr>'Fort Bend, TX'!OSRRefB6_0_0x_3</vt:lpstr>
      <vt:lpstr>'Fort Bend, TX'!OSRRefB6_0_0x_4</vt:lpstr>
      <vt:lpstr>'Fort Bend, TX'!OSRRefB6_0_0x_5</vt:lpstr>
      <vt:lpstr>'Fort Bend, TX'!OSRRefB6_0_0x_6</vt:lpstr>
      <vt:lpstr>'Fort Bend, TX'!OSRRefB6_0_0x_7</vt:lpstr>
      <vt:lpstr>'Fort Bend, TX'!OSRRefB6_0_0x_8</vt:lpstr>
      <vt:lpstr>'Fort Bend, TX'!OSRRefB6_0_0x_9</vt:lpstr>
      <vt:lpstr>'Fort Bend, TX'!OSRRefB6_1_0x_0</vt:lpstr>
      <vt:lpstr>'Fort Bend, TX'!OSRRefB6_1_0x_1</vt:lpstr>
      <vt:lpstr>'Fort Bend, TX'!OSRRefB6_1_0x_10</vt:lpstr>
      <vt:lpstr>'Fort Bend, TX'!OSRRefB6_1_0x_11</vt:lpstr>
      <vt:lpstr>'Fort Bend, TX'!OSRRefB6_1_0x_2</vt:lpstr>
      <vt:lpstr>'Fort Bend, TX'!OSRRefB6_1_0x_3</vt:lpstr>
      <vt:lpstr>'Fort Bend, TX'!OSRRefB6_1_0x_4</vt:lpstr>
      <vt:lpstr>'Fort Bend, TX'!OSRRefB6_1_0x_5</vt:lpstr>
      <vt:lpstr>'Fort Bend, TX'!OSRRefB6_1_0x_6</vt:lpstr>
      <vt:lpstr>'Fort Bend, TX'!OSRRefB6_1_0x_7</vt:lpstr>
      <vt:lpstr>'Fort Bend, TX'!OSRRefB6_1_0x_8</vt:lpstr>
      <vt:lpstr>'Fort Bend, TX'!OSRRefB6_1_0x_9</vt:lpstr>
      <vt:lpstr>'Fort Bend, TX'!OSRRefB6_2_0x_0</vt:lpstr>
      <vt:lpstr>'Fort Bend, TX'!OSRRefB6_2_0x_1</vt:lpstr>
      <vt:lpstr>'Fort Bend, TX'!OSRRefB6_2_0x_10</vt:lpstr>
      <vt:lpstr>'Fort Bend, TX'!OSRRefB6_2_0x_11</vt:lpstr>
      <vt:lpstr>'Fort Bend, TX'!OSRRefB6_2_0x_2</vt:lpstr>
      <vt:lpstr>'Fort Bend, TX'!OSRRefB6_2_0x_3</vt:lpstr>
      <vt:lpstr>'Fort Bend, TX'!OSRRefB6_2_0x_4</vt:lpstr>
      <vt:lpstr>'Fort Bend, TX'!OSRRefB6_2_0x_5</vt:lpstr>
      <vt:lpstr>'Fort Bend, TX'!OSRRefB6_2_0x_6</vt:lpstr>
      <vt:lpstr>'Fort Bend, TX'!OSRRefB6_2_0x_7</vt:lpstr>
      <vt:lpstr>'Fort Bend, TX'!OSRRefB6_2_0x_8</vt:lpstr>
      <vt:lpstr>'Fort Bend, TX'!OSRRefB6_2_0x_9</vt:lpstr>
      <vt:lpstr>'Fort Bend, TX'!OSRRefB6_2_1x_0</vt:lpstr>
      <vt:lpstr>'Fort Bend, TX'!OSRRefB6_2_1x_1</vt:lpstr>
      <vt:lpstr>'Fort Bend, TX'!OSRRefB6_2_1x_10</vt:lpstr>
      <vt:lpstr>'Fort Bend, TX'!OSRRefB6_2_1x_11</vt:lpstr>
      <vt:lpstr>'Fort Bend, TX'!OSRRefB6_2_1x_2</vt:lpstr>
      <vt:lpstr>'Fort Bend, TX'!OSRRefB6_2_1x_3</vt:lpstr>
      <vt:lpstr>'Fort Bend, TX'!OSRRefB6_2_1x_4</vt:lpstr>
      <vt:lpstr>'Fort Bend, TX'!OSRRefB6_2_1x_5</vt:lpstr>
      <vt:lpstr>'Fort Bend, TX'!OSRRefB6_2_1x_6</vt:lpstr>
      <vt:lpstr>'Fort Bend, TX'!OSRRefB6_2_1x_7</vt:lpstr>
      <vt:lpstr>'Fort Bend, TX'!OSRRefB6_2_1x_8</vt:lpstr>
      <vt:lpstr>'Fort Bend, TX'!OSRRefB6_2_1x_9</vt:lpstr>
      <vt:lpstr>'Fort Bend, TX'!OSRRefB6_2_2x_0</vt:lpstr>
      <vt:lpstr>'Fort Bend, TX'!OSRRefB6_2_2x_1</vt:lpstr>
      <vt:lpstr>'Fort Bend, TX'!OSRRefB6_2_2x_10</vt:lpstr>
      <vt:lpstr>'Fort Bend, TX'!OSRRefB6_2_2x_11</vt:lpstr>
      <vt:lpstr>'Fort Bend, TX'!OSRRefB6_2_2x_2</vt:lpstr>
      <vt:lpstr>'Fort Bend, TX'!OSRRefB6_2_2x_3</vt:lpstr>
      <vt:lpstr>'Fort Bend, TX'!OSRRefB6_2_2x_4</vt:lpstr>
      <vt:lpstr>'Fort Bend, TX'!OSRRefB6_2_2x_5</vt:lpstr>
      <vt:lpstr>'Fort Bend, TX'!OSRRefB6_2_2x_6</vt:lpstr>
      <vt:lpstr>'Fort Bend, TX'!OSRRefB6_2_2x_7</vt:lpstr>
      <vt:lpstr>'Fort Bend, TX'!OSRRefB6_2_2x_8</vt:lpstr>
      <vt:lpstr>'Fort Bend, TX'!OSRRefB6_2_2x_9</vt:lpstr>
      <vt:lpstr>'Fort Bend, TX'!OSRRefB6_2_3x_0</vt:lpstr>
      <vt:lpstr>'Fort Bend, TX'!OSRRefB6_2_3x_1</vt:lpstr>
      <vt:lpstr>'Fort Bend, TX'!OSRRefB6_2_3x_10</vt:lpstr>
      <vt:lpstr>'Fort Bend, TX'!OSRRefB6_2_3x_11</vt:lpstr>
      <vt:lpstr>'Fort Bend, TX'!OSRRefB6_2_3x_2</vt:lpstr>
      <vt:lpstr>'Fort Bend, TX'!OSRRefB6_2_3x_3</vt:lpstr>
      <vt:lpstr>'Fort Bend, TX'!OSRRefB6_2_3x_4</vt:lpstr>
      <vt:lpstr>'Fort Bend, TX'!OSRRefB6_2_3x_5</vt:lpstr>
      <vt:lpstr>'Fort Bend, TX'!OSRRefB6_2_3x_6</vt:lpstr>
      <vt:lpstr>'Fort Bend, TX'!OSRRefB6_2_3x_7</vt:lpstr>
      <vt:lpstr>'Fort Bend, TX'!OSRRefB6_2_3x_8</vt:lpstr>
      <vt:lpstr>'Fort Bend, TX'!OSRRefB6_2_3x_9</vt:lpstr>
      <vt:lpstr>'Fort Bend, TX'!OSRRefB6_3_0x_0</vt:lpstr>
      <vt:lpstr>'Fort Bend, TX'!OSRRefB6_3_0x_1</vt:lpstr>
      <vt:lpstr>'Fort Bend, TX'!OSRRefB6_3_0x_10</vt:lpstr>
      <vt:lpstr>'Fort Bend, TX'!OSRRefB6_3_0x_11</vt:lpstr>
      <vt:lpstr>'Fort Bend, TX'!OSRRefB6_3_0x_2</vt:lpstr>
      <vt:lpstr>'Fort Bend, TX'!OSRRefB6_3_0x_3</vt:lpstr>
      <vt:lpstr>'Fort Bend, TX'!OSRRefB6_3_0x_4</vt:lpstr>
      <vt:lpstr>'Fort Bend, TX'!OSRRefB6_3_0x_5</vt:lpstr>
      <vt:lpstr>'Fort Bend, TX'!OSRRefB6_3_0x_6</vt:lpstr>
      <vt:lpstr>'Fort Bend, TX'!OSRRefB6_3_0x_7</vt:lpstr>
      <vt:lpstr>'Fort Bend, TX'!OSRRefB6_3_0x_8</vt:lpstr>
      <vt:lpstr>'Fort Bend, TX'!OSRRefB6_3_0x_9</vt:lpstr>
      <vt:lpstr>'Fort Bend, TX'!OSRRefB6_4_0x_0</vt:lpstr>
      <vt:lpstr>'Fort Bend, TX'!OSRRefB6_4_0x_1</vt:lpstr>
      <vt:lpstr>'Fort Bend, TX'!OSRRefB6_4_0x_10</vt:lpstr>
      <vt:lpstr>'Fort Bend, TX'!OSRRefB6_4_0x_11</vt:lpstr>
      <vt:lpstr>'Fort Bend, TX'!OSRRefB6_4_0x_2</vt:lpstr>
      <vt:lpstr>'Fort Bend, TX'!OSRRefB6_4_0x_3</vt:lpstr>
      <vt:lpstr>'Fort Bend, TX'!OSRRefB6_4_0x_4</vt:lpstr>
      <vt:lpstr>'Fort Bend, TX'!OSRRefB6_4_0x_5</vt:lpstr>
      <vt:lpstr>'Fort Bend, TX'!OSRRefB6_4_0x_6</vt:lpstr>
      <vt:lpstr>'Fort Bend, TX'!OSRRefB6_4_0x_7</vt:lpstr>
      <vt:lpstr>'Fort Bend, TX'!OSRRefB6_4_0x_8</vt:lpstr>
      <vt:lpstr>'Fort Bend, TX'!OSRRefB6_4_0x_9</vt:lpstr>
      <vt:lpstr>'Fort Bend, TX'!OSRRefB7_0x_0</vt:lpstr>
      <vt:lpstr>'Fort Bend, TX'!OSRRefB7_0x_1</vt:lpstr>
      <vt:lpstr>'Fort Bend, TX'!OSRRefB7_0x_10</vt:lpstr>
      <vt:lpstr>'Fort Bend, TX'!OSRRefB7_0x_11</vt:lpstr>
      <vt:lpstr>'Fort Bend, TX'!OSRRefB7_0x_2</vt:lpstr>
      <vt:lpstr>'Fort Bend, TX'!OSRRefB7_0x_3</vt:lpstr>
      <vt:lpstr>'Fort Bend, TX'!OSRRefB7_0x_4</vt:lpstr>
      <vt:lpstr>'Fort Bend, TX'!OSRRefB7_0x_5</vt:lpstr>
      <vt:lpstr>'Fort Bend, TX'!OSRRefB7_0x_6</vt:lpstr>
      <vt:lpstr>'Fort Bend, TX'!OSRRefB7_0x_7</vt:lpstr>
      <vt:lpstr>'Fort Bend, TX'!OSRRefB7_0x_8</vt:lpstr>
      <vt:lpstr>'Fort Bend, TX'!OSRRefB7_0x_9</vt:lpstr>
      <vt:lpstr>'Fort Bend, TX'!OSRRefB7_1x_0</vt:lpstr>
      <vt:lpstr>'Fort Bend, TX'!OSRRefB7_1x_1</vt:lpstr>
      <vt:lpstr>'Fort Bend, TX'!OSRRefB7_1x_10</vt:lpstr>
      <vt:lpstr>'Fort Bend, TX'!OSRRefB7_1x_11</vt:lpstr>
      <vt:lpstr>'Fort Bend, TX'!OSRRefB7_1x_2</vt:lpstr>
      <vt:lpstr>'Fort Bend, TX'!OSRRefB7_1x_3</vt:lpstr>
      <vt:lpstr>'Fort Bend, TX'!OSRRefB7_1x_4</vt:lpstr>
      <vt:lpstr>'Fort Bend, TX'!OSRRefB7_1x_5</vt:lpstr>
      <vt:lpstr>'Fort Bend, TX'!OSRRefB7_1x_6</vt:lpstr>
      <vt:lpstr>'Fort Bend, TX'!OSRRefB7_1x_7</vt:lpstr>
      <vt:lpstr>'Fort Bend, TX'!OSRRefB7_1x_8</vt:lpstr>
      <vt:lpstr>'Fort Bend, TX'!OSRRefB7_1x_9</vt:lpstr>
      <vt:lpstr>'Fort Bend, TX'!OSRRefB7_2x_0</vt:lpstr>
      <vt:lpstr>'Fort Bend, TX'!OSRRefB7_2x_1</vt:lpstr>
      <vt:lpstr>'Fort Bend, TX'!OSRRefB7_2x_10</vt:lpstr>
      <vt:lpstr>'Fort Bend, TX'!OSRRefB7_2x_11</vt:lpstr>
      <vt:lpstr>'Fort Bend, TX'!OSRRefB7_2x_2</vt:lpstr>
      <vt:lpstr>'Fort Bend, TX'!OSRRefB7_2x_3</vt:lpstr>
      <vt:lpstr>'Fort Bend, TX'!OSRRefB7_2x_4</vt:lpstr>
      <vt:lpstr>'Fort Bend, TX'!OSRRefB7_2x_5</vt:lpstr>
      <vt:lpstr>'Fort Bend, TX'!OSRRefB7_2x_6</vt:lpstr>
      <vt:lpstr>'Fort Bend, TX'!OSRRefB7_2x_7</vt:lpstr>
      <vt:lpstr>'Fort Bend, TX'!OSRRefB7_2x_8</vt:lpstr>
      <vt:lpstr>'Fort Bend, TX'!OSRRefB7_2x_9</vt:lpstr>
      <vt:lpstr>'Fort Bend, TX'!OSRRefB7_3x_0</vt:lpstr>
      <vt:lpstr>'Fort Bend, TX'!OSRRefB7_3x_1</vt:lpstr>
      <vt:lpstr>'Fort Bend, TX'!OSRRefB7_3x_10</vt:lpstr>
      <vt:lpstr>'Fort Bend, TX'!OSRRefB7_3x_11</vt:lpstr>
      <vt:lpstr>'Fort Bend, TX'!OSRRefB7_3x_2</vt:lpstr>
      <vt:lpstr>'Fort Bend, TX'!OSRRefB7_3x_3</vt:lpstr>
      <vt:lpstr>'Fort Bend, TX'!OSRRefB7_3x_4</vt:lpstr>
      <vt:lpstr>'Fort Bend, TX'!OSRRefB7_3x_5</vt:lpstr>
      <vt:lpstr>'Fort Bend, TX'!OSRRefB7_3x_6</vt:lpstr>
      <vt:lpstr>'Fort Bend, TX'!OSRRefB7_3x_7</vt:lpstr>
      <vt:lpstr>'Fort Bend, TX'!OSRRefB7_3x_8</vt:lpstr>
      <vt:lpstr>'Fort Bend, TX'!OSRRefB7_3x_9</vt:lpstr>
      <vt:lpstr>'Fort Bend, TX'!OSRRefB7_4x_0</vt:lpstr>
      <vt:lpstr>'Fort Bend, TX'!OSRRefB7_4x_1</vt:lpstr>
      <vt:lpstr>'Fort Bend, TX'!OSRRefB7_4x_10</vt:lpstr>
      <vt:lpstr>'Fort Bend, TX'!OSRRefB7_4x_11</vt:lpstr>
      <vt:lpstr>'Fort Bend, TX'!OSRRefB7_4x_2</vt:lpstr>
      <vt:lpstr>'Fort Bend, TX'!OSRRefB7_4x_3</vt:lpstr>
      <vt:lpstr>'Fort Bend, TX'!OSRRefB7_4x_4</vt:lpstr>
      <vt:lpstr>'Fort Bend, TX'!OSRRefB7_4x_5</vt:lpstr>
      <vt:lpstr>'Fort Bend, TX'!OSRRefB7_4x_6</vt:lpstr>
      <vt:lpstr>'Fort Bend, TX'!OSRRefB7_4x_7</vt:lpstr>
      <vt:lpstr>'Fort Bend, TX'!OSRRefB7_4x_8</vt:lpstr>
      <vt:lpstr>'Fort Bend, TX'!OSRRefB7_4x_9</vt:lpstr>
      <vt:lpstr>'Fort Bend, TX'!OSRRefB8x_0</vt:lpstr>
      <vt:lpstr>'Fort Bend, TX'!OSRRefB8x_1</vt:lpstr>
      <vt:lpstr>'Fort Bend, TX'!OSRRefB8x_10</vt:lpstr>
      <vt:lpstr>'Fort Bend, TX'!OSRRefB8x_11</vt:lpstr>
      <vt:lpstr>'Fort Bend, TX'!OSRRefB8x_2</vt:lpstr>
      <vt:lpstr>'Fort Bend, TX'!OSRRefB8x_3</vt:lpstr>
      <vt:lpstr>'Fort Bend, TX'!OSRRefB8x_4</vt:lpstr>
      <vt:lpstr>'Fort Bend, TX'!OSRRefB8x_5</vt:lpstr>
      <vt:lpstr>'Fort Bend, TX'!OSRRefB8x_6</vt:lpstr>
      <vt:lpstr>'Fort Bend, TX'!OSRRefB8x_7</vt:lpstr>
      <vt:lpstr>'Fort Bend, TX'!OSRRefB8x_8</vt:lpstr>
      <vt:lpstr>'Fort Bend, TX'!OSRRefB8x_9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Kowalski</dc:creator>
  <cp:lastModifiedBy>Krejci, Cheryl</cp:lastModifiedBy>
  <dcterms:created xsi:type="dcterms:W3CDTF">2022-10-28T21:09:02Z</dcterms:created>
  <dcterms:modified xsi:type="dcterms:W3CDTF">2024-05-03T22:14:05Z</dcterms:modified>
</cp:coreProperties>
</file>