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rchasing\BID\2025\25-001 Inmate Medical Services\R25-001.Q&amp;A\"/>
    </mc:Choice>
  </mc:AlternateContent>
  <workbookProtection lockRevision="1"/>
  <bookViews>
    <workbookView xWindow="28680" yWindow="-120" windowWidth="29040" windowHeight="15840"/>
  </bookViews>
  <sheets>
    <sheet name="Fort Bend, TX" sheetId="1" r:id="rId1"/>
  </sheets>
  <definedNames>
    <definedName name="OSRRefB13_0_0x_0" localSheetId="0">'Fort Bend, TX'!$B$73</definedName>
    <definedName name="OSRRefB13_0_0x_1" localSheetId="0">'Fort Bend, TX'!$C$73</definedName>
    <definedName name="OSRRefB13_0_0x_10" localSheetId="0">'Fort Bend, TX'!$L$73</definedName>
    <definedName name="OSRRefB13_0_0x_11" localSheetId="0">'Fort Bend, TX'!$M$73</definedName>
    <definedName name="OSRRefB13_0_0x_2" localSheetId="0">'Fort Bend, TX'!$D$73</definedName>
    <definedName name="OSRRefB13_0_0x_3" localSheetId="0">'Fort Bend, TX'!$E$73</definedName>
    <definedName name="OSRRefB13_0_0x_4" localSheetId="0">'Fort Bend, TX'!$F$73</definedName>
    <definedName name="OSRRefB13_0_0x_5" localSheetId="0">'Fort Bend, TX'!$G$73</definedName>
    <definedName name="OSRRefB13_0_0x_6" localSheetId="0">'Fort Bend, TX'!$H$73</definedName>
    <definedName name="OSRRefB13_0_0x_7" localSheetId="0">'Fort Bend, TX'!$I$73</definedName>
    <definedName name="OSRRefB13_0_0x_8" localSheetId="0">'Fort Bend, TX'!$J$73</definedName>
    <definedName name="OSRRefB13_0_0x_9" localSheetId="0">'Fort Bend, TX'!$K$73</definedName>
    <definedName name="OSRRefB13_1_0x_0" localSheetId="0">'Fort Bend, TX'!$B$78:$B$83</definedName>
    <definedName name="OSRRefB13_1_0x_1" localSheetId="0">'Fort Bend, TX'!$C$78:$C$83</definedName>
    <definedName name="OSRRefB13_1_0x_10" localSheetId="0">'Fort Bend, TX'!$L$78:$L$83</definedName>
    <definedName name="OSRRefB13_1_0x_11" localSheetId="0">'Fort Bend, TX'!$M$78:$M$83</definedName>
    <definedName name="OSRRefB13_1_0x_2" localSheetId="0">'Fort Bend, TX'!$D$78:$D$83</definedName>
    <definedName name="OSRRefB13_1_0x_3" localSheetId="0">'Fort Bend, TX'!$E$78:$E$83</definedName>
    <definedName name="OSRRefB13_1_0x_4" localSheetId="0">'Fort Bend, TX'!$F$78:$F$83</definedName>
    <definedName name="OSRRefB13_1_0x_5" localSheetId="0">'Fort Bend, TX'!$G$78:$G$83</definedName>
    <definedName name="OSRRefB13_1_0x_6" localSheetId="0">'Fort Bend, TX'!$H$78:$H$83</definedName>
    <definedName name="OSRRefB13_1_0x_7" localSheetId="0">'Fort Bend, TX'!$I$78:$I$83</definedName>
    <definedName name="OSRRefB13_1_0x_8" localSheetId="0">'Fort Bend, TX'!$J$78:$J$83</definedName>
    <definedName name="OSRRefB13_1_0x_9" localSheetId="0">'Fort Bend, TX'!$K$78:$K$83</definedName>
    <definedName name="OSRRefB13_1_1x_0" localSheetId="0">'Fort Bend, TX'!$B$85:$B$87</definedName>
    <definedName name="OSRRefB13_1_1x_1" localSheetId="0">'Fort Bend, TX'!$C$85:$C$87</definedName>
    <definedName name="OSRRefB13_1_1x_10" localSheetId="0">'Fort Bend, TX'!$L$85:$L$87</definedName>
    <definedName name="OSRRefB13_1_1x_11" localSheetId="0">'Fort Bend, TX'!$M$85:$M$87</definedName>
    <definedName name="OSRRefB13_1_1x_2" localSheetId="0">'Fort Bend, TX'!$D$85:$D$87</definedName>
    <definedName name="OSRRefB13_1_1x_3" localSheetId="0">'Fort Bend, TX'!$E$85:$E$87</definedName>
    <definedName name="OSRRefB13_1_1x_4" localSheetId="0">'Fort Bend, TX'!$F$85:$F$87</definedName>
    <definedName name="OSRRefB13_1_1x_5" localSheetId="0">'Fort Bend, TX'!$G$85:$G$87</definedName>
    <definedName name="OSRRefB13_1_1x_6" localSheetId="0">'Fort Bend, TX'!$H$85:$H$87</definedName>
    <definedName name="OSRRefB13_1_1x_7" localSheetId="0">'Fort Bend, TX'!$I$85:$I$87</definedName>
    <definedName name="OSRRefB13_1_1x_8" localSheetId="0">'Fort Bend, TX'!$J$85:$J$87</definedName>
    <definedName name="OSRRefB13_1_1x_9" localSheetId="0">'Fort Bend, TX'!$K$85:$K$87</definedName>
    <definedName name="OSRRefB13_2_0x_0" localSheetId="0">'Fort Bend, TX'!$B$92:$B$98</definedName>
    <definedName name="OSRRefB13_2_0x_1" localSheetId="0">'Fort Bend, TX'!$C$92:$C$98</definedName>
    <definedName name="OSRRefB13_2_0x_10" localSheetId="0">'Fort Bend, TX'!$L$92:$L$98</definedName>
    <definedName name="OSRRefB13_2_0x_11" localSheetId="0">'Fort Bend, TX'!$M$92:$M$98</definedName>
    <definedName name="OSRRefB13_2_0x_2" localSheetId="0">'Fort Bend, TX'!$D$92:$D$98</definedName>
    <definedName name="OSRRefB13_2_0x_3" localSheetId="0">'Fort Bend, TX'!$E$92:$E$98</definedName>
    <definedName name="OSRRefB13_2_0x_4" localSheetId="0">'Fort Bend, TX'!$F$92:$F$98</definedName>
    <definedName name="OSRRefB13_2_0x_5" localSheetId="0">'Fort Bend, TX'!$G$92:$G$98</definedName>
    <definedName name="OSRRefB13_2_0x_6" localSheetId="0">'Fort Bend, TX'!$H$92:$H$98</definedName>
    <definedName name="OSRRefB13_2_0x_7" localSheetId="0">'Fort Bend, TX'!$I$92:$I$98</definedName>
    <definedName name="OSRRefB13_2_0x_8" localSheetId="0">'Fort Bend, TX'!$J$92:$J$98</definedName>
    <definedName name="OSRRefB13_2_0x_9" localSheetId="0">'Fort Bend, TX'!$K$92:$K$98</definedName>
    <definedName name="OSRRefB13_3_0x_0" localSheetId="0">'Fort Bend, TX'!$B$103:$B$113</definedName>
    <definedName name="OSRRefB13_3_0x_1" localSheetId="0">'Fort Bend, TX'!$C$103:$C$113</definedName>
    <definedName name="OSRRefB13_3_0x_10" localSheetId="0">'Fort Bend, TX'!$L$103:$L$113</definedName>
    <definedName name="OSRRefB13_3_0x_11" localSheetId="0">'Fort Bend, TX'!$M$103:$M$113</definedName>
    <definedName name="OSRRefB13_3_0x_2" localSheetId="0">'Fort Bend, TX'!$D$103:$D$113</definedName>
    <definedName name="OSRRefB13_3_0x_3" localSheetId="0">'Fort Bend, TX'!$E$103:$E$113</definedName>
    <definedName name="OSRRefB13_3_0x_4" localSheetId="0">'Fort Bend, TX'!$F$103:$F$113</definedName>
    <definedName name="OSRRefB13_3_0x_5" localSheetId="0">'Fort Bend, TX'!$G$103:$G$113</definedName>
    <definedName name="OSRRefB13_3_0x_6" localSheetId="0">'Fort Bend, TX'!$H$103:$H$113</definedName>
    <definedName name="OSRRefB13_3_0x_7" localSheetId="0">'Fort Bend, TX'!$I$103:$I$113</definedName>
    <definedName name="OSRRefB13_3_0x_8" localSheetId="0">'Fort Bend, TX'!$J$103:$J$113</definedName>
    <definedName name="OSRRefB13_3_0x_9" localSheetId="0">'Fort Bend, TX'!$K$103:$K$113</definedName>
    <definedName name="OSRRefB14_0x_0" localSheetId="0">'Fort Bend, TX'!$B$74</definedName>
    <definedName name="OSRRefB14_0x_1" localSheetId="0">'Fort Bend, TX'!$C$74</definedName>
    <definedName name="OSRRefB14_0x_10" localSheetId="0">'Fort Bend, TX'!$L$74</definedName>
    <definedName name="OSRRefB14_0x_11" localSheetId="0">'Fort Bend, TX'!$M$74</definedName>
    <definedName name="OSRRefB14_0x_2" localSheetId="0">'Fort Bend, TX'!$D$74</definedName>
    <definedName name="OSRRefB14_0x_3" localSheetId="0">'Fort Bend, TX'!$E$74</definedName>
    <definedName name="OSRRefB14_0x_4" localSheetId="0">'Fort Bend, TX'!$F$74</definedName>
    <definedName name="OSRRefB14_0x_5" localSheetId="0">'Fort Bend, TX'!$G$74</definedName>
    <definedName name="OSRRefB14_0x_6" localSheetId="0">'Fort Bend, TX'!$H$74</definedName>
    <definedName name="OSRRefB14_0x_7" localSheetId="0">'Fort Bend, TX'!$I$74</definedName>
    <definedName name="OSRRefB14_0x_8" localSheetId="0">'Fort Bend, TX'!$J$74</definedName>
    <definedName name="OSRRefB14_0x_9" localSheetId="0">'Fort Bend, TX'!$K$74</definedName>
    <definedName name="OSRRefB14_1x_0" localSheetId="0">'Fort Bend, TX'!$B$84,'Fort Bend, TX'!$B$88</definedName>
    <definedName name="OSRRefB14_1x_1" localSheetId="0">'Fort Bend, TX'!$C$84,'Fort Bend, TX'!$C$88</definedName>
    <definedName name="OSRRefB14_1x_10" localSheetId="0">'Fort Bend, TX'!$L$84,'Fort Bend, TX'!$L$88</definedName>
    <definedName name="OSRRefB14_1x_11" localSheetId="0">'Fort Bend, TX'!$M$84,'Fort Bend, TX'!$M$88</definedName>
    <definedName name="OSRRefB14_1x_2" localSheetId="0">'Fort Bend, TX'!$D$84,'Fort Bend, TX'!$D$88</definedName>
    <definedName name="OSRRefB14_1x_3" localSheetId="0">'Fort Bend, TX'!$E$84,'Fort Bend, TX'!$E$88</definedName>
    <definedName name="OSRRefB14_1x_4" localSheetId="0">'Fort Bend, TX'!$F$84,'Fort Bend, TX'!$F$88</definedName>
    <definedName name="OSRRefB14_1x_5" localSheetId="0">'Fort Bend, TX'!$G$84,'Fort Bend, TX'!$G$88</definedName>
    <definedName name="OSRRefB14_1x_6" localSheetId="0">'Fort Bend, TX'!$H$84,'Fort Bend, TX'!$H$88</definedName>
    <definedName name="OSRRefB14_1x_7" localSheetId="0">'Fort Bend, TX'!$I$84,'Fort Bend, TX'!$I$88</definedName>
    <definedName name="OSRRefB14_1x_8" localSheetId="0">'Fort Bend, TX'!$J$84,'Fort Bend, TX'!$J$88</definedName>
    <definedName name="OSRRefB14_1x_9" localSheetId="0">'Fort Bend, TX'!$K$84,'Fort Bend, TX'!$K$88</definedName>
    <definedName name="OSRRefB14_2x_0" localSheetId="0">'Fort Bend, TX'!$B$99</definedName>
    <definedName name="OSRRefB14_2x_1" localSheetId="0">'Fort Bend, TX'!$C$99</definedName>
    <definedName name="OSRRefB14_2x_10" localSheetId="0">'Fort Bend, TX'!$L$99</definedName>
    <definedName name="OSRRefB14_2x_11" localSheetId="0">'Fort Bend, TX'!$M$99</definedName>
    <definedName name="OSRRefB14_2x_2" localSheetId="0">'Fort Bend, TX'!$D$99</definedName>
    <definedName name="OSRRefB14_2x_3" localSheetId="0">'Fort Bend, TX'!$E$99</definedName>
    <definedName name="OSRRefB14_2x_4" localSheetId="0">'Fort Bend, TX'!$F$99</definedName>
    <definedName name="OSRRefB14_2x_5" localSheetId="0">'Fort Bend, TX'!$G$99</definedName>
    <definedName name="OSRRefB14_2x_6" localSheetId="0">'Fort Bend, TX'!$H$99</definedName>
    <definedName name="OSRRefB14_2x_7" localSheetId="0">'Fort Bend, TX'!$I$99</definedName>
    <definedName name="OSRRefB14_2x_8" localSheetId="0">'Fort Bend, TX'!$J$99</definedName>
    <definedName name="OSRRefB14_2x_9" localSheetId="0">'Fort Bend, TX'!$K$99</definedName>
    <definedName name="OSRRefB14_3x_0" localSheetId="0">'Fort Bend, TX'!$B$114</definedName>
    <definedName name="OSRRefB14_3x_1" localSheetId="0">'Fort Bend, TX'!$C$114</definedName>
    <definedName name="OSRRefB14_3x_10" localSheetId="0">'Fort Bend, TX'!$L$114</definedName>
    <definedName name="OSRRefB14_3x_11" localSheetId="0">'Fort Bend, TX'!$M$114</definedName>
    <definedName name="OSRRefB14_3x_2" localSheetId="0">'Fort Bend, TX'!$D$114</definedName>
    <definedName name="OSRRefB14_3x_3" localSheetId="0">'Fort Bend, TX'!$E$114</definedName>
    <definedName name="OSRRefB14_3x_4" localSheetId="0">'Fort Bend, TX'!$F$114</definedName>
    <definedName name="OSRRefB14_3x_5" localSheetId="0">'Fort Bend, TX'!$G$114</definedName>
    <definedName name="OSRRefB14_3x_6" localSheetId="0">'Fort Bend, TX'!$H$114</definedName>
    <definedName name="OSRRefB14_3x_7" localSheetId="0">'Fort Bend, TX'!$I$114</definedName>
    <definedName name="OSRRefB14_3x_8" localSheetId="0">'Fort Bend, TX'!$J$114</definedName>
    <definedName name="OSRRefB14_3x_9" localSheetId="0">'Fort Bend, TX'!$K$114</definedName>
    <definedName name="OSRRefB15x_0" localSheetId="0">'Fort Bend, TX'!$B$75,'Fort Bend, TX'!$B$89,'Fort Bend, TX'!$B$100,'Fort Bend, TX'!$B$115</definedName>
    <definedName name="OSRRefB15x_1" localSheetId="0">'Fort Bend, TX'!$C$75,'Fort Bend, TX'!$C$89,'Fort Bend, TX'!$C$100,'Fort Bend, TX'!$C$115</definedName>
    <definedName name="OSRRefB15x_10" localSheetId="0">'Fort Bend, TX'!$L$75,'Fort Bend, TX'!$L$89,'Fort Bend, TX'!$L$100,'Fort Bend, TX'!$L$115</definedName>
    <definedName name="OSRRefB15x_11" localSheetId="0">'Fort Bend, TX'!$M$75,'Fort Bend, TX'!$M$89,'Fort Bend, TX'!$M$100,'Fort Bend, TX'!$M$115</definedName>
    <definedName name="OSRRefB15x_2" localSheetId="0">'Fort Bend, TX'!$D$75,'Fort Bend, TX'!$D$89,'Fort Bend, TX'!$D$100,'Fort Bend, TX'!$D$115</definedName>
    <definedName name="OSRRefB15x_3" localSheetId="0">'Fort Bend, TX'!$E$75,'Fort Bend, TX'!$E$89,'Fort Bend, TX'!$E$100,'Fort Bend, TX'!$E$115</definedName>
    <definedName name="OSRRefB15x_4" localSheetId="0">'Fort Bend, TX'!$F$75,'Fort Bend, TX'!$F$89,'Fort Bend, TX'!$F$100,'Fort Bend, TX'!$F$115</definedName>
    <definedName name="OSRRefB15x_5" localSheetId="0">'Fort Bend, TX'!$G$75,'Fort Bend, TX'!$G$89,'Fort Bend, TX'!$G$100,'Fort Bend, TX'!$G$115</definedName>
    <definedName name="OSRRefB15x_6" localSheetId="0">'Fort Bend, TX'!$H$75,'Fort Bend, TX'!$H$89,'Fort Bend, TX'!$H$100,'Fort Bend, TX'!$H$115</definedName>
    <definedName name="OSRRefB15x_7" localSheetId="0">'Fort Bend, TX'!$I$75,'Fort Bend, TX'!$I$89,'Fort Bend, TX'!$I$100,'Fort Bend, TX'!$I$115</definedName>
    <definedName name="OSRRefB15x_8" localSheetId="0">'Fort Bend, TX'!$J$75,'Fort Bend, TX'!$J$89,'Fort Bend, TX'!$J$100,'Fort Bend, TX'!$J$115</definedName>
    <definedName name="OSRRefB15x_9" localSheetId="0">'Fort Bend, TX'!$K$75,'Fort Bend, TX'!$K$89,'Fort Bend, TX'!$K$100,'Fort Bend, TX'!$K$115</definedName>
    <definedName name="OSRRefB17x_0" localSheetId="0">'Fort Bend, TX'!$B$117</definedName>
    <definedName name="OSRRefB17x_1" localSheetId="0">'Fort Bend, TX'!$C$117</definedName>
    <definedName name="OSRRefB17x_10" localSheetId="0">'Fort Bend, TX'!$L$117</definedName>
    <definedName name="OSRRefB17x_11" localSheetId="0">'Fort Bend, TX'!$M$117</definedName>
    <definedName name="OSRRefB17x_2" localSheetId="0">'Fort Bend, TX'!$D$117</definedName>
    <definedName name="OSRRefB17x_3" localSheetId="0">'Fort Bend, TX'!$E$117</definedName>
    <definedName name="OSRRefB17x_4" localSheetId="0">'Fort Bend, TX'!$F$117</definedName>
    <definedName name="OSRRefB17x_5" localSheetId="0">'Fort Bend, TX'!$G$117</definedName>
    <definedName name="OSRRefB17x_6" localSheetId="0">'Fort Bend, TX'!$H$117</definedName>
    <definedName name="OSRRefB17x_7" localSheetId="0">'Fort Bend, TX'!$I$117</definedName>
    <definedName name="OSRRefB17x_8" localSheetId="0">'Fort Bend, TX'!$J$117</definedName>
    <definedName name="OSRRefB17x_9" localSheetId="0">'Fort Bend, TX'!$K$117</definedName>
    <definedName name="OSRRefB20_0_0x_0" localSheetId="0">'Fort Bend, TX'!$B$120:$B$125</definedName>
    <definedName name="OSRRefB20_0_0x_1" localSheetId="0">'Fort Bend, TX'!$C$120:$C$125</definedName>
    <definedName name="OSRRefB20_0_0x_10" localSheetId="0">'Fort Bend, TX'!$L$120:$L$125</definedName>
    <definedName name="OSRRefB20_0_0x_11" localSheetId="0">'Fort Bend, TX'!$M$120:$M$125</definedName>
    <definedName name="OSRRefB20_0_0x_2" localSheetId="0">'Fort Bend, TX'!$D$120:$D$125</definedName>
    <definedName name="OSRRefB20_0_0x_3" localSheetId="0">'Fort Bend, TX'!$E$120:$E$125</definedName>
    <definedName name="OSRRefB20_0_0x_4" localSheetId="0">'Fort Bend, TX'!$F$120:$F$125</definedName>
    <definedName name="OSRRefB20_0_0x_5" localSheetId="0">'Fort Bend, TX'!$G$120:$G$125</definedName>
    <definedName name="OSRRefB20_0_0x_6" localSheetId="0">'Fort Bend, TX'!$H$120:$H$125</definedName>
    <definedName name="OSRRefB20_0_0x_7" localSheetId="0">'Fort Bend, TX'!$I$120:$I$125</definedName>
    <definedName name="OSRRefB20_0_0x_8" localSheetId="0">'Fort Bend, TX'!$J$120:$J$125</definedName>
    <definedName name="OSRRefB20_0_0x_9" localSheetId="0">'Fort Bend, TX'!$K$120:$K$125</definedName>
    <definedName name="OSRRefB20_0_1x_0" localSheetId="0">'Fort Bend, TX'!$B$127:$B$132</definedName>
    <definedName name="OSRRefB20_0_1x_1" localSheetId="0">'Fort Bend, TX'!$C$127:$C$132</definedName>
    <definedName name="OSRRefB20_0_1x_10" localSheetId="0">'Fort Bend, TX'!$L$127:$L$132</definedName>
    <definedName name="OSRRefB20_0_1x_11" localSheetId="0">'Fort Bend, TX'!$M$127:$M$132</definedName>
    <definedName name="OSRRefB20_0_1x_2" localSheetId="0">'Fort Bend, TX'!$D$127:$D$132</definedName>
    <definedName name="OSRRefB20_0_1x_3" localSheetId="0">'Fort Bend, TX'!$E$127:$E$132</definedName>
    <definedName name="OSRRefB20_0_1x_4" localSheetId="0">'Fort Bend, TX'!$F$127:$F$132</definedName>
    <definedName name="OSRRefB20_0_1x_5" localSheetId="0">'Fort Bend, TX'!$G$127:$G$132</definedName>
    <definedName name="OSRRefB20_0_1x_6" localSheetId="0">'Fort Bend, TX'!$H$127:$H$132</definedName>
    <definedName name="OSRRefB20_0_1x_7" localSheetId="0">'Fort Bend, TX'!$I$127:$I$132</definedName>
    <definedName name="OSRRefB20_0_1x_8" localSheetId="0">'Fort Bend, TX'!$J$127:$J$132</definedName>
    <definedName name="OSRRefB20_0_1x_9" localSheetId="0">'Fort Bend, TX'!$K$127:$K$132</definedName>
    <definedName name="OSRRefB20_0_2x_0" localSheetId="0">'Fort Bend, TX'!$B$134:$B$136</definedName>
    <definedName name="OSRRefB20_0_2x_1" localSheetId="0">'Fort Bend, TX'!$C$134:$C$136</definedName>
    <definedName name="OSRRefB20_0_2x_10" localSheetId="0">'Fort Bend, TX'!$L$134:$L$136</definedName>
    <definedName name="OSRRefB20_0_2x_11" localSheetId="0">'Fort Bend, TX'!$M$134:$M$136</definedName>
    <definedName name="OSRRefB20_0_2x_2" localSheetId="0">'Fort Bend, TX'!$D$134:$D$136</definedName>
    <definedName name="OSRRefB20_0_2x_3" localSheetId="0">'Fort Bend, TX'!$E$134:$E$136</definedName>
    <definedName name="OSRRefB20_0_2x_4" localSheetId="0">'Fort Bend, TX'!$F$134:$F$136</definedName>
    <definedName name="OSRRefB20_0_2x_5" localSheetId="0">'Fort Bend, TX'!$G$134:$G$136</definedName>
    <definedName name="OSRRefB20_0_2x_6" localSheetId="0">'Fort Bend, TX'!$H$134:$H$136</definedName>
    <definedName name="OSRRefB20_0_2x_7" localSheetId="0">'Fort Bend, TX'!$I$134:$I$136</definedName>
    <definedName name="OSRRefB20_0_2x_8" localSheetId="0">'Fort Bend, TX'!$J$134:$J$136</definedName>
    <definedName name="OSRRefB20_0_2x_9" localSheetId="0">'Fort Bend, TX'!$K$134:$K$136</definedName>
    <definedName name="OSRRefB21_0x_0" localSheetId="0">'Fort Bend, TX'!$B$126,'Fort Bend, TX'!$B$133,'Fort Bend, TX'!$B$137</definedName>
    <definedName name="OSRRefB21_0x_1" localSheetId="0">'Fort Bend, TX'!$C$126,'Fort Bend, TX'!$C$133,'Fort Bend, TX'!$C$137</definedName>
    <definedName name="OSRRefB21_0x_10" localSheetId="0">'Fort Bend, TX'!$L$126,'Fort Bend, TX'!$L$133,'Fort Bend, TX'!$L$137</definedName>
    <definedName name="OSRRefB21_0x_11" localSheetId="0">'Fort Bend, TX'!$M$126,'Fort Bend, TX'!$M$133,'Fort Bend, TX'!$M$137</definedName>
    <definedName name="OSRRefB21_0x_2" localSheetId="0">'Fort Bend, TX'!$D$126,'Fort Bend, TX'!$D$133,'Fort Bend, TX'!$D$137</definedName>
    <definedName name="OSRRefB21_0x_3" localSheetId="0">'Fort Bend, TX'!$E$126,'Fort Bend, TX'!$E$133,'Fort Bend, TX'!$E$137</definedName>
    <definedName name="OSRRefB21_0x_4" localSheetId="0">'Fort Bend, TX'!$F$126,'Fort Bend, TX'!$F$133,'Fort Bend, TX'!$F$137</definedName>
    <definedName name="OSRRefB21_0x_5" localSheetId="0">'Fort Bend, TX'!$G$126,'Fort Bend, TX'!$G$133,'Fort Bend, TX'!$G$137</definedName>
    <definedName name="OSRRefB21_0x_6" localSheetId="0">'Fort Bend, TX'!$H$126,'Fort Bend, TX'!$H$133,'Fort Bend, TX'!$H$137</definedName>
    <definedName name="OSRRefB21_0x_7" localSheetId="0">'Fort Bend, TX'!$I$126,'Fort Bend, TX'!$I$133,'Fort Bend, TX'!$I$137</definedName>
    <definedName name="OSRRefB21_0x_8" localSheetId="0">'Fort Bend, TX'!$J$126,'Fort Bend, TX'!$J$133,'Fort Bend, TX'!$J$137</definedName>
    <definedName name="OSRRefB21_0x_9" localSheetId="0">'Fort Bend, TX'!$K$126,'Fort Bend, TX'!$K$133,'Fort Bend, TX'!$K$137</definedName>
    <definedName name="OSRRefB22x_0" localSheetId="0">'Fort Bend, TX'!$B$138</definedName>
    <definedName name="OSRRefB22x_1" localSheetId="0">'Fort Bend, TX'!$C$138</definedName>
    <definedName name="OSRRefB22x_10" localSheetId="0">'Fort Bend, TX'!$L$138</definedName>
    <definedName name="OSRRefB22x_11" localSheetId="0">'Fort Bend, TX'!$M$138</definedName>
    <definedName name="OSRRefB22x_2" localSheetId="0">'Fort Bend, TX'!$D$138</definedName>
    <definedName name="OSRRefB22x_3" localSheetId="0">'Fort Bend, TX'!$E$138</definedName>
    <definedName name="OSRRefB22x_4" localSheetId="0">'Fort Bend, TX'!$F$138</definedName>
    <definedName name="OSRRefB22x_5" localSheetId="0">'Fort Bend, TX'!$G$138</definedName>
    <definedName name="OSRRefB22x_6" localSheetId="0">'Fort Bend, TX'!$H$138</definedName>
    <definedName name="OSRRefB22x_7" localSheetId="0">'Fort Bend, TX'!$I$138</definedName>
    <definedName name="OSRRefB22x_8" localSheetId="0">'Fort Bend, TX'!$J$138</definedName>
    <definedName name="OSRRefB22x_9" localSheetId="0">'Fort Bend, TX'!$K$138</definedName>
    <definedName name="OSRRefB27_0_0x_0" localSheetId="0">'Fort Bend, TX'!$B$143</definedName>
    <definedName name="OSRRefB27_0_0x_1" localSheetId="0">'Fort Bend, TX'!$C$143</definedName>
    <definedName name="OSRRefB27_0_0x_10" localSheetId="0">'Fort Bend, TX'!$L$143</definedName>
    <definedName name="OSRRefB27_0_0x_11" localSheetId="0">'Fort Bend, TX'!$M$143</definedName>
    <definedName name="OSRRefB27_0_0x_2" localSheetId="0">'Fort Bend, TX'!$D$143</definedName>
    <definedName name="OSRRefB27_0_0x_3" localSheetId="0">'Fort Bend, TX'!$E$143</definedName>
    <definedName name="OSRRefB27_0_0x_4" localSheetId="0">'Fort Bend, TX'!$F$143</definedName>
    <definedName name="OSRRefB27_0_0x_5" localSheetId="0">'Fort Bend, TX'!$G$143</definedName>
    <definedName name="OSRRefB27_0_0x_6" localSheetId="0">'Fort Bend, TX'!$H$143</definedName>
    <definedName name="OSRRefB27_0_0x_7" localSheetId="0">'Fort Bend, TX'!$I$143</definedName>
    <definedName name="OSRRefB27_0_0x_8" localSheetId="0">'Fort Bend, TX'!$J$143</definedName>
    <definedName name="OSRRefB27_0_0x_9" localSheetId="0">'Fort Bend, TX'!$K$143</definedName>
    <definedName name="OSRRefB28_0x_0" localSheetId="0">'Fort Bend, TX'!$B$144</definedName>
    <definedName name="OSRRefB28_0x_1" localSheetId="0">'Fort Bend, TX'!$C$144</definedName>
    <definedName name="OSRRefB28_0x_10" localSheetId="0">'Fort Bend, TX'!$L$144</definedName>
    <definedName name="OSRRefB28_0x_11" localSheetId="0">'Fort Bend, TX'!$M$144</definedName>
    <definedName name="OSRRefB28_0x_2" localSheetId="0">'Fort Bend, TX'!$D$144</definedName>
    <definedName name="OSRRefB28_0x_3" localSheetId="0">'Fort Bend, TX'!$E$144</definedName>
    <definedName name="OSRRefB28_0x_4" localSheetId="0">'Fort Bend, TX'!$F$144</definedName>
    <definedName name="OSRRefB28_0x_5" localSheetId="0">'Fort Bend, TX'!$G$144</definedName>
    <definedName name="OSRRefB28_0x_6" localSheetId="0">'Fort Bend, TX'!$H$144</definedName>
    <definedName name="OSRRefB28_0x_7" localSheetId="0">'Fort Bend, TX'!$I$144</definedName>
    <definedName name="OSRRefB28_0x_8" localSheetId="0">'Fort Bend, TX'!$J$144</definedName>
    <definedName name="OSRRefB28_0x_9" localSheetId="0">'Fort Bend, TX'!$K$144</definedName>
    <definedName name="OSRRefB6_0_0x_0" localSheetId="0">'Fort Bend, TX'!$B$7:$B$18</definedName>
    <definedName name="OSRRefB6_0_0x_1" localSheetId="0">'Fort Bend, TX'!$C$7:$C$18</definedName>
    <definedName name="OSRRefB6_0_0x_10" localSheetId="0">'Fort Bend, TX'!$L$7:$L$18</definedName>
    <definedName name="OSRRefB6_0_0x_11" localSheetId="0">'Fort Bend, TX'!$M$7:$M$18</definedName>
    <definedName name="OSRRefB6_0_0x_2" localSheetId="0">'Fort Bend, TX'!$D$7:$D$18</definedName>
    <definedName name="OSRRefB6_0_0x_3" localSheetId="0">'Fort Bend, TX'!$E$7:$E$18</definedName>
    <definedName name="OSRRefB6_0_0x_4" localSheetId="0">'Fort Bend, TX'!$F$7:$F$18</definedName>
    <definedName name="OSRRefB6_0_0x_5" localSheetId="0">'Fort Bend, TX'!$G$7:$G$18</definedName>
    <definedName name="OSRRefB6_0_0x_6" localSheetId="0">'Fort Bend, TX'!$H$7:$H$18</definedName>
    <definedName name="OSRRefB6_0_0x_7" localSheetId="0">'Fort Bend, TX'!$I$7:$I$18</definedName>
    <definedName name="OSRRefB6_0_0x_8" localSheetId="0">'Fort Bend, TX'!$J$7:$J$18</definedName>
    <definedName name="OSRRefB6_0_0x_9" localSheetId="0">'Fort Bend, TX'!$K$7:$K$18</definedName>
    <definedName name="OSRRefB6_1_0x_0" localSheetId="0">'Fort Bend, TX'!$B$23:$B$26</definedName>
    <definedName name="OSRRefB6_1_0x_1" localSheetId="0">'Fort Bend, TX'!$C$23:$C$26</definedName>
    <definedName name="OSRRefB6_1_0x_10" localSheetId="0">'Fort Bend, TX'!$L$23:$L$26</definedName>
    <definedName name="OSRRefB6_1_0x_11" localSheetId="0">'Fort Bend, TX'!$M$23:$M$26</definedName>
    <definedName name="OSRRefB6_1_0x_2" localSheetId="0">'Fort Bend, TX'!$D$23:$D$26</definedName>
    <definedName name="OSRRefB6_1_0x_3" localSheetId="0">'Fort Bend, TX'!$E$23:$E$26</definedName>
    <definedName name="OSRRefB6_1_0x_4" localSheetId="0">'Fort Bend, TX'!$F$23:$F$26</definedName>
    <definedName name="OSRRefB6_1_0x_5" localSheetId="0">'Fort Bend, TX'!$G$23:$G$26</definedName>
    <definedName name="OSRRefB6_1_0x_6" localSheetId="0">'Fort Bend, TX'!$H$23:$H$26</definedName>
    <definedName name="OSRRefB6_1_0x_7" localSheetId="0">'Fort Bend, TX'!$I$23:$I$26</definedName>
    <definedName name="OSRRefB6_1_0x_8" localSheetId="0">'Fort Bend, TX'!$J$23:$J$26</definedName>
    <definedName name="OSRRefB6_1_0x_9" localSheetId="0">'Fort Bend, TX'!$K$23:$K$26</definedName>
    <definedName name="OSRRefB6_2_0x_0" localSheetId="0">'Fort Bend, TX'!$B$31:$B$33</definedName>
    <definedName name="OSRRefB6_2_0x_1" localSheetId="0">'Fort Bend, TX'!$C$31:$C$33</definedName>
    <definedName name="OSRRefB6_2_0x_10" localSheetId="0">'Fort Bend, TX'!$L$31:$L$33</definedName>
    <definedName name="OSRRefB6_2_0x_11" localSheetId="0">'Fort Bend, TX'!$M$31:$M$33</definedName>
    <definedName name="OSRRefB6_2_0x_2" localSheetId="0">'Fort Bend, TX'!$D$31:$D$33</definedName>
    <definedName name="OSRRefB6_2_0x_3" localSheetId="0">'Fort Bend, TX'!$E$31:$E$33</definedName>
    <definedName name="OSRRefB6_2_0x_4" localSheetId="0">'Fort Bend, TX'!$F$31:$F$33</definedName>
    <definedName name="OSRRefB6_2_0x_5" localSheetId="0">'Fort Bend, TX'!$G$31:$G$33</definedName>
    <definedName name="OSRRefB6_2_0x_6" localSheetId="0">'Fort Bend, TX'!$H$31:$H$33</definedName>
    <definedName name="OSRRefB6_2_0x_7" localSheetId="0">'Fort Bend, TX'!$I$31:$I$33</definedName>
    <definedName name="OSRRefB6_2_0x_8" localSheetId="0">'Fort Bend, TX'!$J$31:$J$33</definedName>
    <definedName name="OSRRefB6_2_0x_9" localSheetId="0">'Fort Bend, TX'!$K$31:$K$33</definedName>
    <definedName name="OSRRefB6_2_1x_0" localSheetId="0">'Fort Bend, TX'!$B$35:$B$38</definedName>
    <definedName name="OSRRefB6_2_1x_1" localSheetId="0">'Fort Bend, TX'!$C$35:$C$38</definedName>
    <definedName name="OSRRefB6_2_1x_10" localSheetId="0">'Fort Bend, TX'!$L$35:$L$38</definedName>
    <definedName name="OSRRefB6_2_1x_11" localSheetId="0">'Fort Bend, TX'!$M$35:$M$38</definedName>
    <definedName name="OSRRefB6_2_1x_2" localSheetId="0">'Fort Bend, TX'!$D$35:$D$38</definedName>
    <definedName name="OSRRefB6_2_1x_3" localSheetId="0">'Fort Bend, TX'!$E$35:$E$38</definedName>
    <definedName name="OSRRefB6_2_1x_4" localSheetId="0">'Fort Bend, TX'!$F$35:$F$38</definedName>
    <definedName name="OSRRefB6_2_1x_5" localSheetId="0">'Fort Bend, TX'!$G$35:$G$38</definedName>
    <definedName name="OSRRefB6_2_1x_6" localSheetId="0">'Fort Bend, TX'!$H$35:$H$38</definedName>
    <definedName name="OSRRefB6_2_1x_7" localSheetId="0">'Fort Bend, TX'!$I$35:$I$38</definedName>
    <definedName name="OSRRefB6_2_1x_8" localSheetId="0">'Fort Bend, TX'!$J$35:$J$38</definedName>
    <definedName name="OSRRefB6_2_1x_9" localSheetId="0">'Fort Bend, TX'!$K$35:$K$38</definedName>
    <definedName name="OSRRefB6_2_2x_0" localSheetId="0">'Fort Bend, TX'!$B$40</definedName>
    <definedName name="OSRRefB6_2_2x_1" localSheetId="0">'Fort Bend, TX'!$C$40</definedName>
    <definedName name="OSRRefB6_2_2x_10" localSheetId="0">'Fort Bend, TX'!$L$40</definedName>
    <definedName name="OSRRefB6_2_2x_11" localSheetId="0">'Fort Bend, TX'!$M$40</definedName>
    <definedName name="OSRRefB6_2_2x_2" localSheetId="0">'Fort Bend, TX'!$D$40</definedName>
    <definedName name="OSRRefB6_2_2x_3" localSheetId="0">'Fort Bend, TX'!$E$40</definedName>
    <definedName name="OSRRefB6_2_2x_4" localSheetId="0">'Fort Bend, TX'!$F$40</definedName>
    <definedName name="OSRRefB6_2_2x_5" localSheetId="0">'Fort Bend, TX'!$G$40</definedName>
    <definedName name="OSRRefB6_2_2x_6" localSheetId="0">'Fort Bend, TX'!$H$40</definedName>
    <definedName name="OSRRefB6_2_2x_7" localSheetId="0">'Fort Bend, TX'!$I$40</definedName>
    <definedName name="OSRRefB6_2_2x_8" localSheetId="0">'Fort Bend, TX'!$J$40</definedName>
    <definedName name="OSRRefB6_2_2x_9" localSheetId="0">'Fort Bend, TX'!$K$40</definedName>
    <definedName name="OSRRefB6_2_3x_0" localSheetId="0">'Fort Bend, TX'!$B$42:$B$44</definedName>
    <definedName name="OSRRefB6_2_3x_1" localSheetId="0">'Fort Bend, TX'!$C$42:$C$44</definedName>
    <definedName name="OSRRefB6_2_3x_10" localSheetId="0">'Fort Bend, TX'!$L$42:$L$44</definedName>
    <definedName name="OSRRefB6_2_3x_11" localSheetId="0">'Fort Bend, TX'!$M$42:$M$44</definedName>
    <definedName name="OSRRefB6_2_3x_2" localSheetId="0">'Fort Bend, TX'!$D$42:$D$44</definedName>
    <definedName name="OSRRefB6_2_3x_3" localSheetId="0">'Fort Bend, TX'!$E$42:$E$44</definedName>
    <definedName name="OSRRefB6_2_3x_4" localSheetId="0">'Fort Bend, TX'!$F$42:$F$44</definedName>
    <definedName name="OSRRefB6_2_3x_5" localSheetId="0">'Fort Bend, TX'!$G$42:$G$44</definedName>
    <definedName name="OSRRefB6_2_3x_6" localSheetId="0">'Fort Bend, TX'!$H$42:$H$44</definedName>
    <definedName name="OSRRefB6_2_3x_7" localSheetId="0">'Fort Bend, TX'!$I$42:$I$44</definedName>
    <definedName name="OSRRefB6_2_3x_8" localSheetId="0">'Fort Bend, TX'!$J$42:$J$44</definedName>
    <definedName name="OSRRefB6_2_3x_9" localSheetId="0">'Fort Bend, TX'!$K$42:$K$44</definedName>
    <definedName name="OSRRefB6_3_0x_0" localSheetId="0">'Fort Bend, TX'!$B$49:$B$56</definedName>
    <definedName name="OSRRefB6_3_0x_1" localSheetId="0">'Fort Bend, TX'!$C$49:$C$56</definedName>
    <definedName name="OSRRefB6_3_0x_10" localSheetId="0">'Fort Bend, TX'!$L$49:$L$56</definedName>
    <definedName name="OSRRefB6_3_0x_11" localSheetId="0">'Fort Bend, TX'!$M$49:$M$56</definedName>
    <definedName name="OSRRefB6_3_0x_2" localSheetId="0">'Fort Bend, TX'!$D$49:$D$56</definedName>
    <definedName name="OSRRefB6_3_0x_3" localSheetId="0">'Fort Bend, TX'!$E$49:$E$56</definedName>
    <definedName name="OSRRefB6_3_0x_4" localSheetId="0">'Fort Bend, TX'!$F$49:$F$56</definedName>
    <definedName name="OSRRefB6_3_0x_5" localSheetId="0">'Fort Bend, TX'!$G$49:$G$56</definedName>
    <definedName name="OSRRefB6_3_0x_6" localSheetId="0">'Fort Bend, TX'!$H$49:$H$56</definedName>
    <definedName name="OSRRefB6_3_0x_7" localSheetId="0">'Fort Bend, TX'!$I$49:$I$56</definedName>
    <definedName name="OSRRefB6_3_0x_8" localSheetId="0">'Fort Bend, TX'!$J$49:$J$56</definedName>
    <definedName name="OSRRefB6_3_0x_9" localSheetId="0">'Fort Bend, TX'!$K$49:$K$56</definedName>
    <definedName name="OSRRefB6_4_0x_0" localSheetId="0">'Fort Bend, TX'!$B$61:$B$66</definedName>
    <definedName name="OSRRefB6_4_0x_1" localSheetId="0">'Fort Bend, TX'!$C$61:$C$66</definedName>
    <definedName name="OSRRefB6_4_0x_10" localSheetId="0">'Fort Bend, TX'!$L$61:$L$66</definedName>
    <definedName name="OSRRefB6_4_0x_11" localSheetId="0">'Fort Bend, TX'!$M$61:$M$66</definedName>
    <definedName name="OSRRefB6_4_0x_2" localSheetId="0">'Fort Bend, TX'!$D$61:$D$66</definedName>
    <definedName name="OSRRefB6_4_0x_3" localSheetId="0">'Fort Bend, TX'!$E$61:$E$66</definedName>
    <definedName name="OSRRefB6_4_0x_4" localSheetId="0">'Fort Bend, TX'!$F$61:$F$66</definedName>
    <definedName name="OSRRefB6_4_0x_5" localSheetId="0">'Fort Bend, TX'!$G$61:$G$66</definedName>
    <definedName name="OSRRefB6_4_0x_6" localSheetId="0">'Fort Bend, TX'!$H$61:$H$66</definedName>
    <definedName name="OSRRefB6_4_0x_7" localSheetId="0">'Fort Bend, TX'!$I$61:$I$66</definedName>
    <definedName name="OSRRefB6_4_0x_8" localSheetId="0">'Fort Bend, TX'!$J$61:$J$66</definedName>
    <definedName name="OSRRefB6_4_0x_9" localSheetId="0">'Fort Bend, TX'!$K$61:$K$66</definedName>
    <definedName name="OSRRefB7_0x_0" localSheetId="0">'Fort Bend, TX'!$B$19</definedName>
    <definedName name="OSRRefB7_0x_1" localSheetId="0">'Fort Bend, TX'!$C$19</definedName>
    <definedName name="OSRRefB7_0x_10" localSheetId="0">'Fort Bend, TX'!$L$19</definedName>
    <definedName name="OSRRefB7_0x_11" localSheetId="0">'Fort Bend, TX'!$M$19</definedName>
    <definedName name="OSRRefB7_0x_2" localSheetId="0">'Fort Bend, TX'!$D$19</definedName>
    <definedName name="OSRRefB7_0x_3" localSheetId="0">'Fort Bend, TX'!$E$19</definedName>
    <definedName name="OSRRefB7_0x_4" localSheetId="0">'Fort Bend, TX'!$F$19</definedName>
    <definedName name="OSRRefB7_0x_5" localSheetId="0">'Fort Bend, TX'!$G$19</definedName>
    <definedName name="OSRRefB7_0x_6" localSheetId="0">'Fort Bend, TX'!$H$19</definedName>
    <definedName name="OSRRefB7_0x_7" localSheetId="0">'Fort Bend, TX'!$I$19</definedName>
    <definedName name="OSRRefB7_0x_8" localSheetId="0">'Fort Bend, TX'!$J$19</definedName>
    <definedName name="OSRRefB7_0x_9" localSheetId="0">'Fort Bend, TX'!$K$19</definedName>
    <definedName name="OSRRefB7_1x_0" localSheetId="0">'Fort Bend, TX'!$B$27</definedName>
    <definedName name="OSRRefB7_1x_1" localSheetId="0">'Fort Bend, TX'!$C$27</definedName>
    <definedName name="OSRRefB7_1x_10" localSheetId="0">'Fort Bend, TX'!$L$27</definedName>
    <definedName name="OSRRefB7_1x_11" localSheetId="0">'Fort Bend, TX'!$M$27</definedName>
    <definedName name="OSRRefB7_1x_2" localSheetId="0">'Fort Bend, TX'!$D$27</definedName>
    <definedName name="OSRRefB7_1x_3" localSheetId="0">'Fort Bend, TX'!$E$27</definedName>
    <definedName name="OSRRefB7_1x_4" localSheetId="0">'Fort Bend, TX'!$F$27</definedName>
    <definedName name="OSRRefB7_1x_5" localSheetId="0">'Fort Bend, TX'!$G$27</definedName>
    <definedName name="OSRRefB7_1x_6" localSheetId="0">'Fort Bend, TX'!$H$27</definedName>
    <definedName name="OSRRefB7_1x_7" localSheetId="0">'Fort Bend, TX'!$I$27</definedName>
    <definedName name="OSRRefB7_1x_8" localSheetId="0">'Fort Bend, TX'!$J$27</definedName>
    <definedName name="OSRRefB7_1x_9" localSheetId="0">'Fort Bend, TX'!$K$27</definedName>
    <definedName name="OSRRefB7_2x_0" localSheetId="0">'Fort Bend, TX'!$B$34,'Fort Bend, TX'!$B$39,'Fort Bend, TX'!$B$41,'Fort Bend, TX'!$B$45</definedName>
    <definedName name="OSRRefB7_2x_1" localSheetId="0">'Fort Bend, TX'!$C$34,'Fort Bend, TX'!$C$39,'Fort Bend, TX'!$C$41,'Fort Bend, TX'!$C$45</definedName>
    <definedName name="OSRRefB7_2x_10" localSheetId="0">'Fort Bend, TX'!$L$34,'Fort Bend, TX'!$L$39,'Fort Bend, TX'!$L$41,'Fort Bend, TX'!$L$45</definedName>
    <definedName name="OSRRefB7_2x_11" localSheetId="0">'Fort Bend, TX'!$M$34,'Fort Bend, TX'!$M$39,'Fort Bend, TX'!$M$41,'Fort Bend, TX'!$M$45</definedName>
    <definedName name="OSRRefB7_2x_2" localSheetId="0">'Fort Bend, TX'!$D$34,'Fort Bend, TX'!$D$39,'Fort Bend, TX'!$D$41,'Fort Bend, TX'!$D$45</definedName>
    <definedName name="OSRRefB7_2x_3" localSheetId="0">'Fort Bend, TX'!$E$34,'Fort Bend, TX'!$E$39,'Fort Bend, TX'!$E$41,'Fort Bend, TX'!$E$45</definedName>
    <definedName name="OSRRefB7_2x_4" localSheetId="0">'Fort Bend, TX'!$F$34,'Fort Bend, TX'!$F$39,'Fort Bend, TX'!$F$41,'Fort Bend, TX'!$F$45</definedName>
    <definedName name="OSRRefB7_2x_5" localSheetId="0">'Fort Bend, TX'!$G$34,'Fort Bend, TX'!$G$39,'Fort Bend, TX'!$G$41,'Fort Bend, TX'!$G$45</definedName>
    <definedName name="OSRRefB7_2x_6" localSheetId="0">'Fort Bend, TX'!$H$34,'Fort Bend, TX'!$H$39,'Fort Bend, TX'!$H$41,'Fort Bend, TX'!$H$45</definedName>
    <definedName name="OSRRefB7_2x_7" localSheetId="0">'Fort Bend, TX'!$I$34,'Fort Bend, TX'!$I$39,'Fort Bend, TX'!$I$41,'Fort Bend, TX'!$I$45</definedName>
    <definedName name="OSRRefB7_2x_8" localSheetId="0">'Fort Bend, TX'!$J$34,'Fort Bend, TX'!$J$39,'Fort Bend, TX'!$J$41,'Fort Bend, TX'!$J$45</definedName>
    <definedName name="OSRRefB7_2x_9" localSheetId="0">'Fort Bend, TX'!$K$34,'Fort Bend, TX'!$K$39,'Fort Bend, TX'!$K$41,'Fort Bend, TX'!$K$45</definedName>
    <definedName name="OSRRefB7_3x_0" localSheetId="0">'Fort Bend, TX'!$B$57</definedName>
    <definedName name="OSRRefB7_3x_1" localSheetId="0">'Fort Bend, TX'!$C$57</definedName>
    <definedName name="OSRRefB7_3x_10" localSheetId="0">'Fort Bend, TX'!$L$57</definedName>
    <definedName name="OSRRefB7_3x_11" localSheetId="0">'Fort Bend, TX'!$M$57</definedName>
    <definedName name="OSRRefB7_3x_2" localSheetId="0">'Fort Bend, TX'!$D$57</definedName>
    <definedName name="OSRRefB7_3x_3" localSheetId="0">'Fort Bend, TX'!$E$57</definedName>
    <definedName name="OSRRefB7_3x_4" localSheetId="0">'Fort Bend, TX'!$F$57</definedName>
    <definedName name="OSRRefB7_3x_5" localSheetId="0">'Fort Bend, TX'!$G$57</definedName>
    <definedName name="OSRRefB7_3x_6" localSheetId="0">'Fort Bend, TX'!$H$57</definedName>
    <definedName name="OSRRefB7_3x_7" localSheetId="0">'Fort Bend, TX'!$I$57</definedName>
    <definedName name="OSRRefB7_3x_8" localSheetId="0">'Fort Bend, TX'!$J$57</definedName>
    <definedName name="OSRRefB7_3x_9" localSheetId="0">'Fort Bend, TX'!$K$57</definedName>
    <definedName name="OSRRefB7_4x_0" localSheetId="0">'Fort Bend, TX'!$B$67</definedName>
    <definedName name="OSRRefB7_4x_1" localSheetId="0">'Fort Bend, TX'!$C$67</definedName>
    <definedName name="OSRRefB7_4x_10" localSheetId="0">'Fort Bend, TX'!$L$67</definedName>
    <definedName name="OSRRefB7_4x_11" localSheetId="0">'Fort Bend, TX'!$M$67</definedName>
    <definedName name="OSRRefB7_4x_2" localSheetId="0">'Fort Bend, TX'!$D$67</definedName>
    <definedName name="OSRRefB7_4x_3" localSheetId="0">'Fort Bend, TX'!$E$67</definedName>
    <definedName name="OSRRefB7_4x_4" localSheetId="0">'Fort Bend, TX'!$F$67</definedName>
    <definedName name="OSRRefB7_4x_5" localSheetId="0">'Fort Bend, TX'!$G$67</definedName>
    <definedName name="OSRRefB7_4x_6" localSheetId="0">'Fort Bend, TX'!$H$67</definedName>
    <definedName name="OSRRefB7_4x_7" localSheetId="0">'Fort Bend, TX'!$I$67</definedName>
    <definedName name="OSRRefB7_4x_8" localSheetId="0">'Fort Bend, TX'!$J$67</definedName>
    <definedName name="OSRRefB7_4x_9" localSheetId="0">'Fort Bend, TX'!$K$67</definedName>
    <definedName name="OSRRefB8x_0" localSheetId="0">'Fort Bend, TX'!$B$20,'Fort Bend, TX'!$B$28,'Fort Bend, TX'!$B$46,'Fort Bend, TX'!$B$58,'Fort Bend, TX'!$B$68</definedName>
    <definedName name="OSRRefB8x_1" localSheetId="0">'Fort Bend, TX'!$C$20,'Fort Bend, TX'!$C$28,'Fort Bend, TX'!$C$46,'Fort Bend, TX'!$C$58,'Fort Bend, TX'!$C$68</definedName>
    <definedName name="OSRRefB8x_10" localSheetId="0">'Fort Bend, TX'!$L$20,'Fort Bend, TX'!$L$28,'Fort Bend, TX'!$L$46,'Fort Bend, TX'!$L$58,'Fort Bend, TX'!$L$68</definedName>
    <definedName name="OSRRefB8x_11" localSheetId="0">'Fort Bend, TX'!$M$20,'Fort Bend, TX'!$M$28,'Fort Bend, TX'!$M$46,'Fort Bend, TX'!$M$58,'Fort Bend, TX'!$M$68</definedName>
    <definedName name="OSRRefB8x_2" localSheetId="0">'Fort Bend, TX'!$D$20,'Fort Bend, TX'!$D$28,'Fort Bend, TX'!$D$46,'Fort Bend, TX'!$D$58,'Fort Bend, TX'!$D$68</definedName>
    <definedName name="OSRRefB8x_3" localSheetId="0">'Fort Bend, TX'!$E$20,'Fort Bend, TX'!$E$28,'Fort Bend, TX'!$E$46,'Fort Bend, TX'!$E$58,'Fort Bend, TX'!$E$68</definedName>
    <definedName name="OSRRefB8x_4" localSheetId="0">'Fort Bend, TX'!$F$20,'Fort Bend, TX'!$F$28,'Fort Bend, TX'!$F$46,'Fort Bend, TX'!$F$58,'Fort Bend, TX'!$F$68</definedName>
    <definedName name="OSRRefB8x_5" localSheetId="0">'Fort Bend, TX'!$G$20,'Fort Bend, TX'!$G$28,'Fort Bend, TX'!$G$46,'Fort Bend, TX'!$G$58,'Fort Bend, TX'!$G$68</definedName>
    <definedName name="OSRRefB8x_6" localSheetId="0">'Fort Bend, TX'!$H$20,'Fort Bend, TX'!$H$28,'Fort Bend, TX'!$H$46,'Fort Bend, TX'!$H$58,'Fort Bend, TX'!$H$68</definedName>
    <definedName name="OSRRefB8x_7" localSheetId="0">'Fort Bend, TX'!$I$20,'Fort Bend, TX'!$I$28,'Fort Bend, TX'!$I$46,'Fort Bend, TX'!$I$58,'Fort Bend, TX'!$I$68</definedName>
    <definedName name="OSRRefB8x_8" localSheetId="0">'Fort Bend, TX'!$J$20,'Fort Bend, TX'!$J$28,'Fort Bend, TX'!$J$46,'Fort Bend, TX'!$J$58,'Fort Bend, TX'!$J$68</definedName>
    <definedName name="OSRRefB8x_9" localSheetId="0">'Fort Bend, TX'!$K$20,'Fort Bend, TX'!$K$28,'Fort Bend, TX'!$K$46,'Fort Bend, TX'!$K$58,'Fort Bend, TX'!$K$68</definedName>
    <definedName name="Z_0660B23F_7F1C_4A0B_B896_A8194202EB74_.wvu.Rows" localSheetId="0" hidden="1">'Fort Bend, TX'!$6:$19,'Fort Bend, TX'!$22:$27,'Fort Bend, TX'!$30:$45,'Fort Bend, TX'!$48:$57,'Fort Bend, TX'!$60:$67,'Fort Bend, TX'!$70:$70,'Fort Bend, TX'!$72:$74,'Fort Bend, TX'!$91:$99,'Fort Bend, TX'!$102:$114,'Fort Bend, TX'!$117:$117,'Fort Bend, TX'!$119:$137,'Fort Bend, TX'!$142:$144</definedName>
    <definedName name="Z_CDEB301C_2863_4D41_A4C3_40E4B6E76625_.wvu.Rows" localSheetId="0" hidden="1">'Fort Bend, TX'!$6:$19,'Fort Bend, TX'!$22:$27,'Fort Bend, TX'!$30:$45,'Fort Bend, TX'!$48:$57,'Fort Bend, TX'!$60:$67,'Fort Bend, TX'!$70:$70,'Fort Bend, TX'!$72:$74,'Fort Bend, TX'!$91:$99,'Fort Bend, TX'!$102:$114,'Fort Bend, TX'!$117:$117,'Fort Bend, TX'!$119:$137,'Fort Bend, TX'!$142:$144</definedName>
  </definedNames>
  <calcPr calcId="162913"/>
  <customWorkbookViews>
    <customWorkbookView name="Krejci, Cheryl - Personal View" guid="{0660B23F-7F1C-4A0B-B896-A8194202EB74}" mergeInterval="0" personalView="1" xWindow="272" yWindow="27" windowWidth="1618" windowHeight="981" activeSheetId="1"/>
    <customWorkbookView name="Administrator - Personal View" guid="{CDEB301C-2863-4D41-A4C3-40E4B6E76625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9" i="1" l="1"/>
  <c r="A6" i="1"/>
  <c r="A7" i="1"/>
  <c r="B7" i="1"/>
  <c r="C7" i="1"/>
  <c r="D7" i="1"/>
  <c r="E7" i="1"/>
  <c r="F7" i="1"/>
  <c r="G7" i="1"/>
  <c r="H7" i="1"/>
  <c r="I7" i="1"/>
  <c r="J7" i="1"/>
  <c r="K7" i="1"/>
  <c r="L7" i="1"/>
  <c r="M7" i="1"/>
  <c r="A8" i="1"/>
  <c r="B8" i="1"/>
  <c r="C8" i="1"/>
  <c r="D8" i="1"/>
  <c r="E8" i="1"/>
  <c r="F8" i="1"/>
  <c r="G8" i="1"/>
  <c r="H8" i="1"/>
  <c r="I8" i="1"/>
  <c r="J8" i="1"/>
  <c r="K8" i="1"/>
  <c r="L8" i="1"/>
  <c r="M8" i="1"/>
  <c r="A9" i="1"/>
  <c r="B9" i="1"/>
  <c r="C9" i="1"/>
  <c r="D9" i="1"/>
  <c r="E9" i="1"/>
  <c r="F9" i="1"/>
  <c r="G9" i="1"/>
  <c r="H9" i="1"/>
  <c r="I9" i="1"/>
  <c r="J9" i="1"/>
  <c r="K9" i="1"/>
  <c r="L9" i="1"/>
  <c r="M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A12" i="1"/>
  <c r="B12" i="1"/>
  <c r="C12" i="1"/>
  <c r="D12" i="1"/>
  <c r="E12" i="1"/>
  <c r="F12" i="1"/>
  <c r="G12" i="1"/>
  <c r="H12" i="1"/>
  <c r="H19" i="1" s="1"/>
  <c r="H20" i="1" s="1"/>
  <c r="I12" i="1"/>
  <c r="J12" i="1"/>
  <c r="K12" i="1"/>
  <c r="L12" i="1"/>
  <c r="M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A20" i="1"/>
  <c r="A22" i="1"/>
  <c r="A23" i="1"/>
  <c r="B23" i="1"/>
  <c r="C23" i="1"/>
  <c r="D23" i="1"/>
  <c r="E23" i="1"/>
  <c r="F23" i="1"/>
  <c r="F27" i="1" s="1"/>
  <c r="F28" i="1" s="1"/>
  <c r="G23" i="1"/>
  <c r="H23" i="1"/>
  <c r="I23" i="1"/>
  <c r="J23" i="1"/>
  <c r="K23" i="1"/>
  <c r="L23" i="1"/>
  <c r="M23" i="1"/>
  <c r="A24" i="1"/>
  <c r="B24" i="1"/>
  <c r="C24" i="1"/>
  <c r="D24" i="1"/>
  <c r="D27" i="1" s="1"/>
  <c r="D28" i="1" s="1"/>
  <c r="E24" i="1"/>
  <c r="F24" i="1"/>
  <c r="G24" i="1"/>
  <c r="H24" i="1"/>
  <c r="I24" i="1"/>
  <c r="J24" i="1"/>
  <c r="K24" i="1"/>
  <c r="L24" i="1"/>
  <c r="L27" i="1" s="1"/>
  <c r="L28" i="1" s="1"/>
  <c r="M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8" i="1"/>
  <c r="A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A33" i="1"/>
  <c r="B33" i="1"/>
  <c r="C33" i="1"/>
  <c r="D33" i="1"/>
  <c r="E33" i="1"/>
  <c r="E34" i="1" s="1"/>
  <c r="F33" i="1"/>
  <c r="G33" i="1"/>
  <c r="H33" i="1"/>
  <c r="I33" i="1"/>
  <c r="J33" i="1"/>
  <c r="K33" i="1"/>
  <c r="L33" i="1"/>
  <c r="M33" i="1"/>
  <c r="M34" i="1" s="1"/>
  <c r="F34" i="1"/>
  <c r="A35" i="1"/>
  <c r="B35" i="1"/>
  <c r="C35" i="1"/>
  <c r="D35" i="1"/>
  <c r="E35" i="1"/>
  <c r="F35" i="1"/>
  <c r="G35" i="1"/>
  <c r="G39" i="1" s="1"/>
  <c r="H35" i="1"/>
  <c r="I35" i="1"/>
  <c r="J35" i="1"/>
  <c r="K35" i="1"/>
  <c r="L35" i="1"/>
  <c r="M35" i="1"/>
  <c r="A36" i="1"/>
  <c r="B36" i="1"/>
  <c r="C36" i="1"/>
  <c r="D36" i="1"/>
  <c r="E36" i="1"/>
  <c r="F36" i="1"/>
  <c r="G36" i="1"/>
  <c r="H36" i="1"/>
  <c r="I36" i="1"/>
  <c r="J36" i="1"/>
  <c r="J39" i="1" s="1"/>
  <c r="K36" i="1"/>
  <c r="L36" i="1"/>
  <c r="M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A38" i="1"/>
  <c r="B38" i="1"/>
  <c r="C38" i="1"/>
  <c r="D38" i="1"/>
  <c r="E38" i="1"/>
  <c r="F38" i="1"/>
  <c r="F39" i="1" s="1"/>
  <c r="G38" i="1"/>
  <c r="H38" i="1"/>
  <c r="O38" i="1" s="1"/>
  <c r="I38" i="1"/>
  <c r="J38" i="1"/>
  <c r="K38" i="1"/>
  <c r="L38" i="1"/>
  <c r="M38" i="1"/>
  <c r="I39" i="1"/>
  <c r="A40" i="1"/>
  <c r="B40" i="1"/>
  <c r="C40" i="1"/>
  <c r="C41" i="1" s="1"/>
  <c r="D40" i="1"/>
  <c r="E40" i="1"/>
  <c r="F40" i="1"/>
  <c r="G40" i="1"/>
  <c r="H40" i="1"/>
  <c r="H41" i="1" s="1"/>
  <c r="I40" i="1"/>
  <c r="I41" i="1" s="1"/>
  <c r="J40" i="1"/>
  <c r="J41" i="1" s="1"/>
  <c r="K40" i="1"/>
  <c r="K41" i="1" s="1"/>
  <c r="L40" i="1"/>
  <c r="M40" i="1"/>
  <c r="M41" i="1" s="1"/>
  <c r="D41" i="1"/>
  <c r="E41" i="1"/>
  <c r="F41" i="1"/>
  <c r="G41" i="1"/>
  <c r="L41" i="1"/>
  <c r="A42" i="1"/>
  <c r="B42" i="1"/>
  <c r="C42" i="1"/>
  <c r="D42" i="1"/>
  <c r="E42" i="1"/>
  <c r="E45" i="1" s="1"/>
  <c r="F42" i="1"/>
  <c r="G42" i="1"/>
  <c r="H42" i="1"/>
  <c r="I42" i="1"/>
  <c r="J42" i="1"/>
  <c r="K42" i="1"/>
  <c r="L42" i="1"/>
  <c r="M42" i="1"/>
  <c r="M45" i="1" s="1"/>
  <c r="A43" i="1"/>
  <c r="B43" i="1"/>
  <c r="C43" i="1"/>
  <c r="D43" i="1"/>
  <c r="E43" i="1"/>
  <c r="F43" i="1"/>
  <c r="F45" i="1" s="1"/>
  <c r="G43" i="1"/>
  <c r="H43" i="1"/>
  <c r="I43" i="1"/>
  <c r="J43" i="1"/>
  <c r="K43" i="1"/>
  <c r="L43" i="1"/>
  <c r="M43" i="1"/>
  <c r="A44" i="1"/>
  <c r="B44" i="1"/>
  <c r="C44" i="1"/>
  <c r="D44" i="1"/>
  <c r="D45" i="1" s="1"/>
  <c r="E44" i="1"/>
  <c r="F44" i="1"/>
  <c r="G44" i="1"/>
  <c r="H44" i="1"/>
  <c r="I44" i="1"/>
  <c r="J44" i="1"/>
  <c r="K44" i="1"/>
  <c r="L44" i="1"/>
  <c r="L45" i="1" s="1"/>
  <c r="M44" i="1"/>
  <c r="G45" i="1"/>
  <c r="A46" i="1"/>
  <c r="A48" i="1"/>
  <c r="A49" i="1"/>
  <c r="B49" i="1"/>
  <c r="C49" i="1"/>
  <c r="D49" i="1"/>
  <c r="E49" i="1"/>
  <c r="F49" i="1"/>
  <c r="G49" i="1"/>
  <c r="H49" i="1"/>
  <c r="I49" i="1"/>
  <c r="J49" i="1"/>
  <c r="J57" i="1" s="1"/>
  <c r="J58" i="1" s="1"/>
  <c r="K49" i="1"/>
  <c r="L49" i="1"/>
  <c r="M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A51" i="1"/>
  <c r="B51" i="1"/>
  <c r="C51" i="1"/>
  <c r="D51" i="1"/>
  <c r="E51" i="1"/>
  <c r="F51" i="1"/>
  <c r="G51" i="1"/>
  <c r="H51" i="1"/>
  <c r="O51" i="1" s="1"/>
  <c r="I51" i="1"/>
  <c r="J51" i="1"/>
  <c r="K51" i="1"/>
  <c r="L51" i="1"/>
  <c r="M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A53" i="1"/>
  <c r="B53" i="1"/>
  <c r="C53" i="1"/>
  <c r="C57" i="1" s="1"/>
  <c r="C58" i="1" s="1"/>
  <c r="D53" i="1"/>
  <c r="E53" i="1"/>
  <c r="F53" i="1"/>
  <c r="G53" i="1"/>
  <c r="H53" i="1"/>
  <c r="I53" i="1"/>
  <c r="J53" i="1"/>
  <c r="K53" i="1"/>
  <c r="K57" i="1" s="1"/>
  <c r="K58" i="1" s="1"/>
  <c r="L53" i="1"/>
  <c r="M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A55" i="1"/>
  <c r="B55" i="1"/>
  <c r="O55" i="1" s="1"/>
  <c r="C55" i="1"/>
  <c r="D55" i="1"/>
  <c r="E55" i="1"/>
  <c r="F55" i="1"/>
  <c r="G55" i="1"/>
  <c r="H55" i="1"/>
  <c r="I55" i="1"/>
  <c r="J55" i="1"/>
  <c r="K55" i="1"/>
  <c r="L55" i="1"/>
  <c r="M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A58" i="1"/>
  <c r="A60" i="1"/>
  <c r="A61" i="1"/>
  <c r="B61" i="1"/>
  <c r="C61" i="1"/>
  <c r="O61" i="1" s="1"/>
  <c r="D61" i="1"/>
  <c r="E61" i="1"/>
  <c r="F61" i="1"/>
  <c r="G61" i="1"/>
  <c r="H61" i="1"/>
  <c r="I61" i="1"/>
  <c r="J61" i="1"/>
  <c r="K61" i="1"/>
  <c r="L61" i="1"/>
  <c r="M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A63" i="1"/>
  <c r="B63" i="1"/>
  <c r="C63" i="1"/>
  <c r="D63" i="1"/>
  <c r="E63" i="1"/>
  <c r="F63" i="1"/>
  <c r="G63" i="1"/>
  <c r="H63" i="1"/>
  <c r="H67" i="1" s="1"/>
  <c r="H68" i="1" s="1"/>
  <c r="I63" i="1"/>
  <c r="J63" i="1"/>
  <c r="K63" i="1"/>
  <c r="L63" i="1"/>
  <c r="M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A68" i="1"/>
  <c r="A72" i="1"/>
  <c r="A73" i="1"/>
  <c r="B73" i="1"/>
  <c r="B74" i="1" s="1"/>
  <c r="C73" i="1"/>
  <c r="C74" i="1" s="1"/>
  <c r="C75" i="1" s="1"/>
  <c r="D73" i="1"/>
  <c r="D74" i="1" s="1"/>
  <c r="D75" i="1" s="1"/>
  <c r="E73" i="1"/>
  <c r="E74" i="1" s="1"/>
  <c r="E75" i="1" s="1"/>
  <c r="F73" i="1"/>
  <c r="F74" i="1" s="1"/>
  <c r="F75" i="1" s="1"/>
  <c r="G73" i="1"/>
  <c r="H73" i="1"/>
  <c r="H74" i="1" s="1"/>
  <c r="H75" i="1" s="1"/>
  <c r="I73" i="1"/>
  <c r="J73" i="1"/>
  <c r="J74" i="1" s="1"/>
  <c r="J75" i="1" s="1"/>
  <c r="K73" i="1"/>
  <c r="K74" i="1" s="1"/>
  <c r="K75" i="1" s="1"/>
  <c r="L73" i="1"/>
  <c r="L74" i="1" s="1"/>
  <c r="L75" i="1" s="1"/>
  <c r="M73" i="1"/>
  <c r="M74" i="1" s="1"/>
  <c r="M75" i="1" s="1"/>
  <c r="O73" i="1"/>
  <c r="G74" i="1"/>
  <c r="G75" i="1" s="1"/>
  <c r="I74" i="1"/>
  <c r="I75" i="1" s="1"/>
  <c r="A75" i="1"/>
  <c r="A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A79" i="1"/>
  <c r="B79" i="1"/>
  <c r="C79" i="1"/>
  <c r="D79" i="1"/>
  <c r="O79" i="1" s="1"/>
  <c r="E79" i="1"/>
  <c r="F79" i="1"/>
  <c r="G79" i="1"/>
  <c r="H79" i="1"/>
  <c r="I79" i="1"/>
  <c r="J79" i="1"/>
  <c r="K79" i="1"/>
  <c r="L79" i="1"/>
  <c r="M79" i="1"/>
  <c r="A80" i="1"/>
  <c r="B80" i="1"/>
  <c r="C80" i="1"/>
  <c r="D80" i="1"/>
  <c r="E80" i="1"/>
  <c r="F80" i="1"/>
  <c r="G80" i="1"/>
  <c r="H80" i="1"/>
  <c r="H84" i="1" s="1"/>
  <c r="I80" i="1"/>
  <c r="J80" i="1"/>
  <c r="K80" i="1"/>
  <c r="L80" i="1"/>
  <c r="M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A83" i="1"/>
  <c r="B83" i="1"/>
  <c r="C83" i="1"/>
  <c r="D83" i="1"/>
  <c r="E83" i="1"/>
  <c r="F83" i="1"/>
  <c r="G83" i="1"/>
  <c r="O83" i="1" s="1"/>
  <c r="H83" i="1"/>
  <c r="K83" i="1"/>
  <c r="L83" i="1"/>
  <c r="M83" i="1"/>
  <c r="I84" i="1"/>
  <c r="A85" i="1"/>
  <c r="B85" i="1"/>
  <c r="B88" i="1" s="1"/>
  <c r="C85" i="1"/>
  <c r="D85" i="1"/>
  <c r="E85" i="1"/>
  <c r="F85" i="1"/>
  <c r="G85" i="1"/>
  <c r="G88" i="1" s="1"/>
  <c r="H85" i="1"/>
  <c r="H88" i="1" s="1"/>
  <c r="I85" i="1"/>
  <c r="J85" i="1"/>
  <c r="K85" i="1"/>
  <c r="L85" i="1"/>
  <c r="M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M88" i="1" s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E88" i="1"/>
  <c r="I88" i="1"/>
  <c r="A89" i="1"/>
  <c r="A91" i="1"/>
  <c r="A92" i="1"/>
  <c r="B92" i="1"/>
  <c r="C92" i="1"/>
  <c r="C99" i="1" s="1"/>
  <c r="C100" i="1" s="1"/>
  <c r="D92" i="1"/>
  <c r="D99" i="1" s="1"/>
  <c r="D100" i="1" s="1"/>
  <c r="E92" i="1"/>
  <c r="F92" i="1"/>
  <c r="G92" i="1"/>
  <c r="H92" i="1"/>
  <c r="I92" i="1"/>
  <c r="J92" i="1"/>
  <c r="K92" i="1"/>
  <c r="L92" i="1"/>
  <c r="M92" i="1"/>
  <c r="A93" i="1"/>
  <c r="B93" i="1"/>
  <c r="C93" i="1"/>
  <c r="D93" i="1"/>
  <c r="O93" i="1" s="1"/>
  <c r="E93" i="1"/>
  <c r="F93" i="1"/>
  <c r="G93" i="1"/>
  <c r="H93" i="1"/>
  <c r="I93" i="1"/>
  <c r="I99" i="1" s="1"/>
  <c r="I100" i="1" s="1"/>
  <c r="J93" i="1"/>
  <c r="K93" i="1"/>
  <c r="L93" i="1"/>
  <c r="M93" i="1"/>
  <c r="A94" i="1"/>
  <c r="B94" i="1"/>
  <c r="C94" i="1"/>
  <c r="D94" i="1"/>
  <c r="E94" i="1"/>
  <c r="F94" i="1"/>
  <c r="G94" i="1"/>
  <c r="H94" i="1"/>
  <c r="I94" i="1"/>
  <c r="J94" i="1"/>
  <c r="K94" i="1"/>
  <c r="K99" i="1" s="1"/>
  <c r="K100" i="1" s="1"/>
  <c r="L94" i="1"/>
  <c r="M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A100" i="1"/>
  <c r="A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A104" i="1"/>
  <c r="B104" i="1"/>
  <c r="C104" i="1"/>
  <c r="D104" i="1"/>
  <c r="E104" i="1"/>
  <c r="E114" i="1" s="1"/>
  <c r="E115" i="1" s="1"/>
  <c r="F104" i="1"/>
  <c r="G104" i="1"/>
  <c r="H104" i="1"/>
  <c r="I104" i="1"/>
  <c r="J104" i="1"/>
  <c r="K104" i="1"/>
  <c r="L104" i="1"/>
  <c r="M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A111" i="1"/>
  <c r="B111" i="1"/>
  <c r="O111" i="1" s="1"/>
  <c r="C111" i="1"/>
  <c r="D111" i="1"/>
  <c r="E111" i="1"/>
  <c r="F111" i="1"/>
  <c r="G111" i="1"/>
  <c r="H111" i="1"/>
  <c r="I111" i="1"/>
  <c r="J111" i="1"/>
  <c r="K111" i="1"/>
  <c r="L111" i="1"/>
  <c r="M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A115" i="1"/>
  <c r="A119" i="1"/>
  <c r="A120" i="1"/>
  <c r="B120" i="1"/>
  <c r="C120" i="1"/>
  <c r="D120" i="1"/>
  <c r="E120" i="1"/>
  <c r="F120" i="1"/>
  <c r="F126" i="1" s="1"/>
  <c r="G120" i="1"/>
  <c r="H120" i="1"/>
  <c r="I120" i="1"/>
  <c r="J120" i="1"/>
  <c r="K120" i="1"/>
  <c r="L120" i="1"/>
  <c r="M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A125" i="1"/>
  <c r="B125" i="1"/>
  <c r="C125" i="1"/>
  <c r="D125" i="1"/>
  <c r="E125" i="1"/>
  <c r="O125" i="1" s="1"/>
  <c r="F125" i="1"/>
  <c r="G125" i="1"/>
  <c r="H125" i="1"/>
  <c r="I125" i="1"/>
  <c r="J125" i="1"/>
  <c r="K125" i="1"/>
  <c r="L125" i="1"/>
  <c r="M125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A129" i="1"/>
  <c r="B129" i="1"/>
  <c r="C129" i="1"/>
  <c r="D129" i="1"/>
  <c r="O129" i="1" s="1"/>
  <c r="E129" i="1"/>
  <c r="F129" i="1"/>
  <c r="G129" i="1"/>
  <c r="H129" i="1"/>
  <c r="I129" i="1"/>
  <c r="J129" i="1"/>
  <c r="K129" i="1"/>
  <c r="L129" i="1"/>
  <c r="M129" i="1"/>
  <c r="A130" i="1"/>
  <c r="B130" i="1"/>
  <c r="C130" i="1"/>
  <c r="D130" i="1"/>
  <c r="E130" i="1"/>
  <c r="F130" i="1"/>
  <c r="G130" i="1"/>
  <c r="G133" i="1" s="1"/>
  <c r="H130" i="1"/>
  <c r="I130" i="1"/>
  <c r="J130" i="1"/>
  <c r="K130" i="1"/>
  <c r="L130" i="1"/>
  <c r="M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M133" i="1" s="1"/>
  <c r="H133" i="1"/>
  <c r="A134" i="1"/>
  <c r="B134" i="1"/>
  <c r="C134" i="1"/>
  <c r="D134" i="1"/>
  <c r="E134" i="1"/>
  <c r="F134" i="1"/>
  <c r="G134" i="1"/>
  <c r="G137" i="1" s="1"/>
  <c r="H134" i="1"/>
  <c r="I134" i="1"/>
  <c r="J134" i="1"/>
  <c r="K134" i="1"/>
  <c r="L134" i="1"/>
  <c r="M134" i="1"/>
  <c r="A135" i="1"/>
  <c r="B135" i="1"/>
  <c r="C135" i="1"/>
  <c r="D135" i="1"/>
  <c r="D137" i="1" s="1"/>
  <c r="E135" i="1"/>
  <c r="F135" i="1"/>
  <c r="G135" i="1"/>
  <c r="H135" i="1"/>
  <c r="H137" i="1" s="1"/>
  <c r="I135" i="1"/>
  <c r="J135" i="1"/>
  <c r="K135" i="1"/>
  <c r="L135" i="1"/>
  <c r="L137" i="1" s="1"/>
  <c r="M135" i="1"/>
  <c r="A136" i="1"/>
  <c r="B136" i="1"/>
  <c r="C136" i="1"/>
  <c r="O136" i="1" s="1"/>
  <c r="D136" i="1"/>
  <c r="E136" i="1"/>
  <c r="F136" i="1"/>
  <c r="F137" i="1" s="1"/>
  <c r="G136" i="1"/>
  <c r="H136" i="1"/>
  <c r="I136" i="1"/>
  <c r="J136" i="1"/>
  <c r="K136" i="1"/>
  <c r="L136" i="1"/>
  <c r="M136" i="1"/>
  <c r="A138" i="1"/>
  <c r="A142" i="1"/>
  <c r="A143" i="1"/>
  <c r="B143" i="1"/>
  <c r="C143" i="1"/>
  <c r="D143" i="1"/>
  <c r="D144" i="1" s="1"/>
  <c r="D145" i="1" s="1"/>
  <c r="E143" i="1"/>
  <c r="E144" i="1" s="1"/>
  <c r="E145" i="1" s="1"/>
  <c r="F143" i="1"/>
  <c r="F144" i="1" s="1"/>
  <c r="F145" i="1" s="1"/>
  <c r="G143" i="1"/>
  <c r="H143" i="1"/>
  <c r="H144" i="1" s="1"/>
  <c r="H145" i="1" s="1"/>
  <c r="I143" i="1"/>
  <c r="J143" i="1"/>
  <c r="J144" i="1" s="1"/>
  <c r="J145" i="1" s="1"/>
  <c r="K143" i="1"/>
  <c r="L143" i="1"/>
  <c r="L144" i="1" s="1"/>
  <c r="L145" i="1" s="1"/>
  <c r="M143" i="1"/>
  <c r="C144" i="1"/>
  <c r="C145" i="1" s="1"/>
  <c r="G144" i="1"/>
  <c r="G145" i="1" s="1"/>
  <c r="I144" i="1"/>
  <c r="I145" i="1" s="1"/>
  <c r="K144" i="1"/>
  <c r="K145" i="1" s="1"/>
  <c r="M144" i="1"/>
  <c r="M145" i="1" s="1"/>
  <c r="A145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O108" i="1" l="1"/>
  <c r="O94" i="1"/>
  <c r="F99" i="1"/>
  <c r="F100" i="1" s="1"/>
  <c r="J88" i="1"/>
  <c r="O64" i="1"/>
  <c r="L57" i="1"/>
  <c r="L58" i="1" s="1"/>
  <c r="D57" i="1"/>
  <c r="D58" i="1" s="1"/>
  <c r="I57" i="1"/>
  <c r="I58" i="1" s="1"/>
  <c r="L39" i="1"/>
  <c r="D39" i="1"/>
  <c r="I27" i="1"/>
  <c r="I28" i="1" s="1"/>
  <c r="H27" i="1"/>
  <c r="H28" i="1" s="1"/>
  <c r="O95" i="1"/>
  <c r="O87" i="1"/>
  <c r="F88" i="1"/>
  <c r="O62" i="1"/>
  <c r="K45" i="1"/>
  <c r="C45" i="1"/>
  <c r="M39" i="1"/>
  <c r="E39" i="1"/>
  <c r="E46" i="1" s="1"/>
  <c r="O15" i="1"/>
  <c r="J137" i="1"/>
  <c r="K133" i="1"/>
  <c r="C133" i="1"/>
  <c r="G114" i="1"/>
  <c r="G115" i="1" s="1"/>
  <c r="O97" i="1"/>
  <c r="L99" i="1"/>
  <c r="L100" i="1" s="1"/>
  <c r="C67" i="1"/>
  <c r="C68" i="1" s="1"/>
  <c r="K67" i="1"/>
  <c r="K68" i="1" s="1"/>
  <c r="O65" i="1"/>
  <c r="G57" i="1"/>
  <c r="G58" i="1" s="1"/>
  <c r="I34" i="1"/>
  <c r="I46" i="1" s="1"/>
  <c r="O16" i="1"/>
  <c r="F19" i="1"/>
  <c r="F20" i="1" s="1"/>
  <c r="O143" i="1"/>
  <c r="E133" i="1"/>
  <c r="J133" i="1"/>
  <c r="H126" i="1"/>
  <c r="O112" i="1"/>
  <c r="I114" i="1"/>
  <c r="I115" i="1" s="1"/>
  <c r="F114" i="1"/>
  <c r="F115" i="1" s="1"/>
  <c r="K39" i="1"/>
  <c r="C39" i="1"/>
  <c r="K34" i="1"/>
  <c r="K46" i="1" s="1"/>
  <c r="C34" i="1"/>
  <c r="H34" i="1"/>
  <c r="O14" i="1"/>
  <c r="O147" i="1"/>
  <c r="K137" i="1"/>
  <c r="L133" i="1"/>
  <c r="D133" i="1"/>
  <c r="J126" i="1"/>
  <c r="J138" i="1" s="1"/>
  <c r="I126" i="1"/>
  <c r="K114" i="1"/>
  <c r="K115" i="1" s="1"/>
  <c r="C114" i="1"/>
  <c r="C115" i="1" s="1"/>
  <c r="H114" i="1"/>
  <c r="H115" i="1" s="1"/>
  <c r="O98" i="1"/>
  <c r="K88" i="1"/>
  <c r="C88" i="1"/>
  <c r="F67" i="1"/>
  <c r="F68" i="1" s="1"/>
  <c r="M57" i="1"/>
  <c r="M58" i="1" s="1"/>
  <c r="E57" i="1"/>
  <c r="E58" i="1" s="1"/>
  <c r="H45" i="1"/>
  <c r="O33" i="1"/>
  <c r="L34" i="1"/>
  <c r="D34" i="1"/>
  <c r="O17" i="1"/>
  <c r="J19" i="1"/>
  <c r="J20" i="1" s="1"/>
  <c r="B19" i="1"/>
  <c r="B20" i="1" s="1"/>
  <c r="L19" i="1"/>
  <c r="L20" i="1" s="1"/>
  <c r="D19" i="1"/>
  <c r="D20" i="1" s="1"/>
  <c r="I133" i="1"/>
  <c r="L126" i="1"/>
  <c r="L138" i="1" s="1"/>
  <c r="O121" i="1"/>
  <c r="M114" i="1"/>
  <c r="M115" i="1" s="1"/>
  <c r="O105" i="1"/>
  <c r="H89" i="1"/>
  <c r="F84" i="1"/>
  <c r="F89" i="1" s="1"/>
  <c r="K84" i="1"/>
  <c r="C84" i="1"/>
  <c r="C89" i="1" s="1"/>
  <c r="C117" i="1" s="1"/>
  <c r="J67" i="1"/>
  <c r="J68" i="1" s="1"/>
  <c r="G67" i="1"/>
  <c r="G68" i="1" s="1"/>
  <c r="M67" i="1"/>
  <c r="M68" i="1" s="1"/>
  <c r="E67" i="1"/>
  <c r="E68" i="1" s="1"/>
  <c r="J45" i="1"/>
  <c r="K27" i="1"/>
  <c r="K28" i="1" s="1"/>
  <c r="C27" i="1"/>
  <c r="C28" i="1" s="1"/>
  <c r="O11" i="1"/>
  <c r="I137" i="1"/>
  <c r="O107" i="1"/>
  <c r="M84" i="1"/>
  <c r="E84" i="1"/>
  <c r="E89" i="1" s="1"/>
  <c r="I45" i="1"/>
  <c r="H39" i="1"/>
  <c r="J34" i="1"/>
  <c r="B34" i="1"/>
  <c r="M27" i="1"/>
  <c r="M28" i="1" s="1"/>
  <c r="E27" i="1"/>
  <c r="E28" i="1" s="1"/>
  <c r="J27" i="1"/>
  <c r="J28" i="1" s="1"/>
  <c r="O12" i="1"/>
  <c r="M89" i="1"/>
  <c r="I89" i="1"/>
  <c r="D46" i="1"/>
  <c r="K89" i="1"/>
  <c r="K117" i="1" s="1"/>
  <c r="O74" i="1"/>
  <c r="H138" i="1"/>
  <c r="B75" i="1"/>
  <c r="O75" i="1" s="1"/>
  <c r="O135" i="1"/>
  <c r="C137" i="1"/>
  <c r="O56" i="1"/>
  <c r="H57" i="1"/>
  <c r="H58" i="1" s="1"/>
  <c r="F57" i="1"/>
  <c r="F58" i="1" s="1"/>
  <c r="B39" i="1"/>
  <c r="O36" i="1"/>
  <c r="M46" i="1"/>
  <c r="J46" i="1"/>
  <c r="K19" i="1"/>
  <c r="K20" i="1" s="1"/>
  <c r="C19" i="1"/>
  <c r="C20" i="1" s="1"/>
  <c r="L46" i="1"/>
  <c r="O7" i="1"/>
  <c r="G19" i="1"/>
  <c r="G20" i="1" s="1"/>
  <c r="O81" i="1"/>
  <c r="J84" i="1"/>
  <c r="O124" i="1"/>
  <c r="M137" i="1"/>
  <c r="O122" i="1"/>
  <c r="O109" i="1"/>
  <c r="O104" i="1"/>
  <c r="L114" i="1"/>
  <c r="L115" i="1" s="1"/>
  <c r="D114" i="1"/>
  <c r="D115" i="1" s="1"/>
  <c r="O96" i="1"/>
  <c r="H99" i="1"/>
  <c r="H100" i="1" s="1"/>
  <c r="O53" i="1"/>
  <c r="O50" i="1"/>
  <c r="F46" i="1"/>
  <c r="M19" i="1"/>
  <c r="M20" i="1" s="1"/>
  <c r="E19" i="1"/>
  <c r="E20" i="1" s="1"/>
  <c r="O131" i="1"/>
  <c r="O106" i="1"/>
  <c r="O82" i="1"/>
  <c r="G84" i="1"/>
  <c r="G89" i="1" s="1"/>
  <c r="O66" i="1"/>
  <c r="O37" i="1"/>
  <c r="O23" i="1"/>
  <c r="O92" i="1"/>
  <c r="B99" i="1"/>
  <c r="O130" i="1"/>
  <c r="O110" i="1"/>
  <c r="M99" i="1"/>
  <c r="M100" i="1" s="1"/>
  <c r="M117" i="1" s="1"/>
  <c r="E99" i="1"/>
  <c r="E100" i="1" s="1"/>
  <c r="L88" i="1"/>
  <c r="D88" i="1"/>
  <c r="L67" i="1"/>
  <c r="L68" i="1" s="1"/>
  <c r="D67" i="1"/>
  <c r="D68" i="1" s="1"/>
  <c r="O54" i="1"/>
  <c r="O18" i="1"/>
  <c r="O10" i="1"/>
  <c r="O86" i="1"/>
  <c r="O49" i="1"/>
  <c r="B57" i="1"/>
  <c r="O103" i="1"/>
  <c r="J99" i="1"/>
  <c r="J100" i="1" s="1"/>
  <c r="B84" i="1"/>
  <c r="I67" i="1"/>
  <c r="I68" i="1" s="1"/>
  <c r="O44" i="1"/>
  <c r="O40" i="1"/>
  <c r="I19" i="1"/>
  <c r="I20" i="1" s="1"/>
  <c r="O8" i="1"/>
  <c r="B133" i="1"/>
  <c r="O127" i="1"/>
  <c r="G126" i="1"/>
  <c r="G138" i="1" s="1"/>
  <c r="E137" i="1"/>
  <c r="O128" i="1"/>
  <c r="D126" i="1"/>
  <c r="D138" i="1" s="1"/>
  <c r="O113" i="1"/>
  <c r="J114" i="1"/>
  <c r="J115" i="1" s="1"/>
  <c r="B114" i="1"/>
  <c r="O85" i="1"/>
  <c r="O80" i="1"/>
  <c r="O63" i="1"/>
  <c r="B67" i="1"/>
  <c r="G34" i="1"/>
  <c r="G46" i="1" s="1"/>
  <c r="O31" i="1"/>
  <c r="G27" i="1"/>
  <c r="G28" i="1" s="1"/>
  <c r="O25" i="1"/>
  <c r="B144" i="1"/>
  <c r="B137" i="1"/>
  <c r="O134" i="1"/>
  <c r="F133" i="1"/>
  <c r="F138" i="1" s="1"/>
  <c r="K126" i="1"/>
  <c r="C126" i="1"/>
  <c r="O132" i="1"/>
  <c r="B126" i="1"/>
  <c r="O123" i="1"/>
  <c r="M126" i="1"/>
  <c r="M138" i="1" s="1"/>
  <c r="E126" i="1"/>
  <c r="O120" i="1"/>
  <c r="G99" i="1"/>
  <c r="G100" i="1" s="1"/>
  <c r="L84" i="1"/>
  <c r="L89" i="1" s="1"/>
  <c r="L117" i="1" s="1"/>
  <c r="D84" i="1"/>
  <c r="D89" i="1" s="1"/>
  <c r="O52" i="1"/>
  <c r="B45" i="1"/>
  <c r="O43" i="1"/>
  <c r="C46" i="1"/>
  <c r="H46" i="1"/>
  <c r="O26" i="1"/>
  <c r="O24" i="1"/>
  <c r="O13" i="1"/>
  <c r="O42" i="1"/>
  <c r="O35" i="1"/>
  <c r="B27" i="1"/>
  <c r="O32" i="1"/>
  <c r="B41" i="1"/>
  <c r="O41" i="1" s="1"/>
  <c r="O9" i="1"/>
  <c r="O78" i="1"/>
  <c r="O133" i="1" l="1"/>
  <c r="E138" i="1"/>
  <c r="I117" i="1"/>
  <c r="C138" i="1"/>
  <c r="C140" i="1" s="1"/>
  <c r="C149" i="1" s="1"/>
  <c r="I138" i="1"/>
  <c r="F117" i="1"/>
  <c r="H117" i="1"/>
  <c r="H140" i="1" s="1"/>
  <c r="H149" i="1" s="1"/>
  <c r="O20" i="1"/>
  <c r="O45" i="1"/>
  <c r="J89" i="1"/>
  <c r="J117" i="1" s="1"/>
  <c r="J140" i="1" s="1"/>
  <c r="J149" i="1" s="1"/>
  <c r="E117" i="1"/>
  <c r="O39" i="1"/>
  <c r="K138" i="1"/>
  <c r="K140" i="1" s="1"/>
  <c r="K149" i="1" s="1"/>
  <c r="D117" i="1"/>
  <c r="D140" i="1" s="1"/>
  <c r="D149" i="1" s="1"/>
  <c r="O88" i="1"/>
  <c r="L140" i="1"/>
  <c r="L149" i="1" s="1"/>
  <c r="G117" i="1"/>
  <c r="G140" i="1" s="1"/>
  <c r="G149" i="1" s="1"/>
  <c r="F140" i="1"/>
  <c r="F149" i="1" s="1"/>
  <c r="B115" i="1"/>
  <c r="O115" i="1" s="1"/>
  <c r="O114" i="1"/>
  <c r="O19" i="1"/>
  <c r="O99" i="1"/>
  <c r="B100" i="1"/>
  <c r="O100" i="1" s="1"/>
  <c r="B89" i="1"/>
  <c r="O84" i="1"/>
  <c r="B46" i="1"/>
  <c r="O46" i="1" s="1"/>
  <c r="O34" i="1"/>
  <c r="O57" i="1"/>
  <c r="B58" i="1"/>
  <c r="O58" i="1" s="1"/>
  <c r="M140" i="1"/>
  <c r="M149" i="1" s="1"/>
  <c r="O137" i="1"/>
  <c r="O27" i="1"/>
  <c r="B28" i="1"/>
  <c r="O28" i="1" s="1"/>
  <c r="O67" i="1"/>
  <c r="B68" i="1"/>
  <c r="O68" i="1" s="1"/>
  <c r="O126" i="1"/>
  <c r="B138" i="1"/>
  <c r="O144" i="1"/>
  <c r="B145" i="1"/>
  <c r="I140" i="1"/>
  <c r="I149" i="1" s="1"/>
  <c r="E140" i="1" l="1"/>
  <c r="E149" i="1" s="1"/>
  <c r="O145" i="1"/>
  <c r="O138" i="1"/>
  <c r="O89" i="1"/>
  <c r="B117" i="1"/>
  <c r="O117" i="1" s="1"/>
  <c r="B140" i="1" l="1"/>
  <c r="B149" i="1" s="1"/>
  <c r="O140" i="1" l="1"/>
  <c r="O149" i="1" s="1"/>
</calcChain>
</file>

<file path=xl/sharedStrings.xml><?xml version="1.0" encoding="utf-8"?>
<sst xmlns="http://schemas.openxmlformats.org/spreadsheetml/2006/main" count="27" uniqueCount="27">
  <si>
    <t>Total Expenses</t>
  </si>
  <si>
    <t>Management Fee</t>
  </si>
  <si>
    <t>Depreciation Expense</t>
  </si>
  <si>
    <t>Total Operating Expenses</t>
  </si>
  <si>
    <t>Other Operating Expense</t>
  </si>
  <si>
    <t>Facility Expense</t>
  </si>
  <si>
    <t>Administrative Expense</t>
  </si>
  <si>
    <t>Total Medical Services and Supplies</t>
  </si>
  <si>
    <t>Offsite Healthcare Expense</t>
  </si>
  <si>
    <t>Other On-Site Medical Expense</t>
  </si>
  <si>
    <t>Pharmacy Returns</t>
  </si>
  <si>
    <t>Pharmacy Expense</t>
  </si>
  <si>
    <t>On-Site Professional Fees</t>
  </si>
  <si>
    <t>Medical Services</t>
  </si>
  <si>
    <t>Insurance Expense</t>
  </si>
  <si>
    <t>Travel &amp; Other</t>
  </si>
  <si>
    <t>Payroll Taxes</t>
  </si>
  <si>
    <t>Incentive Pay</t>
  </si>
  <si>
    <t>Employee Expense</t>
  </si>
  <si>
    <t>Benefits Expense</t>
  </si>
  <si>
    <t>Contract Labor</t>
  </si>
  <si>
    <t>Salaries &amp; Wages</t>
  </si>
  <si>
    <t>YTD Total</t>
  </si>
  <si>
    <t>ACT</t>
  </si>
  <si>
    <t>Monthly Trended Income Statement</t>
  </si>
  <si>
    <t>TX Fort Bend Cty Jail</t>
  </si>
  <si>
    <t>Attachment 5 - Trended Detail Expense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</si>
</sst>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164" fontId="2" fillId="0" borderId="0" xfId="1" applyNumberFormat="1" applyFont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0" fillId="0" borderId="0" xfId="0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CB2C659-8ECD-4317-A715-44146248AAF0}" diskRevisions="1" revisionId="1" version="2" protected="1">
  <header guid="{11B4599B-7325-448C-82DA-0E66326571E5}" dateTime="2024-05-03T12:16:59" maxSheetId="2" userName="Administrator" r:id="rId1">
    <sheetIdMap count="1">
      <sheetId val="1"/>
    </sheetIdMap>
  </header>
  <header guid="{ACB2C659-8ECD-4317-A715-44146248AAF0}" dateTime="2024-05-03T17:16:43" maxSheetId="2" userName="Krejci, Cheryl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660B23F_7F1C_4A0B_B896_A8194202EB74_.wvu.Rows" hidden="1" oldHidden="1">
    <formula>'Fort Bend, TX'!$6:$19,'Fort Bend, TX'!$22:$27,'Fort Bend, TX'!$30:$45,'Fort Bend, TX'!$48:$57,'Fort Bend, TX'!$60:$67,'Fort Bend, TX'!$70:$70,'Fort Bend, TX'!$72:$74,'Fort Bend, TX'!$91:$99,'Fort Bend, TX'!$102:$114,'Fort Bend, TX'!$117:$117,'Fort Bend, TX'!$119:$137,'Fort Bend, TX'!$142:$144</formula>
  </rdn>
  <rcv guid="{0660B23F-7F1C-4A0B-B896-A8194202EB7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2.bin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0"/>
  <sheetViews>
    <sheetView tabSelected="1" view="pageBreakPreview" zoomScaleNormal="80" zoomScaleSheetLayoutView="100" workbookViewId="0">
      <pane ySplit="5" topLeftCell="A6" activePane="bottomLeft" state="frozen"/>
      <selection pane="bottomLeft" activeCell="I21" sqref="I21"/>
    </sheetView>
  </sheetViews>
  <sheetFormatPr defaultRowHeight="15" outlineLevelRow="2" x14ac:dyDescent="0.25"/>
  <cols>
    <col min="1" max="1" width="23.5703125" customWidth="1"/>
    <col min="2" max="13" width="10.7109375" style="5" customWidth="1"/>
    <col min="14" max="14" width="0.28515625" style="6" customWidth="1"/>
    <col min="15" max="15" width="16.7109375" style="5" customWidth="1"/>
  </cols>
  <sheetData>
    <row r="1" spans="1:15" x14ac:dyDescent="0.25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5" t="s">
        <v>25</v>
      </c>
    </row>
    <row r="3" spans="1:15" x14ac:dyDescent="0.25">
      <c r="A3" s="14" t="s">
        <v>24</v>
      </c>
    </row>
    <row r="4" spans="1:15" x14ac:dyDescent="0.25">
      <c r="A4" s="4"/>
      <c r="B4" s="16" t="s">
        <v>23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7"/>
    </row>
    <row r="5" spans="1:15" x14ac:dyDescent="0.25">
      <c r="B5" s="8">
        <v>44135</v>
      </c>
      <c r="C5" s="8">
        <v>44165</v>
      </c>
      <c r="D5" s="8">
        <v>44196</v>
      </c>
      <c r="E5" s="8">
        <v>44227</v>
      </c>
      <c r="F5" s="8">
        <v>44255</v>
      </c>
      <c r="G5" s="8">
        <v>44286</v>
      </c>
      <c r="H5" s="8">
        <v>44316</v>
      </c>
      <c r="I5" s="8">
        <v>44347</v>
      </c>
      <c r="J5" s="8">
        <v>44377</v>
      </c>
      <c r="K5" s="8">
        <v>44408</v>
      </c>
      <c r="L5" s="8">
        <v>44439</v>
      </c>
      <c r="M5" s="8">
        <v>44469</v>
      </c>
      <c r="O5" s="8" t="s">
        <v>22</v>
      </c>
    </row>
    <row r="6" spans="1:15" hidden="1" outlineLevel="1" x14ac:dyDescent="0.25">
      <c r="A6" s="1" t="str">
        <f>TRIM(MID("2A.Salaries",4,125))</f>
        <v>Salaries</v>
      </c>
    </row>
    <row r="7" spans="1:15" hidden="1" outlineLevel="2" x14ac:dyDescent="0.25">
      <c r="A7" t="str">
        <f>("50125")&amp;" - "&amp;("Wages- B.H. Support")</f>
        <v>50125 - Wages- B.H. Support</v>
      </c>
      <c r="B7" s="5">
        <f>11764+0</f>
        <v>11764</v>
      </c>
      <c r="C7" s="5">
        <f>11401.18+0</f>
        <v>11401.18</v>
      </c>
      <c r="D7" s="5">
        <f>11307.12+0</f>
        <v>11307.12</v>
      </c>
      <c r="E7" s="5">
        <f>12093.92+0</f>
        <v>12093.92</v>
      </c>
      <c r="F7" s="5">
        <f>10403.25+0</f>
        <v>10403.25</v>
      </c>
      <c r="G7" s="5">
        <f>11887.22+0</f>
        <v>11887.22</v>
      </c>
      <c r="H7" s="5">
        <f>11177.44+0</f>
        <v>11177.44</v>
      </c>
      <c r="I7" s="5">
        <f>11923.08+0</f>
        <v>11923.08</v>
      </c>
      <c r="J7" s="5">
        <f>11403.87+0</f>
        <v>11403.87</v>
      </c>
      <c r="K7" s="5">
        <f>11960.78+0</f>
        <v>11960.78</v>
      </c>
      <c r="L7" s="5">
        <f>12059.81+0</f>
        <v>12059.81</v>
      </c>
      <c r="M7" s="5">
        <f>11530.66+0</f>
        <v>11530.66</v>
      </c>
      <c r="O7" s="5">
        <f t="shared" ref="O7:O20" si="0">SUM(B7:N7)</f>
        <v>138912.32999999999</v>
      </c>
    </row>
    <row r="8" spans="1:15" hidden="1" outlineLevel="2" x14ac:dyDescent="0.25">
      <c r="A8" t="str">
        <f>("50175")&amp;" - "&amp;("Wages- DON")</f>
        <v>50175 - Wages- DON</v>
      </c>
      <c r="B8" s="5">
        <f>8133.43+0</f>
        <v>8133.43</v>
      </c>
      <c r="C8" s="5">
        <f>7945.71+0</f>
        <v>7945.71</v>
      </c>
      <c r="D8" s="5">
        <f>8210.58+0</f>
        <v>8210.58</v>
      </c>
      <c r="E8" s="5">
        <f>8210.57+0</f>
        <v>8210.57</v>
      </c>
      <c r="F8" s="5">
        <f>7416+0</f>
        <v>7416</v>
      </c>
      <c r="G8" s="5">
        <f>8210.57+0</f>
        <v>8210.57</v>
      </c>
      <c r="H8" s="5">
        <f>7945.71+0</f>
        <v>7945.71</v>
      </c>
      <c r="I8" s="5">
        <f>2728.03+0</f>
        <v>2728.03</v>
      </c>
      <c r="J8" s="5">
        <f>2675.92+0</f>
        <v>2675.92</v>
      </c>
      <c r="K8" s="5">
        <f>10957.71+0</f>
        <v>10957.71</v>
      </c>
      <c r="L8" s="5">
        <f>9034.29+0</f>
        <v>9034.2900000000009</v>
      </c>
      <c r="M8" s="5">
        <f>8742.85+0</f>
        <v>8742.85</v>
      </c>
      <c r="O8" s="5">
        <f t="shared" si="0"/>
        <v>90211.37</v>
      </c>
    </row>
    <row r="9" spans="1:15" hidden="1" outlineLevel="2" x14ac:dyDescent="0.25">
      <c r="A9" t="str">
        <f>("50200")&amp;" - "&amp;("Wages- PA/NP/ARNP")</f>
        <v>50200 - Wages- PA/NP/ARNP</v>
      </c>
      <c r="B9" s="5">
        <f>17180.78+0</f>
        <v>17180.78</v>
      </c>
      <c r="C9" s="5">
        <f>17250.85+0</f>
        <v>17250.849999999999</v>
      </c>
      <c r="D9" s="5">
        <f>20042.72+0</f>
        <v>20042.72</v>
      </c>
      <c r="E9" s="5">
        <f>17233.46+0</f>
        <v>17233.46</v>
      </c>
      <c r="F9" s="5">
        <f>15960.13+0</f>
        <v>15960.13</v>
      </c>
      <c r="G9" s="5">
        <f>18885.59+0</f>
        <v>18885.59</v>
      </c>
      <c r="H9" s="5">
        <f>17548.54+0</f>
        <v>17548.54</v>
      </c>
      <c r="I9" s="5">
        <f>17531.22+0</f>
        <v>17531.22</v>
      </c>
      <c r="J9" s="5">
        <f>18911.3+0</f>
        <v>18911.3</v>
      </c>
      <c r="K9" s="5">
        <f>17236.96+0</f>
        <v>17236.96</v>
      </c>
      <c r="L9" s="5">
        <f>19581.14+0</f>
        <v>19581.14</v>
      </c>
      <c r="M9" s="5">
        <f>17327.56+0</f>
        <v>17327.560000000001</v>
      </c>
      <c r="O9" s="5">
        <f t="shared" si="0"/>
        <v>214690.25</v>
      </c>
    </row>
    <row r="10" spans="1:15" hidden="1" outlineLevel="2" x14ac:dyDescent="0.25">
      <c r="A10" t="str">
        <f>("50225")&amp;" - "&amp;("Wages- RN")</f>
        <v>50225 - Wages- RN</v>
      </c>
      <c r="B10" s="5">
        <f>38930.49+0</f>
        <v>38930.49</v>
      </c>
      <c r="C10" s="5">
        <f>52788.54+0</f>
        <v>52788.54</v>
      </c>
      <c r="D10" s="5">
        <f>44456.97+0</f>
        <v>44456.97</v>
      </c>
      <c r="E10" s="5">
        <f>50702.37+0</f>
        <v>50702.37</v>
      </c>
      <c r="F10" s="5">
        <f>36257.05+0</f>
        <v>36257.050000000003</v>
      </c>
      <c r="G10" s="5">
        <f>33739.72+0</f>
        <v>33739.72</v>
      </c>
      <c r="H10" s="5">
        <f>32062.74+0</f>
        <v>32062.74</v>
      </c>
      <c r="I10" s="5">
        <f>30683.25+0</f>
        <v>30683.25</v>
      </c>
      <c r="J10" s="5">
        <f>38131.04+0</f>
        <v>38131.040000000001</v>
      </c>
      <c r="K10" s="5">
        <f>44822.54+0</f>
        <v>44822.54</v>
      </c>
      <c r="L10" s="5">
        <f>34168.11+0</f>
        <v>34168.11</v>
      </c>
      <c r="M10" s="5">
        <f>31348.91+0</f>
        <v>31348.91</v>
      </c>
      <c r="O10" s="5">
        <f t="shared" si="0"/>
        <v>468091.72999999992</v>
      </c>
    </row>
    <row r="11" spans="1:15" hidden="1" outlineLevel="2" x14ac:dyDescent="0.25">
      <c r="A11" t="str">
        <f>("50250")&amp;" - "&amp;("Wages- LPN")</f>
        <v>50250 - Wages- LPN</v>
      </c>
      <c r="B11" s="5">
        <f>75799.28+0</f>
        <v>75799.28</v>
      </c>
      <c r="C11" s="5">
        <f>73327.16+0</f>
        <v>73327.16</v>
      </c>
      <c r="D11" s="5">
        <f>88927.2+0</f>
        <v>88927.2</v>
      </c>
      <c r="E11" s="5">
        <f>87243.73+0</f>
        <v>87243.73</v>
      </c>
      <c r="F11" s="5">
        <f>72921.76+0</f>
        <v>72921.759999999995</v>
      </c>
      <c r="G11" s="5">
        <f>81566.3+0</f>
        <v>81566.3</v>
      </c>
      <c r="H11" s="5">
        <f>76034.8+0</f>
        <v>76034.8</v>
      </c>
      <c r="I11" s="5">
        <f>76241.25+0</f>
        <v>76241.25</v>
      </c>
      <c r="J11" s="5">
        <f>77814.32+0</f>
        <v>77814.320000000007</v>
      </c>
      <c r="K11" s="5">
        <f>80200.5+0</f>
        <v>80200.5</v>
      </c>
      <c r="L11" s="5">
        <f>82280.52+0</f>
        <v>82280.52</v>
      </c>
      <c r="M11" s="5">
        <f>78575.34+0</f>
        <v>78575.34</v>
      </c>
      <c r="O11" s="5">
        <f t="shared" si="0"/>
        <v>950932.16</v>
      </c>
    </row>
    <row r="12" spans="1:15" hidden="1" outlineLevel="2" x14ac:dyDescent="0.25">
      <c r="A12" t="str">
        <f>("50275")&amp;" - "&amp;("Wages- MA/CMA/EMT")</f>
        <v>50275 - Wages- MA/CMA/EMT</v>
      </c>
      <c r="B12" s="5">
        <f>5465.05+0</f>
        <v>5465.05</v>
      </c>
      <c r="C12" s="5">
        <f>6658.52+0</f>
        <v>6658.52</v>
      </c>
      <c r="D12" s="5">
        <f>5756.52+0</f>
        <v>5756.52</v>
      </c>
      <c r="E12" s="5">
        <f>6196.53+0</f>
        <v>6196.53</v>
      </c>
      <c r="F12" s="5">
        <f>4363.52+0</f>
        <v>4363.5200000000004</v>
      </c>
      <c r="G12" s="5">
        <f>4350.2+0</f>
        <v>4350.2</v>
      </c>
      <c r="H12" s="5">
        <f>4978.78+0</f>
        <v>4978.78</v>
      </c>
      <c r="I12" s="5">
        <f>7215.34+0</f>
        <v>7215.34</v>
      </c>
      <c r="J12" s="5">
        <f>4385.26+0</f>
        <v>4385.26</v>
      </c>
      <c r="K12" s="5">
        <f>3888.25+0</f>
        <v>3888.25</v>
      </c>
      <c r="L12" s="5">
        <f>5329.79+0</f>
        <v>5329.79</v>
      </c>
      <c r="M12" s="5">
        <f>4636.32+0</f>
        <v>4636.32</v>
      </c>
      <c r="O12" s="5">
        <f t="shared" si="0"/>
        <v>63224.079999999994</v>
      </c>
    </row>
    <row r="13" spans="1:15" hidden="1" outlineLevel="2" x14ac:dyDescent="0.25">
      <c r="A13" t="str">
        <f>("50300")&amp;" - "&amp;("Wages- Behav. Health")</f>
        <v>50300 - Wages- Behav. Health</v>
      </c>
      <c r="B13" s="5">
        <f>35689.9+0</f>
        <v>35689.9</v>
      </c>
      <c r="C13" s="5">
        <f>32059.69+0</f>
        <v>32059.69</v>
      </c>
      <c r="D13" s="5">
        <f>37577.18+0</f>
        <v>37577.18</v>
      </c>
      <c r="E13" s="5">
        <f>40497.38+0</f>
        <v>40497.379999999997</v>
      </c>
      <c r="F13" s="5">
        <f>34166.96+0</f>
        <v>34166.959999999999</v>
      </c>
      <c r="G13" s="5">
        <f>38146.34+0</f>
        <v>38146.339999999997</v>
      </c>
      <c r="H13" s="5">
        <f>36668.62+0</f>
        <v>36668.620000000003</v>
      </c>
      <c r="I13" s="5">
        <f>38291.23+0</f>
        <v>38291.230000000003</v>
      </c>
      <c r="J13" s="5">
        <f>37981.11+0</f>
        <v>37981.11</v>
      </c>
      <c r="K13" s="5">
        <f>42791.96+0</f>
        <v>42791.96</v>
      </c>
      <c r="L13" s="5">
        <f>38918.75+0</f>
        <v>38918.75</v>
      </c>
      <c r="M13" s="5">
        <f>37376.69+0</f>
        <v>37376.69</v>
      </c>
      <c r="O13" s="5">
        <f t="shared" si="0"/>
        <v>450165.81</v>
      </c>
    </row>
    <row r="14" spans="1:15" hidden="1" outlineLevel="2" x14ac:dyDescent="0.25">
      <c r="A14" t="str">
        <f>("50325")&amp;" - "&amp;("Wages- Dental")</f>
        <v>50325 - Wages- Dental</v>
      </c>
      <c r="B14" s="5">
        <f>13600.96+0</f>
        <v>13600.96</v>
      </c>
      <c r="C14" s="5">
        <f>13410.51+0</f>
        <v>13410.51</v>
      </c>
      <c r="D14" s="5">
        <f>13736.94+0</f>
        <v>13736.94</v>
      </c>
      <c r="E14" s="5">
        <f>14594.66+0</f>
        <v>14594.66</v>
      </c>
      <c r="F14" s="5">
        <f>12220.86+0</f>
        <v>12220.86</v>
      </c>
      <c r="G14" s="5">
        <f>13794.12+0</f>
        <v>13794.12</v>
      </c>
      <c r="H14" s="5">
        <f>13128.29+0</f>
        <v>13128.29</v>
      </c>
      <c r="I14" s="5">
        <f>13942.27+0</f>
        <v>13942.27</v>
      </c>
      <c r="J14" s="5">
        <f>21710.71+0</f>
        <v>21710.71</v>
      </c>
      <c r="K14" s="5">
        <f>24508.4+0</f>
        <v>24508.400000000001</v>
      </c>
      <c r="L14" s="5">
        <f>11169.91+0</f>
        <v>11169.91</v>
      </c>
      <c r="M14" s="5">
        <f>12880.94+0</f>
        <v>12880.94</v>
      </c>
      <c r="O14" s="5">
        <f t="shared" si="0"/>
        <v>178698.57</v>
      </c>
    </row>
    <row r="15" spans="1:15" hidden="1" outlineLevel="2" x14ac:dyDescent="0.25">
      <c r="A15" t="str">
        <f>("50335")&amp;" - "&amp;("Wages- Pharmacy")</f>
        <v>50335 - Wages- Pharmacy</v>
      </c>
      <c r="B15" s="5">
        <f>5014.21+0</f>
        <v>5014.21</v>
      </c>
      <c r="C15" s="5">
        <f>4712.33+0</f>
        <v>4712.33</v>
      </c>
      <c r="D15" s="5">
        <f>5467.95+0</f>
        <v>5467.95</v>
      </c>
      <c r="E15" s="5">
        <f>5281.52+0</f>
        <v>5281.52</v>
      </c>
      <c r="F15" s="5">
        <f>4851.76+0</f>
        <v>4851.76</v>
      </c>
      <c r="G15" s="5">
        <f>-187.58+0</f>
        <v>-187.58</v>
      </c>
      <c r="H15" s="5">
        <f t="shared" ref="H15:M15" si="1">0+0</f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O15" s="5">
        <f t="shared" si="0"/>
        <v>25140.190000000002</v>
      </c>
    </row>
    <row r="16" spans="1:15" hidden="1" outlineLevel="2" x14ac:dyDescent="0.25">
      <c r="A16" t="str">
        <f>("50375")&amp;" - "&amp;("Wages- Medical Records")</f>
        <v>50375 - Wages- Medical Records</v>
      </c>
      <c r="B16" s="5">
        <f>2745.44+0</f>
        <v>2745.44</v>
      </c>
      <c r="C16" s="5">
        <f>2597.14+0</f>
        <v>2597.14</v>
      </c>
      <c r="D16" s="5">
        <f>2588.49+0</f>
        <v>2588.4899999999998</v>
      </c>
      <c r="E16" s="5">
        <f>2718.34+0</f>
        <v>2718.34</v>
      </c>
      <c r="F16" s="5">
        <f>2022.78+0</f>
        <v>2022.78</v>
      </c>
      <c r="G16" s="5">
        <f>2841.37+0</f>
        <v>2841.37</v>
      </c>
      <c r="H16" s="5">
        <f>2393.62+0</f>
        <v>2393.62</v>
      </c>
      <c r="I16" s="5">
        <f>2874.4+0</f>
        <v>2874.4</v>
      </c>
      <c r="J16" s="5">
        <f>2777.26+0</f>
        <v>2777.26</v>
      </c>
      <c r="K16" s="5">
        <f>2588.69+0</f>
        <v>2588.69</v>
      </c>
      <c r="L16" s="5">
        <f>2866.57+0</f>
        <v>2866.57</v>
      </c>
      <c r="M16" s="5">
        <f>2497.65+0</f>
        <v>2497.65</v>
      </c>
      <c r="O16" s="5">
        <f t="shared" si="0"/>
        <v>31511.750000000004</v>
      </c>
    </row>
    <row r="17" spans="1:15" hidden="1" outlineLevel="2" x14ac:dyDescent="0.25">
      <c r="A17" t="str">
        <f>("50400")&amp;" - "&amp;("Wages- H.S.A.")</f>
        <v>50400 - Wages- H.S.A.</v>
      </c>
      <c r="B17" s="5">
        <f>9486+0</f>
        <v>9486</v>
      </c>
      <c r="C17" s="5">
        <f>10031.81+0</f>
        <v>10031.81</v>
      </c>
      <c r="D17" s="5">
        <f>9276.72+0</f>
        <v>9276.7199999999993</v>
      </c>
      <c r="E17" s="5">
        <f>9575.96+0</f>
        <v>9575.9599999999991</v>
      </c>
      <c r="F17" s="5">
        <f>8649.26+0</f>
        <v>8649.26</v>
      </c>
      <c r="G17" s="5">
        <f>9575.97+0</f>
        <v>9575.9699999999993</v>
      </c>
      <c r="H17" s="5">
        <f>9267.06+0</f>
        <v>9267.06</v>
      </c>
      <c r="I17" s="5">
        <f>9575.97+0</f>
        <v>9575.9699999999993</v>
      </c>
      <c r="J17" s="5">
        <f>9267.06+0</f>
        <v>9267.06</v>
      </c>
      <c r="K17" s="5">
        <f>9575.97+0</f>
        <v>9575.9699999999993</v>
      </c>
      <c r="L17" s="5">
        <f>9575.97+0</f>
        <v>9575.9699999999993</v>
      </c>
      <c r="M17" s="5">
        <f>9267.06+0</f>
        <v>9267.06</v>
      </c>
      <c r="O17" s="5">
        <f t="shared" si="0"/>
        <v>113124.81</v>
      </c>
    </row>
    <row r="18" spans="1:15" hidden="1" outlineLevel="2" x14ac:dyDescent="0.25">
      <c r="A18" t="str">
        <f>("50425")&amp;" - "&amp;("Wages- Admin. Support")</f>
        <v>50425 - Wages- Admin. Support</v>
      </c>
      <c r="B18" s="5">
        <f>4030.52+0</f>
        <v>4030.52</v>
      </c>
      <c r="C18" s="5">
        <f>3536.18+0</f>
        <v>3536.18</v>
      </c>
      <c r="D18" s="5">
        <f>3208.17+0</f>
        <v>3208.17</v>
      </c>
      <c r="E18" s="5">
        <f>5175.49+0</f>
        <v>5175.49</v>
      </c>
      <c r="F18" s="5">
        <f>4158.16+0</f>
        <v>4158.16</v>
      </c>
      <c r="G18" s="5">
        <f>10014.99+0</f>
        <v>10014.99</v>
      </c>
      <c r="H18" s="5">
        <f>9334.08+0</f>
        <v>9334.08</v>
      </c>
      <c r="I18" s="5">
        <f>9864.36+0</f>
        <v>9864.36</v>
      </c>
      <c r="J18" s="5">
        <f>10450.8+0</f>
        <v>10450.799999999999</v>
      </c>
      <c r="K18" s="5">
        <f>9426.68+0</f>
        <v>9426.68</v>
      </c>
      <c r="L18" s="5">
        <f>9770.22+0</f>
        <v>9770.2199999999993</v>
      </c>
      <c r="M18" s="5">
        <f>9782.35+0</f>
        <v>9782.35</v>
      </c>
      <c r="O18" s="5">
        <f t="shared" si="0"/>
        <v>88752</v>
      </c>
    </row>
    <row r="19" spans="1:15" s="3" customFormat="1" hidden="1" outlineLevel="1" x14ac:dyDescent="0.25">
      <c r="A19" s="1" t="s">
        <v>21</v>
      </c>
      <c r="B19" s="9">
        <f>SUM(OSRRefB6_0_0x_0)</f>
        <v>227840.05999999994</v>
      </c>
      <c r="C19" s="9">
        <f>SUM(OSRRefB6_0_0x_1)</f>
        <v>235719.62</v>
      </c>
      <c r="D19" s="9">
        <f>SUM(OSRRefB6_0_0x_2)</f>
        <v>250556.56</v>
      </c>
      <c r="E19" s="9">
        <f>SUM(OSRRefB6_0_0x_3)</f>
        <v>259523.92999999996</v>
      </c>
      <c r="F19" s="9">
        <f>SUM(OSRRefB6_0_0x_4)</f>
        <v>213391.49</v>
      </c>
      <c r="G19" s="9">
        <f>SUM(OSRRefB6_0_0x_5)</f>
        <v>232824.81000000003</v>
      </c>
      <c r="H19" s="9">
        <f>SUM(OSRRefB6_0_0x_6)</f>
        <v>220539.68</v>
      </c>
      <c r="I19" s="9">
        <f>SUM(OSRRefB6_0_0x_7)</f>
        <v>220870.40000000002</v>
      </c>
      <c r="J19" s="9">
        <f>SUM(OSRRefB6_0_0x_8)</f>
        <v>235508.65</v>
      </c>
      <c r="K19" s="9">
        <f>SUM(OSRRefB6_0_0x_9)</f>
        <v>257958.43999999997</v>
      </c>
      <c r="L19" s="9">
        <f>SUM(OSRRefB6_0_0x_10)</f>
        <v>234755.08000000002</v>
      </c>
      <c r="M19" s="9">
        <f>SUM(OSRRefB6_0_0x_11)</f>
        <v>223966.33000000002</v>
      </c>
      <c r="N19" s="10"/>
      <c r="O19" s="9">
        <f t="shared" si="0"/>
        <v>2813455.05</v>
      </c>
    </row>
    <row r="20" spans="1:15" s="1" customFormat="1" collapsed="1" x14ac:dyDescent="0.25">
      <c r="A20" s="1" t="str">
        <f>"Total "&amp;TRIM(MID("2A.Salaries",4,125))</f>
        <v>Total Salaries</v>
      </c>
      <c r="B20" s="11">
        <f>SUM(OSRRefB7_0x_0)</f>
        <v>227840.05999999994</v>
      </c>
      <c r="C20" s="11">
        <f>SUM(OSRRefB7_0x_1)</f>
        <v>235719.62</v>
      </c>
      <c r="D20" s="11">
        <f>SUM(OSRRefB7_0x_2)</f>
        <v>250556.56</v>
      </c>
      <c r="E20" s="11">
        <f>SUM(OSRRefB7_0x_3)</f>
        <v>259523.92999999996</v>
      </c>
      <c r="F20" s="11">
        <f>SUM(OSRRefB7_0x_4)</f>
        <v>213391.49</v>
      </c>
      <c r="G20" s="11">
        <f>SUM(OSRRefB7_0x_5)</f>
        <v>232824.81000000003</v>
      </c>
      <c r="H20" s="11">
        <f>SUM(OSRRefB7_0x_6)</f>
        <v>220539.68</v>
      </c>
      <c r="I20" s="11">
        <f>SUM(OSRRefB7_0x_7)</f>
        <v>220870.40000000002</v>
      </c>
      <c r="J20" s="11">
        <f>SUM(OSRRefB7_0x_8)</f>
        <v>235508.65</v>
      </c>
      <c r="K20" s="11">
        <f>SUM(OSRRefB7_0x_9)</f>
        <v>257958.43999999997</v>
      </c>
      <c r="L20" s="11">
        <f>SUM(OSRRefB7_0x_10)</f>
        <v>234755.08000000002</v>
      </c>
      <c r="M20" s="11">
        <f>SUM(OSRRefB7_0x_11)</f>
        <v>223966.33000000002</v>
      </c>
      <c r="N20" s="12"/>
      <c r="O20" s="11">
        <f t="shared" si="0"/>
        <v>2813455.05</v>
      </c>
    </row>
    <row r="22" spans="1:15" hidden="1" outlineLevel="1" x14ac:dyDescent="0.25">
      <c r="A22" s="1" t="str">
        <f>TRIM(MID("2B.Contract Labor",4,125))</f>
        <v>Contract Labor</v>
      </c>
    </row>
    <row r="23" spans="1:15" hidden="1" outlineLevel="2" x14ac:dyDescent="0.25">
      <c r="A23" t="str">
        <f>("51010")&amp;" - "&amp;("Contract Labor- Physician AP")</f>
        <v>51010 - Contract Labor- Physician AP</v>
      </c>
      <c r="B23" s="5">
        <f>2291.67+0</f>
        <v>2291.67</v>
      </c>
      <c r="C23" s="5">
        <f>2291.67+0</f>
        <v>2291.67</v>
      </c>
      <c r="D23" s="5">
        <f>2291.67+0</f>
        <v>2291.67</v>
      </c>
      <c r="E23" s="5">
        <f>2291.67+0</f>
        <v>2291.67</v>
      </c>
      <c r="F23" s="5">
        <f>1791.67+0</f>
        <v>1791.67</v>
      </c>
      <c r="G23" s="5">
        <f>3791.67+0</f>
        <v>3791.67</v>
      </c>
      <c r="H23" s="5">
        <f>2291.67+0</f>
        <v>2291.67</v>
      </c>
      <c r="I23" s="5">
        <f>2291.67+0</f>
        <v>2291.67</v>
      </c>
      <c r="J23" s="5">
        <f>1675+0</f>
        <v>1675</v>
      </c>
      <c r="K23" s="5">
        <f>1675+0</f>
        <v>1675</v>
      </c>
      <c r="L23" s="5">
        <f>1675+0</f>
        <v>1675</v>
      </c>
      <c r="M23" s="5">
        <f>1675+0</f>
        <v>1675</v>
      </c>
      <c r="O23" s="5">
        <f t="shared" ref="O23:O28" si="2">SUM(B23:N23)</f>
        <v>26033.360000000001</v>
      </c>
    </row>
    <row r="24" spans="1:15" hidden="1" outlineLevel="2" x14ac:dyDescent="0.25">
      <c r="A24" t="str">
        <f>("51110")&amp;" - "&amp;("Contract Labor- Psych AP")</f>
        <v>51110 - Contract Labor- Psych AP</v>
      </c>
      <c r="B24" s="5">
        <f>18011.66+0</f>
        <v>18011.66</v>
      </c>
      <c r="C24" s="5">
        <f>18011.66+0</f>
        <v>18011.66</v>
      </c>
      <c r="D24" s="5">
        <f>17941.66+0</f>
        <v>17941.66</v>
      </c>
      <c r="E24" s="5">
        <f>18011.66+0</f>
        <v>18011.66</v>
      </c>
      <c r="F24" s="5">
        <f>9978.33+0</f>
        <v>9978.33</v>
      </c>
      <c r="G24" s="5">
        <f>26434.99+0</f>
        <v>26434.99</v>
      </c>
      <c r="H24" s="5">
        <f>18011.66+0</f>
        <v>18011.66</v>
      </c>
      <c r="I24" s="5">
        <f>18690.83+0</f>
        <v>18690.830000000002</v>
      </c>
      <c r="J24" s="5">
        <f>18428.33+0</f>
        <v>18428.330000000002</v>
      </c>
      <c r="K24" s="5">
        <f>18358.33+0</f>
        <v>18358.330000000002</v>
      </c>
      <c r="L24" s="5">
        <f>18428.33+0</f>
        <v>18428.330000000002</v>
      </c>
      <c r="M24" s="5">
        <f>18428.33+0</f>
        <v>18428.330000000002</v>
      </c>
      <c r="O24" s="5">
        <f t="shared" si="2"/>
        <v>218735.77000000008</v>
      </c>
    </row>
    <row r="25" spans="1:15" hidden="1" outlineLevel="2" x14ac:dyDescent="0.25">
      <c r="A25" t="str">
        <f>("51710")&amp;" - "&amp;("Contract Labor- Med Support AP")</f>
        <v>51710 - Contract Labor- Med Support AP</v>
      </c>
      <c r="B25" s="5">
        <f>4420+0</f>
        <v>4420</v>
      </c>
      <c r="C25" s="5">
        <f>3022.5+0</f>
        <v>3022.5</v>
      </c>
      <c r="D25" s="5">
        <f>3347.5+0</f>
        <v>3347.5</v>
      </c>
      <c r="E25" s="5">
        <f>3705+0</f>
        <v>3705</v>
      </c>
      <c r="F25" s="5">
        <f>1852.5+0</f>
        <v>1852.5</v>
      </c>
      <c r="G25" s="5">
        <f>5265+0</f>
        <v>5265</v>
      </c>
      <c r="H25" s="5">
        <f>2730+0</f>
        <v>2730</v>
      </c>
      <c r="I25" s="5">
        <f>3705+0</f>
        <v>3705</v>
      </c>
      <c r="J25" s="5">
        <f>3185+0</f>
        <v>3185</v>
      </c>
      <c r="K25" s="5">
        <f>2600+0</f>
        <v>2600</v>
      </c>
      <c r="L25" s="5">
        <f>2665+0</f>
        <v>2665</v>
      </c>
      <c r="M25" s="5">
        <f>3282.5+0</f>
        <v>3282.5</v>
      </c>
      <c r="O25" s="5">
        <f t="shared" si="2"/>
        <v>39780</v>
      </c>
    </row>
    <row r="26" spans="1:15" hidden="1" outlineLevel="2" x14ac:dyDescent="0.25">
      <c r="A26" t="str">
        <f>("51900")&amp;" - "&amp;("Contract Labor- Accrual")</f>
        <v>51900 - Contract Labor- Accrual</v>
      </c>
      <c r="B26" s="5">
        <f>-580+0</f>
        <v>-580</v>
      </c>
      <c r="C26" s="5">
        <f>592.5+0</f>
        <v>592.5</v>
      </c>
      <c r="D26" s="5">
        <f>-7.5+0</f>
        <v>-7.5</v>
      </c>
      <c r="E26" s="5">
        <f>600+0</f>
        <v>600</v>
      </c>
      <c r="F26" s="5">
        <f>2205+0</f>
        <v>2205</v>
      </c>
      <c r="G26" s="5">
        <f>-3293+0</f>
        <v>-3293</v>
      </c>
      <c r="H26" s="5">
        <f>509.67+0</f>
        <v>509.67</v>
      </c>
      <c r="I26" s="5">
        <f>-899.17+0</f>
        <v>-899.17</v>
      </c>
      <c r="J26" s="5">
        <f>85+0</f>
        <v>85</v>
      </c>
      <c r="K26" s="5">
        <f>167.5+0</f>
        <v>167.5</v>
      </c>
      <c r="L26" s="5">
        <f>455+0</f>
        <v>455</v>
      </c>
      <c r="M26" s="5">
        <f>-167.5+0</f>
        <v>-167.5</v>
      </c>
      <c r="O26" s="5">
        <f t="shared" si="2"/>
        <v>-332.5</v>
      </c>
    </row>
    <row r="27" spans="1:15" s="3" customFormat="1" hidden="1" outlineLevel="1" x14ac:dyDescent="0.25">
      <c r="A27" s="1" t="s">
        <v>20</v>
      </c>
      <c r="B27" s="9">
        <f>SUM(OSRRefB6_1_0x_0)</f>
        <v>24143.33</v>
      </c>
      <c r="C27" s="9">
        <f>SUM(OSRRefB6_1_0x_1)</f>
        <v>23918.33</v>
      </c>
      <c r="D27" s="9">
        <f>SUM(OSRRefB6_1_0x_2)</f>
        <v>23573.33</v>
      </c>
      <c r="E27" s="9">
        <f>SUM(OSRRefB6_1_0x_3)</f>
        <v>24608.33</v>
      </c>
      <c r="F27" s="9">
        <f>SUM(OSRRefB6_1_0x_4)</f>
        <v>15827.5</v>
      </c>
      <c r="G27" s="9">
        <f>SUM(OSRRefB6_1_0x_5)</f>
        <v>32198.660000000003</v>
      </c>
      <c r="H27" s="9">
        <f>SUM(OSRRefB6_1_0x_6)</f>
        <v>23543</v>
      </c>
      <c r="I27" s="9">
        <f>SUM(OSRRefB6_1_0x_7)</f>
        <v>23788.33</v>
      </c>
      <c r="J27" s="9">
        <f>SUM(OSRRefB6_1_0x_8)</f>
        <v>23373.33</v>
      </c>
      <c r="K27" s="9">
        <f>SUM(OSRRefB6_1_0x_9)</f>
        <v>22800.83</v>
      </c>
      <c r="L27" s="9">
        <f>SUM(OSRRefB6_1_0x_10)</f>
        <v>23223.33</v>
      </c>
      <c r="M27" s="9">
        <f>SUM(OSRRefB6_1_0x_11)</f>
        <v>23218.33</v>
      </c>
      <c r="N27" s="10"/>
      <c r="O27" s="9">
        <f t="shared" si="2"/>
        <v>284216.63000000006</v>
      </c>
    </row>
    <row r="28" spans="1:15" s="1" customFormat="1" collapsed="1" x14ac:dyDescent="0.25">
      <c r="A28" s="1" t="str">
        <f>"Total "&amp;TRIM(MID("2B.Contract Labor",4,125))</f>
        <v>Total Contract Labor</v>
      </c>
      <c r="B28" s="11">
        <f>SUM(OSRRefB7_1x_0)</f>
        <v>24143.33</v>
      </c>
      <c r="C28" s="11">
        <f>SUM(OSRRefB7_1x_1)</f>
        <v>23918.33</v>
      </c>
      <c r="D28" s="11">
        <f>SUM(OSRRefB7_1x_2)</f>
        <v>23573.33</v>
      </c>
      <c r="E28" s="11">
        <f>SUM(OSRRefB7_1x_3)</f>
        <v>24608.33</v>
      </c>
      <c r="F28" s="11">
        <f>SUM(OSRRefB7_1x_4)</f>
        <v>15827.5</v>
      </c>
      <c r="G28" s="11">
        <f>SUM(OSRRefB7_1x_5)</f>
        <v>32198.660000000003</v>
      </c>
      <c r="H28" s="11">
        <f>SUM(OSRRefB7_1x_6)</f>
        <v>23543</v>
      </c>
      <c r="I28" s="11">
        <f>SUM(OSRRefB7_1x_7)</f>
        <v>23788.33</v>
      </c>
      <c r="J28" s="11">
        <f>SUM(OSRRefB7_1x_8)</f>
        <v>23373.33</v>
      </c>
      <c r="K28" s="11">
        <f>SUM(OSRRefB7_1x_9)</f>
        <v>22800.83</v>
      </c>
      <c r="L28" s="11">
        <f>SUM(OSRRefB7_1x_10)</f>
        <v>23223.33</v>
      </c>
      <c r="M28" s="11">
        <f>SUM(OSRRefB7_1x_11)</f>
        <v>23218.33</v>
      </c>
      <c r="N28" s="12"/>
      <c r="O28" s="11">
        <f t="shared" si="2"/>
        <v>284216.63000000006</v>
      </c>
    </row>
    <row r="30" spans="1:15" hidden="1" outlineLevel="1" x14ac:dyDescent="0.25">
      <c r="A30" s="1" t="str">
        <f>TRIM(MID("2C.Benefits",4,125))</f>
        <v>Benefits</v>
      </c>
    </row>
    <row r="31" spans="1:15" hidden="1" outlineLevel="2" x14ac:dyDescent="0.25">
      <c r="A31" t="str">
        <f>("55100")&amp;" - "&amp;("Benefits - CCS Plan EE Expense")</f>
        <v>55100 - Benefits - CCS Plan EE Expense</v>
      </c>
      <c r="B31" s="5">
        <f>28894.22+0</f>
        <v>28894.22</v>
      </c>
      <c r="C31" s="5">
        <f>22543.95+0</f>
        <v>22543.95</v>
      </c>
      <c r="D31" s="5">
        <f>31354.25+0</f>
        <v>31354.25</v>
      </c>
      <c r="E31" s="5">
        <f>22708.35+0</f>
        <v>22708.35</v>
      </c>
      <c r="F31" s="5">
        <f>17850.85+0</f>
        <v>17850.849999999999</v>
      </c>
      <c r="G31" s="5">
        <f>19200.54+0</f>
        <v>19200.54</v>
      </c>
      <c r="H31" s="5">
        <f>18057.25+0</f>
        <v>18057.25</v>
      </c>
      <c r="I31" s="5">
        <f>17266.79+0</f>
        <v>17266.79</v>
      </c>
      <c r="J31" s="5">
        <f>22962.95+0</f>
        <v>22962.95</v>
      </c>
      <c r="K31" s="5">
        <f>19947.31+0</f>
        <v>19947.310000000001</v>
      </c>
      <c r="L31" s="5">
        <f>23406.61+0</f>
        <v>23406.61</v>
      </c>
      <c r="M31" s="5">
        <f>25013.32+0</f>
        <v>25013.32</v>
      </c>
      <c r="O31" s="5">
        <f t="shared" ref="O31:O46" si="3">SUM(B31:N31)</f>
        <v>269206.39</v>
      </c>
    </row>
    <row r="32" spans="1:15" hidden="1" outlineLevel="2" x14ac:dyDescent="0.25">
      <c r="A32" t="str">
        <f>("55110")&amp;" - "&amp;("Benefits: PC Plan EE Expense")</f>
        <v>55110 - Benefits: PC Plan EE Expense</v>
      </c>
      <c r="B32" s="5">
        <f>-159.87+0</f>
        <v>-159.87</v>
      </c>
      <c r="C32" s="5">
        <f>1815.26+0</f>
        <v>1815.26</v>
      </c>
      <c r="D32" s="5">
        <f>-1023.92+0</f>
        <v>-1023.92</v>
      </c>
      <c r="E32" s="5">
        <f>2821.93+0</f>
        <v>2821.93</v>
      </c>
      <c r="F32" s="5">
        <f>2390.88+0</f>
        <v>2390.88</v>
      </c>
      <c r="G32" s="5">
        <f>2953.66+0</f>
        <v>2953.66</v>
      </c>
      <c r="H32" s="5">
        <f>-4790.87+0</f>
        <v>-4790.87</v>
      </c>
      <c r="I32" s="5">
        <f>625.75+0</f>
        <v>625.75</v>
      </c>
      <c r="J32" s="5">
        <f>962.08+0</f>
        <v>962.08</v>
      </c>
      <c r="K32" s="5">
        <f>1248.85+0</f>
        <v>1248.8499999999999</v>
      </c>
      <c r="L32" s="5">
        <f>1114.98+0</f>
        <v>1114.98</v>
      </c>
      <c r="M32" s="5">
        <f>976.37+0</f>
        <v>976.37</v>
      </c>
      <c r="O32" s="5">
        <f t="shared" si="3"/>
        <v>8935.0999999999985</v>
      </c>
    </row>
    <row r="33" spans="1:15" hidden="1" outlineLevel="2" x14ac:dyDescent="0.25">
      <c r="A33" t="str">
        <f>("55200")&amp;" - "&amp;("Benefits- 401K Employer Match")</f>
        <v>55200 - Benefits- 401K Employer Match</v>
      </c>
      <c r="B33" s="5">
        <f>2111.31+0</f>
        <v>2111.31</v>
      </c>
      <c r="C33" s="5">
        <f>2111.31+0</f>
        <v>2111.31</v>
      </c>
      <c r="D33" s="5">
        <f>10220+0</f>
        <v>10220</v>
      </c>
      <c r="E33" s="5">
        <f>2385.6+0</f>
        <v>2385.6</v>
      </c>
      <c r="F33" s="5">
        <f>1497.1+0</f>
        <v>1497.1</v>
      </c>
      <c r="G33" s="5">
        <f>1500.34+0</f>
        <v>1500.34</v>
      </c>
      <c r="H33" s="5">
        <f>2551.85+0</f>
        <v>2551.85</v>
      </c>
      <c r="I33" s="5">
        <f>2551.85+0</f>
        <v>2551.85</v>
      </c>
      <c r="J33" s="5">
        <f>2213.02+0</f>
        <v>2213.02</v>
      </c>
      <c r="K33" s="5">
        <f>2562.74+0</f>
        <v>2562.7399999999998</v>
      </c>
      <c r="L33" s="5">
        <f>2562.74+0</f>
        <v>2562.7399999999998</v>
      </c>
      <c r="M33" s="5">
        <f>2593.5+0</f>
        <v>2593.5</v>
      </c>
      <c r="O33" s="5">
        <f t="shared" si="3"/>
        <v>34861.359999999993</v>
      </c>
    </row>
    <row r="34" spans="1:15" s="3" customFormat="1" hidden="1" outlineLevel="1" x14ac:dyDescent="0.25">
      <c r="A34" s="1" t="s">
        <v>19</v>
      </c>
      <c r="B34" s="9">
        <f>SUM(OSRRefB6_2_0x_0)</f>
        <v>30845.660000000003</v>
      </c>
      <c r="C34" s="9">
        <f>SUM(OSRRefB6_2_0x_1)</f>
        <v>26470.52</v>
      </c>
      <c r="D34" s="9">
        <f>SUM(OSRRefB6_2_0x_2)</f>
        <v>40550.33</v>
      </c>
      <c r="E34" s="9">
        <f>SUM(OSRRefB6_2_0x_3)</f>
        <v>27915.879999999997</v>
      </c>
      <c r="F34" s="9">
        <f>SUM(OSRRefB6_2_0x_4)</f>
        <v>21738.829999999998</v>
      </c>
      <c r="G34" s="9">
        <f>SUM(OSRRefB6_2_0x_5)</f>
        <v>23654.54</v>
      </c>
      <c r="H34" s="9">
        <f>SUM(OSRRefB6_2_0x_6)</f>
        <v>15818.230000000001</v>
      </c>
      <c r="I34" s="9">
        <f>SUM(OSRRefB6_2_0x_7)</f>
        <v>20444.39</v>
      </c>
      <c r="J34" s="9">
        <f>SUM(OSRRefB6_2_0x_8)</f>
        <v>26138.050000000003</v>
      </c>
      <c r="K34" s="9">
        <f>SUM(OSRRefB6_2_0x_9)</f>
        <v>23758.9</v>
      </c>
      <c r="L34" s="9">
        <f>SUM(OSRRefB6_2_0x_10)</f>
        <v>27084.33</v>
      </c>
      <c r="M34" s="9">
        <f>SUM(OSRRefB6_2_0x_11)</f>
        <v>28583.19</v>
      </c>
      <c r="N34" s="10"/>
      <c r="O34" s="9">
        <f t="shared" si="3"/>
        <v>313002.84999999998</v>
      </c>
    </row>
    <row r="35" spans="1:15" hidden="1" outlineLevel="2" x14ac:dyDescent="0.25">
      <c r="A35" t="str">
        <f>("56100")&amp;" - "&amp;("EE Expense- Goodwill")</f>
        <v>56100 - EE Expense- Goodwill</v>
      </c>
      <c r="B35" s="5">
        <f>390.99+0</f>
        <v>390.99</v>
      </c>
      <c r="C35" s="5">
        <f>628.94+0</f>
        <v>628.94000000000005</v>
      </c>
      <c r="D35" s="5">
        <f>169.57+0</f>
        <v>169.57</v>
      </c>
      <c r="E35" s="5">
        <f>138.58+0</f>
        <v>138.58000000000001</v>
      </c>
      <c r="F35" s="5">
        <f>42.8+0</f>
        <v>42.8</v>
      </c>
      <c r="G35" s="5">
        <f>0+0</f>
        <v>0</v>
      </c>
      <c r="H35" s="5">
        <f>307.82+0</f>
        <v>307.82</v>
      </c>
      <c r="I35" s="5">
        <f>200.41+0</f>
        <v>200.41</v>
      </c>
      <c r="J35" s="5">
        <f>270.04+0</f>
        <v>270.04000000000002</v>
      </c>
      <c r="K35" s="5">
        <f>411.7+0</f>
        <v>411.7</v>
      </c>
      <c r="L35" s="5">
        <f>101.02+0</f>
        <v>101.02</v>
      </c>
      <c r="M35" s="5">
        <f>1442.53+0</f>
        <v>1442.53</v>
      </c>
      <c r="O35" s="5">
        <f t="shared" si="3"/>
        <v>4104.3999999999996</v>
      </c>
    </row>
    <row r="36" spans="1:15" hidden="1" outlineLevel="2" x14ac:dyDescent="0.25">
      <c r="A36" t="str">
        <f>("56200")&amp;" - "&amp;("EE Expense- Education")</f>
        <v>56200 - EE Expense- Education</v>
      </c>
      <c r="B36" s="5">
        <f>0+0</f>
        <v>0</v>
      </c>
      <c r="C36" s="5">
        <f>0+0</f>
        <v>0</v>
      </c>
      <c r="D36" s="5">
        <f>1674.5+0</f>
        <v>1674.5</v>
      </c>
      <c r="E36" s="5">
        <f>0+0</f>
        <v>0</v>
      </c>
      <c r="F36" s="5">
        <f>0+0</f>
        <v>0</v>
      </c>
      <c r="G36" s="5">
        <f>0+0</f>
        <v>0</v>
      </c>
      <c r="H36" s="5">
        <f>1000+0</f>
        <v>1000</v>
      </c>
      <c r="I36" s="5">
        <f>2000+0</f>
        <v>2000</v>
      </c>
      <c r="J36" s="5">
        <f>927+0</f>
        <v>927</v>
      </c>
      <c r="K36" s="5">
        <f>-392+0</f>
        <v>-392</v>
      </c>
      <c r="L36" s="5">
        <f>0+0</f>
        <v>0</v>
      </c>
      <c r="M36" s="5">
        <f>0+0</f>
        <v>0</v>
      </c>
      <c r="O36" s="5">
        <f t="shared" si="3"/>
        <v>5209.5</v>
      </c>
    </row>
    <row r="37" spans="1:15" hidden="1" outlineLevel="2" x14ac:dyDescent="0.25">
      <c r="A37" t="str">
        <f>("56300")&amp;" - "&amp;("EE Expense- License Fees")</f>
        <v>56300 - EE Expense- License Fees</v>
      </c>
      <c r="B37" s="5">
        <f>100+0</f>
        <v>100</v>
      </c>
      <c r="C37" s="5">
        <f>0+0</f>
        <v>0</v>
      </c>
      <c r="D37" s="5">
        <f>0+0</f>
        <v>0</v>
      </c>
      <c r="E37" s="5">
        <f>0+0</f>
        <v>0</v>
      </c>
      <c r="F37" s="5">
        <f>888+0</f>
        <v>888</v>
      </c>
      <c r="G37" s="5">
        <f>0+0</f>
        <v>0</v>
      </c>
      <c r="H37" s="5">
        <f>220+0</f>
        <v>220</v>
      </c>
      <c r="I37" s="5">
        <f>0+0</f>
        <v>0</v>
      </c>
      <c r="J37" s="5">
        <f>0+0</f>
        <v>0</v>
      </c>
      <c r="K37" s="5">
        <f>0+0</f>
        <v>0</v>
      </c>
      <c r="L37" s="5">
        <f>0+0</f>
        <v>0</v>
      </c>
      <c r="M37" s="5">
        <f>0+0</f>
        <v>0</v>
      </c>
      <c r="O37" s="5">
        <f t="shared" si="3"/>
        <v>1208</v>
      </c>
    </row>
    <row r="38" spans="1:15" hidden="1" outlineLevel="2" x14ac:dyDescent="0.25">
      <c r="A38" t="str">
        <f>("56400")&amp;" - "&amp;("EE Expense- Recruiting")</f>
        <v>56400 - EE Expense- Recruiting</v>
      </c>
      <c r="B38" s="5">
        <f>0+0</f>
        <v>0</v>
      </c>
      <c r="C38" s="5">
        <f>631.96+0</f>
        <v>631.96</v>
      </c>
      <c r="D38" s="5">
        <f>129.06+0</f>
        <v>129.06</v>
      </c>
      <c r="E38" s="5">
        <f>115.57+0</f>
        <v>115.57</v>
      </c>
      <c r="F38" s="5">
        <f>322.25+0</f>
        <v>322.25</v>
      </c>
      <c r="G38" s="5">
        <f>176.02+0</f>
        <v>176.02</v>
      </c>
      <c r="H38" s="5">
        <f>-136.32+0</f>
        <v>-136.32</v>
      </c>
      <c r="I38" s="5">
        <f>18.65+0</f>
        <v>18.649999999999999</v>
      </c>
      <c r="J38" s="5">
        <f>330.08+0</f>
        <v>330.08</v>
      </c>
      <c r="K38" s="5">
        <f>99.94+0</f>
        <v>99.94</v>
      </c>
      <c r="L38" s="5">
        <f>10.97+0</f>
        <v>10.97</v>
      </c>
      <c r="M38" s="5">
        <f>556.99+0</f>
        <v>556.99</v>
      </c>
      <c r="O38" s="5">
        <f t="shared" si="3"/>
        <v>2255.17</v>
      </c>
    </row>
    <row r="39" spans="1:15" s="3" customFormat="1" hidden="1" outlineLevel="1" x14ac:dyDescent="0.25">
      <c r="A39" s="1" t="s">
        <v>18</v>
      </c>
      <c r="B39" s="9">
        <f>SUM(OSRRefB6_2_1x_0)</f>
        <v>490.99</v>
      </c>
      <c r="C39" s="9">
        <f>SUM(OSRRefB6_2_1x_1)</f>
        <v>1260.9000000000001</v>
      </c>
      <c r="D39" s="9">
        <f>SUM(OSRRefB6_2_1x_2)</f>
        <v>1973.1299999999999</v>
      </c>
      <c r="E39" s="9">
        <f>SUM(OSRRefB6_2_1x_3)</f>
        <v>254.15</v>
      </c>
      <c r="F39" s="9">
        <f>SUM(OSRRefB6_2_1x_4)</f>
        <v>1253.05</v>
      </c>
      <c r="G39" s="9">
        <f>SUM(OSRRefB6_2_1x_5)</f>
        <v>176.02</v>
      </c>
      <c r="H39" s="9">
        <f>SUM(OSRRefB6_2_1x_6)</f>
        <v>1391.5</v>
      </c>
      <c r="I39" s="9">
        <f>SUM(OSRRefB6_2_1x_7)</f>
        <v>2219.06</v>
      </c>
      <c r="J39" s="9">
        <f>SUM(OSRRefB6_2_1x_8)</f>
        <v>1527.12</v>
      </c>
      <c r="K39" s="9">
        <f>SUM(OSRRefB6_2_1x_9)</f>
        <v>119.63999999999999</v>
      </c>
      <c r="L39" s="9">
        <f>SUM(OSRRefB6_2_1x_10)</f>
        <v>111.99</v>
      </c>
      <c r="M39" s="9">
        <f>SUM(OSRRefB6_2_1x_11)</f>
        <v>1999.52</v>
      </c>
      <c r="N39" s="10"/>
      <c r="O39" s="9">
        <f t="shared" si="3"/>
        <v>12777.070000000002</v>
      </c>
    </row>
    <row r="40" spans="1:15" hidden="1" outlineLevel="2" x14ac:dyDescent="0.25">
      <c r="A40" t="str">
        <f>("53100")&amp;" - "&amp;("Incentive Pay- Other Bonus")</f>
        <v>53100 - Incentive Pay- Other Bonus</v>
      </c>
      <c r="B40" s="5">
        <f>0+0</f>
        <v>0</v>
      </c>
      <c r="C40" s="5">
        <f>0+0</f>
        <v>0</v>
      </c>
      <c r="D40" s="5">
        <f>14976+0</f>
        <v>14976</v>
      </c>
      <c r="E40" s="5">
        <f>18775+0</f>
        <v>18775</v>
      </c>
      <c r="F40" s="5">
        <f>0+0</f>
        <v>0</v>
      </c>
      <c r="G40" s="5">
        <f>0+0</f>
        <v>0</v>
      </c>
      <c r="H40" s="5">
        <f>69+0</f>
        <v>69</v>
      </c>
      <c r="I40" s="5">
        <f>0+0</f>
        <v>0</v>
      </c>
      <c r="J40" s="5">
        <f>0+0</f>
        <v>0</v>
      </c>
      <c r="K40" s="5">
        <f>0+0</f>
        <v>0</v>
      </c>
      <c r="L40" s="5">
        <f>0+0</f>
        <v>0</v>
      </c>
      <c r="M40" s="5">
        <f>0+0</f>
        <v>0</v>
      </c>
      <c r="O40" s="5">
        <f t="shared" si="3"/>
        <v>33820</v>
      </c>
    </row>
    <row r="41" spans="1:15" s="3" customFormat="1" hidden="1" outlineLevel="1" x14ac:dyDescent="0.25">
      <c r="A41" s="1" t="s">
        <v>17</v>
      </c>
      <c r="B41" s="9">
        <f>SUM(OSRRefB6_2_2x_0)</f>
        <v>0</v>
      </c>
      <c r="C41" s="9">
        <f>SUM(OSRRefB6_2_2x_1)</f>
        <v>0</v>
      </c>
      <c r="D41" s="9">
        <f>SUM(OSRRefB6_2_2x_2)</f>
        <v>14976</v>
      </c>
      <c r="E41" s="9">
        <f>SUM(OSRRefB6_2_2x_3)</f>
        <v>18775</v>
      </c>
      <c r="F41" s="9">
        <f>SUM(OSRRefB6_2_2x_4)</f>
        <v>0</v>
      </c>
      <c r="G41" s="9">
        <f>SUM(OSRRefB6_2_2x_5)</f>
        <v>0</v>
      </c>
      <c r="H41" s="9">
        <f>SUM(OSRRefB6_2_2x_6)</f>
        <v>69</v>
      </c>
      <c r="I41" s="9">
        <f>SUM(OSRRefB6_2_2x_7)</f>
        <v>0</v>
      </c>
      <c r="J41" s="9">
        <f>SUM(OSRRefB6_2_2x_8)</f>
        <v>0</v>
      </c>
      <c r="K41" s="9">
        <f>SUM(OSRRefB6_2_2x_9)</f>
        <v>0</v>
      </c>
      <c r="L41" s="9">
        <f>SUM(OSRRefB6_2_2x_10)</f>
        <v>0</v>
      </c>
      <c r="M41" s="9">
        <f>SUM(OSRRefB6_2_2x_11)</f>
        <v>0</v>
      </c>
      <c r="N41" s="10"/>
      <c r="O41" s="9">
        <f t="shared" si="3"/>
        <v>33820</v>
      </c>
    </row>
    <row r="42" spans="1:15" hidden="1" outlineLevel="2" x14ac:dyDescent="0.25">
      <c r="A42" t="str">
        <f>("54000")&amp;" - "&amp;("Payroll Taxes- FICA")</f>
        <v>54000 - Payroll Taxes- FICA</v>
      </c>
      <c r="B42" s="5">
        <f>16752.98+0</f>
        <v>16752.98</v>
      </c>
      <c r="C42" s="5">
        <f>17062.41+0</f>
        <v>17062.41</v>
      </c>
      <c r="D42" s="5">
        <f>18021.77+0</f>
        <v>18021.77</v>
      </c>
      <c r="E42" s="5">
        <f>20400.39+0</f>
        <v>20400.39</v>
      </c>
      <c r="F42" s="5">
        <f>15776.33+0</f>
        <v>15776.33</v>
      </c>
      <c r="G42" s="5">
        <f>16881.64+0</f>
        <v>16881.64</v>
      </c>
      <c r="H42" s="5">
        <f>16065.09+0</f>
        <v>16065.09</v>
      </c>
      <c r="I42" s="5">
        <f>16091.07+0</f>
        <v>16091.07</v>
      </c>
      <c r="J42" s="5">
        <f>18367.43+0</f>
        <v>18367.43</v>
      </c>
      <c r="K42" s="5">
        <f>18635.59+0</f>
        <v>18635.59</v>
      </c>
      <c r="L42" s="5">
        <f>16341.36+0</f>
        <v>16341.36</v>
      </c>
      <c r="M42" s="5">
        <f>16606.27+0</f>
        <v>16606.27</v>
      </c>
      <c r="O42" s="5">
        <f t="shared" si="3"/>
        <v>207002.33</v>
      </c>
    </row>
    <row r="43" spans="1:15" hidden="1" outlineLevel="2" x14ac:dyDescent="0.25">
      <c r="A43" t="str">
        <f>("54100")&amp;" - "&amp;("Payroll Taxes- FUTA")</f>
        <v>54100 - Payroll Taxes- FUTA</v>
      </c>
      <c r="B43" s="5">
        <f>84.29+0</f>
        <v>84.29</v>
      </c>
      <c r="C43" s="5">
        <f>188.74+0</f>
        <v>188.74</v>
      </c>
      <c r="D43" s="5">
        <f>67.93+0</f>
        <v>67.930000000000007</v>
      </c>
      <c r="E43" s="5">
        <f>1628.29+0</f>
        <v>1628.29</v>
      </c>
      <c r="F43" s="5">
        <f>243.34+0</f>
        <v>243.34</v>
      </c>
      <c r="G43" s="5">
        <f>104.19+0</f>
        <v>104.19</v>
      </c>
      <c r="H43" s="5">
        <f>90.57+0</f>
        <v>90.57</v>
      </c>
      <c r="I43" s="5">
        <f>60.82+0</f>
        <v>60.82</v>
      </c>
      <c r="J43" s="5">
        <f>148.38+0</f>
        <v>148.38</v>
      </c>
      <c r="K43" s="5">
        <f>112.28+0</f>
        <v>112.28</v>
      </c>
      <c r="L43" s="5">
        <f>56.12+0</f>
        <v>56.12</v>
      </c>
      <c r="M43" s="5">
        <f>34.36+0</f>
        <v>34.36</v>
      </c>
      <c r="O43" s="5">
        <f t="shared" si="3"/>
        <v>2819.3100000000009</v>
      </c>
    </row>
    <row r="44" spans="1:15" hidden="1" outlineLevel="2" x14ac:dyDescent="0.25">
      <c r="A44" t="str">
        <f>("54200")&amp;" - "&amp;("Payroll Taxes- SUTA")</f>
        <v>54200 - Payroll Taxes- SUTA</v>
      </c>
      <c r="B44" s="5">
        <f>281.17+0</f>
        <v>281.17</v>
      </c>
      <c r="C44" s="5">
        <f>717.21+0</f>
        <v>717.21</v>
      </c>
      <c r="D44" s="5">
        <f>-168.84+0</f>
        <v>-168.84</v>
      </c>
      <c r="E44" s="5">
        <f>5893.41+0</f>
        <v>5893.41</v>
      </c>
      <c r="F44" s="5">
        <f>1397.62+0</f>
        <v>1397.62</v>
      </c>
      <c r="G44" s="5">
        <f>480+0</f>
        <v>480</v>
      </c>
      <c r="H44" s="5">
        <f>338.36+0</f>
        <v>338.36</v>
      </c>
      <c r="I44" s="5">
        <f>227.45+0</f>
        <v>227.45</v>
      </c>
      <c r="J44" s="5">
        <f>435.5+0</f>
        <v>435.5</v>
      </c>
      <c r="K44" s="5">
        <f>689.48+0</f>
        <v>689.48</v>
      </c>
      <c r="L44" s="5">
        <f>295.61+0</f>
        <v>295.61</v>
      </c>
      <c r="M44" s="5">
        <f>148+0</f>
        <v>148</v>
      </c>
      <c r="O44" s="5">
        <f t="shared" si="3"/>
        <v>10734.970000000001</v>
      </c>
    </row>
    <row r="45" spans="1:15" s="3" customFormat="1" hidden="1" outlineLevel="1" x14ac:dyDescent="0.25">
      <c r="A45" s="1" t="s">
        <v>16</v>
      </c>
      <c r="B45" s="9">
        <f>SUM(OSRRefB6_2_3x_0)</f>
        <v>17118.439999999999</v>
      </c>
      <c r="C45" s="9">
        <f>SUM(OSRRefB6_2_3x_1)</f>
        <v>17968.36</v>
      </c>
      <c r="D45" s="9">
        <f>SUM(OSRRefB6_2_3x_2)</f>
        <v>17920.86</v>
      </c>
      <c r="E45" s="9">
        <f>SUM(OSRRefB6_2_3x_3)</f>
        <v>27922.09</v>
      </c>
      <c r="F45" s="9">
        <f>SUM(OSRRefB6_2_3x_4)</f>
        <v>17417.29</v>
      </c>
      <c r="G45" s="9">
        <f>SUM(OSRRefB6_2_3x_5)</f>
        <v>17465.829999999998</v>
      </c>
      <c r="H45" s="9">
        <f>SUM(OSRRefB6_2_3x_6)</f>
        <v>16494.02</v>
      </c>
      <c r="I45" s="9">
        <f>SUM(OSRRefB6_2_3x_7)</f>
        <v>16379.34</v>
      </c>
      <c r="J45" s="9">
        <f>SUM(OSRRefB6_2_3x_8)</f>
        <v>18951.310000000001</v>
      </c>
      <c r="K45" s="9">
        <f>SUM(OSRRefB6_2_3x_9)</f>
        <v>19437.349999999999</v>
      </c>
      <c r="L45" s="9">
        <f>SUM(OSRRefB6_2_3x_10)</f>
        <v>16693.09</v>
      </c>
      <c r="M45" s="9">
        <f>SUM(OSRRefB6_2_3x_11)</f>
        <v>16788.63</v>
      </c>
      <c r="N45" s="10"/>
      <c r="O45" s="9">
        <f t="shared" si="3"/>
        <v>220556.61000000002</v>
      </c>
    </row>
    <row r="46" spans="1:15" s="1" customFormat="1" collapsed="1" x14ac:dyDescent="0.25">
      <c r="A46" s="1" t="str">
        <f>"Total "&amp;TRIM(MID("2C.Benefits",4,125))</f>
        <v>Total Benefits</v>
      </c>
      <c r="B46" s="11">
        <f>SUM(OSRRefB7_2x_0)</f>
        <v>48455.090000000004</v>
      </c>
      <c r="C46" s="11">
        <f>SUM(OSRRefB7_2x_1)</f>
        <v>45699.78</v>
      </c>
      <c r="D46" s="11">
        <f>SUM(OSRRefB7_2x_2)</f>
        <v>75420.320000000007</v>
      </c>
      <c r="E46" s="11">
        <f>SUM(OSRRefB7_2x_3)</f>
        <v>74867.12</v>
      </c>
      <c r="F46" s="11">
        <f>SUM(OSRRefB7_2x_4)</f>
        <v>40409.17</v>
      </c>
      <c r="G46" s="11">
        <f>SUM(OSRRefB7_2x_5)</f>
        <v>41296.39</v>
      </c>
      <c r="H46" s="11">
        <f>SUM(OSRRefB7_2x_6)</f>
        <v>33772.75</v>
      </c>
      <c r="I46" s="11">
        <f>SUM(OSRRefB7_2x_7)</f>
        <v>39042.79</v>
      </c>
      <c r="J46" s="11">
        <f>SUM(OSRRefB7_2x_8)</f>
        <v>46616.480000000003</v>
      </c>
      <c r="K46" s="11">
        <f>SUM(OSRRefB7_2x_9)</f>
        <v>43315.89</v>
      </c>
      <c r="L46" s="11">
        <f>SUM(OSRRefB7_2x_10)</f>
        <v>43889.41</v>
      </c>
      <c r="M46" s="11">
        <f>SUM(OSRRefB7_2x_11)</f>
        <v>47371.34</v>
      </c>
      <c r="N46" s="12"/>
      <c r="O46" s="11">
        <f t="shared" si="3"/>
        <v>580156.52999999991</v>
      </c>
    </row>
    <row r="48" spans="1:15" hidden="1" outlineLevel="1" x14ac:dyDescent="0.25">
      <c r="A48" s="1" t="str">
        <f>TRIM(MID("2D.Travel",4,125))</f>
        <v>Travel</v>
      </c>
    </row>
    <row r="49" spans="1:15" hidden="1" outlineLevel="2" x14ac:dyDescent="0.25">
      <c r="A49" t="str">
        <f>("65000")&amp;" - "&amp;("Travel- Airfare")</f>
        <v>65000 - Travel- Airfare</v>
      </c>
      <c r="B49" s="5">
        <f t="shared" ref="B49:G51" si="4">0+0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5">
        <f>-436.81+0</f>
        <v>-436.81</v>
      </c>
      <c r="I49" s="5">
        <f>0+0</f>
        <v>0</v>
      </c>
      <c r="J49" s="5">
        <f>0+0</f>
        <v>0</v>
      </c>
      <c r="K49" s="5">
        <f>0+0</f>
        <v>0</v>
      </c>
      <c r="L49" s="5">
        <f>0+0</f>
        <v>0</v>
      </c>
      <c r="M49" s="5">
        <f>0+0</f>
        <v>0</v>
      </c>
      <c r="O49" s="5">
        <f t="shared" ref="O49:O58" si="5">SUM(B49:N49)</f>
        <v>-436.81</v>
      </c>
    </row>
    <row r="50" spans="1:15" hidden="1" outlineLevel="2" x14ac:dyDescent="0.25">
      <c r="A50" t="str">
        <f>("65020")&amp;" - "&amp;("Travel- Lodging")</f>
        <v>65020 - Travel- Lodging</v>
      </c>
      <c r="B50" s="5">
        <f t="shared" si="4"/>
        <v>0</v>
      </c>
      <c r="C50" s="5">
        <f t="shared" si="4"/>
        <v>0</v>
      </c>
      <c r="D50" s="5">
        <f t="shared" si="4"/>
        <v>0</v>
      </c>
      <c r="E50" s="5">
        <f t="shared" si="4"/>
        <v>0</v>
      </c>
      <c r="F50" s="5">
        <f t="shared" si="4"/>
        <v>0</v>
      </c>
      <c r="G50" s="5">
        <f t="shared" si="4"/>
        <v>0</v>
      </c>
      <c r="H50" s="5">
        <f>-467.05+0</f>
        <v>-467.05</v>
      </c>
      <c r="I50" s="5">
        <f>0+0</f>
        <v>0</v>
      </c>
      <c r="J50" s="5">
        <f>1211.65+0</f>
        <v>1211.6500000000001</v>
      </c>
      <c r="K50" s="5">
        <f t="shared" ref="K50:L56" si="6">0+0</f>
        <v>0</v>
      </c>
      <c r="L50" s="5">
        <f t="shared" si="6"/>
        <v>0</v>
      </c>
      <c r="M50" s="5">
        <f>592.6+0</f>
        <v>592.6</v>
      </c>
      <c r="O50" s="5">
        <f t="shared" si="5"/>
        <v>1337.2000000000003</v>
      </c>
    </row>
    <row r="51" spans="1:15" hidden="1" outlineLevel="2" x14ac:dyDescent="0.25">
      <c r="A51" t="str">
        <f>("65050")&amp;" - "&amp;("Travel- Rental Car")</f>
        <v>65050 - Travel- Rental Car</v>
      </c>
      <c r="B51" s="5">
        <f t="shared" si="4"/>
        <v>0</v>
      </c>
      <c r="C51" s="5">
        <f t="shared" si="4"/>
        <v>0</v>
      </c>
      <c r="D51" s="5">
        <f t="shared" si="4"/>
        <v>0</v>
      </c>
      <c r="E51" s="5">
        <f t="shared" si="4"/>
        <v>0</v>
      </c>
      <c r="F51" s="5">
        <f t="shared" si="4"/>
        <v>0</v>
      </c>
      <c r="G51" s="5">
        <f t="shared" si="4"/>
        <v>0</v>
      </c>
      <c r="H51" s="5">
        <f>-220.29+0</f>
        <v>-220.29</v>
      </c>
      <c r="I51" s="5">
        <f>0+0</f>
        <v>0</v>
      </c>
      <c r="J51" s="5">
        <f>0+0</f>
        <v>0</v>
      </c>
      <c r="K51" s="5">
        <f t="shared" si="6"/>
        <v>0</v>
      </c>
      <c r="L51" s="5">
        <f t="shared" si="6"/>
        <v>0</v>
      </c>
      <c r="M51" s="5">
        <f>0+0</f>
        <v>0</v>
      </c>
      <c r="O51" s="5">
        <f t="shared" si="5"/>
        <v>-220.29</v>
      </c>
    </row>
    <row r="52" spans="1:15" hidden="1" outlineLevel="2" x14ac:dyDescent="0.25">
      <c r="A52" t="str">
        <f>("65100")&amp;" - "&amp;("Travel- Mileage")</f>
        <v>65100 - Travel- Mileage</v>
      </c>
      <c r="B52" s="5">
        <f>0+0</f>
        <v>0</v>
      </c>
      <c r="C52" s="5">
        <f>0+0</f>
        <v>0</v>
      </c>
      <c r="D52" s="5">
        <f>49.45+0</f>
        <v>49.45</v>
      </c>
      <c r="E52" s="5">
        <f>96.32+0</f>
        <v>96.32</v>
      </c>
      <c r="F52" s="5">
        <f t="shared" ref="F52:H54" si="7">0+0</f>
        <v>0</v>
      </c>
      <c r="G52" s="5">
        <f t="shared" si="7"/>
        <v>0</v>
      </c>
      <c r="H52" s="5">
        <f t="shared" si="7"/>
        <v>0</v>
      </c>
      <c r="I52" s="5">
        <f>0+0</f>
        <v>0</v>
      </c>
      <c r="J52" s="5">
        <f>0+0</f>
        <v>0</v>
      </c>
      <c r="K52" s="5">
        <f t="shared" si="6"/>
        <v>0</v>
      </c>
      <c r="L52" s="5">
        <f t="shared" si="6"/>
        <v>0</v>
      </c>
      <c r="M52" s="5">
        <f>0+0</f>
        <v>0</v>
      </c>
      <c r="O52" s="5">
        <f t="shared" si="5"/>
        <v>145.76999999999998</v>
      </c>
    </row>
    <row r="53" spans="1:15" hidden="1" outlineLevel="2" x14ac:dyDescent="0.25">
      <c r="A53" t="str">
        <f>("65150")&amp;" - "&amp;("Travel- Parking")</f>
        <v>65150 - Travel- Parking</v>
      </c>
      <c r="B53" s="5">
        <f>0+0</f>
        <v>0</v>
      </c>
      <c r="C53" s="5">
        <f>0+0</f>
        <v>0</v>
      </c>
      <c r="D53" s="5">
        <f>8+0</f>
        <v>8</v>
      </c>
      <c r="E53" s="5">
        <f>8+0</f>
        <v>8</v>
      </c>
      <c r="F53" s="5">
        <f t="shared" si="7"/>
        <v>0</v>
      </c>
      <c r="G53" s="5">
        <f t="shared" si="7"/>
        <v>0</v>
      </c>
      <c r="H53" s="5">
        <f t="shared" si="7"/>
        <v>0</v>
      </c>
      <c r="I53" s="5">
        <f>8+0</f>
        <v>8</v>
      </c>
      <c r="J53" s="5">
        <f>0+0</f>
        <v>0</v>
      </c>
      <c r="K53" s="5">
        <f t="shared" si="6"/>
        <v>0</v>
      </c>
      <c r="L53" s="5">
        <f t="shared" si="6"/>
        <v>0</v>
      </c>
      <c r="M53" s="5">
        <f>0+0</f>
        <v>0</v>
      </c>
      <c r="O53" s="5">
        <f t="shared" si="5"/>
        <v>24</v>
      </c>
    </row>
    <row r="54" spans="1:15" hidden="1" outlineLevel="2" x14ac:dyDescent="0.25">
      <c r="A54" t="str">
        <f>("65175")&amp;" - "&amp;("Travel- Meals")</f>
        <v>65175 - Travel- Meals</v>
      </c>
      <c r="B54" s="5">
        <f>39.82+0</f>
        <v>39.82</v>
      </c>
      <c r="C54" s="5">
        <f>0+0</f>
        <v>0</v>
      </c>
      <c r="D54" s="5">
        <f>13.06+0</f>
        <v>13.06</v>
      </c>
      <c r="E54" s="5">
        <f>10.14+0</f>
        <v>10.14</v>
      </c>
      <c r="F54" s="5">
        <f t="shared" si="7"/>
        <v>0</v>
      </c>
      <c r="G54" s="5">
        <f t="shared" si="7"/>
        <v>0</v>
      </c>
      <c r="H54" s="5">
        <f t="shared" si="7"/>
        <v>0</v>
      </c>
      <c r="I54" s="5">
        <f>15.88+0</f>
        <v>15.88</v>
      </c>
      <c r="J54" s="5">
        <f>0+0</f>
        <v>0</v>
      </c>
      <c r="K54" s="5">
        <f t="shared" si="6"/>
        <v>0</v>
      </c>
      <c r="L54" s="5">
        <f t="shared" si="6"/>
        <v>0</v>
      </c>
      <c r="M54" s="5">
        <f>0+0</f>
        <v>0</v>
      </c>
      <c r="O54" s="5">
        <f t="shared" si="5"/>
        <v>78.900000000000006</v>
      </c>
    </row>
    <row r="55" spans="1:15" hidden="1" outlineLevel="2" x14ac:dyDescent="0.25">
      <c r="A55" t="str">
        <f>("65225")&amp;" - "&amp;("Travel- Other")</f>
        <v>65225 - Travel- Other</v>
      </c>
      <c r="B55" s="5">
        <f>0+0</f>
        <v>0</v>
      </c>
      <c r="C55" s="5">
        <f>0+0</f>
        <v>0</v>
      </c>
      <c r="D55" s="5">
        <f>0+0</f>
        <v>0</v>
      </c>
      <c r="E55" s="5">
        <f>0+0</f>
        <v>0</v>
      </c>
      <c r="F55" s="5">
        <f>0+0</f>
        <v>0</v>
      </c>
      <c r="G55" s="5">
        <f>0+0</f>
        <v>0</v>
      </c>
      <c r="H55" s="5">
        <f>7+0</f>
        <v>7</v>
      </c>
      <c r="I55" s="5">
        <f>0+0</f>
        <v>0</v>
      </c>
      <c r="J55" s="5">
        <f>0+0</f>
        <v>0</v>
      </c>
      <c r="K55" s="5">
        <f t="shared" si="6"/>
        <v>0</v>
      </c>
      <c r="L55" s="5">
        <f t="shared" si="6"/>
        <v>0</v>
      </c>
      <c r="M55" s="5">
        <f>0+0</f>
        <v>0</v>
      </c>
      <c r="O55" s="5">
        <f t="shared" si="5"/>
        <v>7</v>
      </c>
    </row>
    <row r="56" spans="1:15" hidden="1" outlineLevel="2" x14ac:dyDescent="0.25">
      <c r="A56" t="str">
        <f>("65250")&amp;" - "&amp;("Travel- Entertainment")</f>
        <v>65250 - Travel- Entertainment</v>
      </c>
      <c r="B56" s="5">
        <f>0+0</f>
        <v>0</v>
      </c>
      <c r="C56" s="5">
        <f>0+0</f>
        <v>0</v>
      </c>
      <c r="D56" s="5">
        <f>0+0</f>
        <v>0</v>
      </c>
      <c r="E56" s="5">
        <f>0+0</f>
        <v>0</v>
      </c>
      <c r="F56" s="5">
        <f>780.7+0</f>
        <v>780.7</v>
      </c>
      <c r="G56" s="5">
        <f>0+0</f>
        <v>0</v>
      </c>
      <c r="H56" s="5">
        <f>961.34+0</f>
        <v>961.34</v>
      </c>
      <c r="I56" s="5">
        <f>0+0</f>
        <v>0</v>
      </c>
      <c r="J56" s="5">
        <f>212.71+0</f>
        <v>212.71</v>
      </c>
      <c r="K56" s="5">
        <f t="shared" si="6"/>
        <v>0</v>
      </c>
      <c r="L56" s="5">
        <f t="shared" si="6"/>
        <v>0</v>
      </c>
      <c r="M56" s="5">
        <f>142.58+0</f>
        <v>142.58000000000001</v>
      </c>
      <c r="O56" s="5">
        <f t="shared" si="5"/>
        <v>2097.33</v>
      </c>
    </row>
    <row r="57" spans="1:15" s="3" customFormat="1" hidden="1" outlineLevel="1" x14ac:dyDescent="0.25">
      <c r="A57" s="1" t="s">
        <v>15</v>
      </c>
      <c r="B57" s="9">
        <f>SUM(OSRRefB6_3_0x_0)</f>
        <v>39.82</v>
      </c>
      <c r="C57" s="9">
        <f>SUM(OSRRefB6_3_0x_1)</f>
        <v>0</v>
      </c>
      <c r="D57" s="9">
        <f>SUM(OSRRefB6_3_0x_2)</f>
        <v>70.510000000000005</v>
      </c>
      <c r="E57" s="9">
        <f>SUM(OSRRefB6_3_0x_3)</f>
        <v>114.46</v>
      </c>
      <c r="F57" s="9">
        <f>SUM(OSRRefB6_3_0x_4)</f>
        <v>780.7</v>
      </c>
      <c r="G57" s="9">
        <f>SUM(OSRRefB6_3_0x_5)</f>
        <v>0</v>
      </c>
      <c r="H57" s="9">
        <f>SUM(OSRRefB6_3_0x_6)</f>
        <v>-155.81000000000006</v>
      </c>
      <c r="I57" s="9">
        <f>SUM(OSRRefB6_3_0x_7)</f>
        <v>23.880000000000003</v>
      </c>
      <c r="J57" s="9">
        <f>SUM(OSRRefB6_3_0x_8)</f>
        <v>1424.3600000000001</v>
      </c>
      <c r="K57" s="9">
        <f>SUM(OSRRefB6_3_0x_9)</f>
        <v>0</v>
      </c>
      <c r="L57" s="9">
        <f>SUM(OSRRefB6_3_0x_10)</f>
        <v>0</v>
      </c>
      <c r="M57" s="9">
        <f>SUM(OSRRefB6_3_0x_11)</f>
        <v>735.18000000000006</v>
      </c>
      <c r="N57" s="10"/>
      <c r="O57" s="9">
        <f t="shared" si="5"/>
        <v>3033.1000000000004</v>
      </c>
    </row>
    <row r="58" spans="1:15" s="1" customFormat="1" collapsed="1" x14ac:dyDescent="0.25">
      <c r="A58" s="1" t="str">
        <f>"Total "&amp;TRIM(MID("2D.Travel",4,125))</f>
        <v>Total Travel</v>
      </c>
      <c r="B58" s="11">
        <f>SUM(OSRRefB7_3x_0)</f>
        <v>39.82</v>
      </c>
      <c r="C58" s="11">
        <f>SUM(OSRRefB7_3x_1)</f>
        <v>0</v>
      </c>
      <c r="D58" s="11">
        <f>SUM(OSRRefB7_3x_2)</f>
        <v>70.510000000000005</v>
      </c>
      <c r="E58" s="11">
        <f>SUM(OSRRefB7_3x_3)</f>
        <v>114.46</v>
      </c>
      <c r="F58" s="11">
        <f>SUM(OSRRefB7_3x_4)</f>
        <v>780.7</v>
      </c>
      <c r="G58" s="11">
        <f>SUM(OSRRefB7_3x_5)</f>
        <v>0</v>
      </c>
      <c r="H58" s="11">
        <f>SUM(OSRRefB7_3x_6)</f>
        <v>-155.81000000000006</v>
      </c>
      <c r="I58" s="11">
        <f>SUM(OSRRefB7_3x_7)</f>
        <v>23.880000000000003</v>
      </c>
      <c r="J58" s="11">
        <f>SUM(OSRRefB7_3x_8)</f>
        <v>1424.3600000000001</v>
      </c>
      <c r="K58" s="11">
        <f>SUM(OSRRefB7_3x_9)</f>
        <v>0</v>
      </c>
      <c r="L58" s="11">
        <f>SUM(OSRRefB7_3x_10)</f>
        <v>0</v>
      </c>
      <c r="M58" s="11">
        <f>SUM(OSRRefB7_3x_11)</f>
        <v>735.18000000000006</v>
      </c>
      <c r="N58" s="12"/>
      <c r="O58" s="11">
        <f t="shared" si="5"/>
        <v>3033.1000000000004</v>
      </c>
    </row>
    <row r="60" spans="1:15" hidden="1" outlineLevel="1" x14ac:dyDescent="0.25">
      <c r="A60" s="1" t="str">
        <f>TRIM(MID("2E.Insurance",4,125))</f>
        <v>Insurance</v>
      </c>
    </row>
    <row r="61" spans="1:15" hidden="1" outlineLevel="2" x14ac:dyDescent="0.25">
      <c r="A61" t="str">
        <f>("60010")&amp;" - "&amp;("Insurance- Worker's Comp Reser")</f>
        <v>60010 - Insurance- Worker's Comp Reser</v>
      </c>
      <c r="B61" s="5">
        <f>1902.5+0</f>
        <v>1902.5</v>
      </c>
      <c r="C61" s="5">
        <f>1852.12+0</f>
        <v>1852.12</v>
      </c>
      <c r="D61" s="5">
        <f>-2879.74+0</f>
        <v>-2879.74</v>
      </c>
      <c r="E61" s="5">
        <f>989.6+0</f>
        <v>989.6</v>
      </c>
      <c r="F61" s="5">
        <f>1214.06+0</f>
        <v>1214.06</v>
      </c>
      <c r="G61" s="5">
        <f>950.93+0</f>
        <v>950.93</v>
      </c>
      <c r="H61" s="5">
        <f>152.72+0</f>
        <v>152.72</v>
      </c>
      <c r="I61" s="5">
        <f>1103.09+0</f>
        <v>1103.0899999999999</v>
      </c>
      <c r="J61" s="5">
        <f>1072.16+0</f>
        <v>1072.1600000000001</v>
      </c>
      <c r="K61" s="5">
        <f>976.38+0</f>
        <v>976.38</v>
      </c>
      <c r="L61" s="5">
        <f>1112.54+0</f>
        <v>1112.54</v>
      </c>
      <c r="M61" s="5">
        <f>1139.15+0</f>
        <v>1139.1500000000001</v>
      </c>
      <c r="O61" s="5">
        <f t="shared" ref="O61:O68" si="8">SUM(B61:N61)</f>
        <v>9585.51</v>
      </c>
    </row>
    <row r="62" spans="1:15" hidden="1" outlineLevel="2" x14ac:dyDescent="0.25">
      <c r="A62" t="str">
        <f>("60030")&amp;" - "&amp;("Insurance- Worker's Comp Premi")</f>
        <v>60030 - Insurance- Worker's Comp Premi</v>
      </c>
      <c r="B62" s="5">
        <f>560.1+0</f>
        <v>560.1</v>
      </c>
      <c r="C62" s="5">
        <f>608.52+0</f>
        <v>608.52</v>
      </c>
      <c r="D62" s="5">
        <f>472.7+0</f>
        <v>472.7</v>
      </c>
      <c r="E62" s="5">
        <f>729.7+0</f>
        <v>729.7</v>
      </c>
      <c r="F62" s="5">
        <f>510.97+0</f>
        <v>510.97</v>
      </c>
      <c r="G62" s="5">
        <f>772.31+0</f>
        <v>772.31</v>
      </c>
      <c r="H62" s="5">
        <f>1569.29+0</f>
        <v>1569.29</v>
      </c>
      <c r="I62" s="5">
        <f>620.21+0</f>
        <v>620.21</v>
      </c>
      <c r="J62" s="5">
        <f>651.55+0</f>
        <v>651.54999999999995</v>
      </c>
      <c r="K62" s="5">
        <f>746.77+0</f>
        <v>746.77</v>
      </c>
      <c r="L62" s="5">
        <f>610.78+0</f>
        <v>610.78</v>
      </c>
      <c r="M62" s="5">
        <f>584.2+0</f>
        <v>584.20000000000005</v>
      </c>
      <c r="O62" s="5">
        <f t="shared" si="8"/>
        <v>8437.1</v>
      </c>
    </row>
    <row r="63" spans="1:15" hidden="1" outlineLevel="2" x14ac:dyDescent="0.25">
      <c r="A63" t="str">
        <f>("60110")&amp;" - "&amp;("Insurance-Prof/GL Reserve")</f>
        <v>60110 - Insurance-Prof/GL Reserve</v>
      </c>
      <c r="B63" s="5">
        <f>5925.52+0</f>
        <v>5925.52</v>
      </c>
      <c r="C63" s="5">
        <f>6213.09+0</f>
        <v>6213.09</v>
      </c>
      <c r="D63" s="5">
        <f>28586.7+0</f>
        <v>28586.7</v>
      </c>
      <c r="E63" s="5">
        <f>7585.13+0</f>
        <v>7585.13</v>
      </c>
      <c r="F63" s="5">
        <f>8050.95+0</f>
        <v>8050.95</v>
      </c>
      <c r="G63" s="5">
        <f>8912.6+0</f>
        <v>8912.6</v>
      </c>
      <c r="H63" s="5">
        <f>8192.64+0</f>
        <v>8192.64</v>
      </c>
      <c r="I63" s="5">
        <f>7909.93+0</f>
        <v>7909.93</v>
      </c>
      <c r="J63" s="5">
        <f>8100.43+0</f>
        <v>8100.43</v>
      </c>
      <c r="K63" s="5">
        <f>8045.67+0</f>
        <v>8045.67</v>
      </c>
      <c r="L63" s="5">
        <f>8024.86+0</f>
        <v>8024.86</v>
      </c>
      <c r="M63" s="5">
        <f>10274.77+0</f>
        <v>10274.77</v>
      </c>
      <c r="O63" s="5">
        <f t="shared" si="8"/>
        <v>115822.29</v>
      </c>
    </row>
    <row r="64" spans="1:15" hidden="1" outlineLevel="2" x14ac:dyDescent="0.25">
      <c r="A64" t="str">
        <f>("60130")&amp;" - "&amp;("Insurance-Prof/GL Premiums")</f>
        <v>60130 - Insurance-Prof/GL Premiums</v>
      </c>
      <c r="B64" s="5">
        <f>2006.82+0</f>
        <v>2006.82</v>
      </c>
      <c r="C64" s="5">
        <f>1750.89+0</f>
        <v>1750.89</v>
      </c>
      <c r="D64" s="5">
        <f>2076.04+0</f>
        <v>2076.04</v>
      </c>
      <c r="E64" s="5">
        <f>3417.04+0</f>
        <v>3417.04</v>
      </c>
      <c r="F64" s="5">
        <f>1490.23+0</f>
        <v>1490.23</v>
      </c>
      <c r="G64" s="5">
        <f>636.57+0</f>
        <v>636.57000000000005</v>
      </c>
      <c r="H64" s="5">
        <f>1349.89+0</f>
        <v>1349.89</v>
      </c>
      <c r="I64" s="5">
        <f>1607.53+0</f>
        <v>1607.53</v>
      </c>
      <c r="J64" s="5">
        <f>1434.87+0</f>
        <v>1434.87</v>
      </c>
      <c r="K64" s="5">
        <f>1465.23+0</f>
        <v>1465.23</v>
      </c>
      <c r="L64" s="5">
        <f>1486.5+0</f>
        <v>1486.5</v>
      </c>
      <c r="M64" s="5">
        <f>1433.77+0</f>
        <v>1433.77</v>
      </c>
      <c r="O64" s="5">
        <f t="shared" si="8"/>
        <v>20155.38</v>
      </c>
    </row>
    <row r="65" spans="1:15" hidden="1" outlineLevel="2" x14ac:dyDescent="0.25">
      <c r="A65" t="str">
        <f>("60210")&amp;" - "&amp;("Insurance-Emp. Practices Res")</f>
        <v>60210 - Insurance-Emp. Practices Res</v>
      </c>
      <c r="B65" s="5">
        <f>690.06+0</f>
        <v>690.06</v>
      </c>
      <c r="C65" s="5">
        <f>929.11+0</f>
        <v>929.11</v>
      </c>
      <c r="D65" s="5">
        <f>-394.61+0</f>
        <v>-394.61</v>
      </c>
      <c r="E65" s="5">
        <f t="shared" ref="E65:M65" si="9">655.13+0</f>
        <v>655.13</v>
      </c>
      <c r="F65" s="5">
        <f t="shared" si="9"/>
        <v>655.13</v>
      </c>
      <c r="G65" s="5">
        <f t="shared" si="9"/>
        <v>655.13</v>
      </c>
      <c r="H65" s="5">
        <f t="shared" si="9"/>
        <v>655.13</v>
      </c>
      <c r="I65" s="5">
        <f t="shared" si="9"/>
        <v>655.13</v>
      </c>
      <c r="J65" s="5">
        <f t="shared" si="9"/>
        <v>655.13</v>
      </c>
      <c r="K65" s="5">
        <f t="shared" si="9"/>
        <v>655.13</v>
      </c>
      <c r="L65" s="5">
        <f t="shared" si="9"/>
        <v>655.13</v>
      </c>
      <c r="M65" s="5">
        <f t="shared" si="9"/>
        <v>655.13</v>
      </c>
      <c r="O65" s="5">
        <f t="shared" si="8"/>
        <v>7120.7300000000005</v>
      </c>
    </row>
    <row r="66" spans="1:15" hidden="1" outlineLevel="2" x14ac:dyDescent="0.25">
      <c r="A66" t="str">
        <f>("60400")&amp;" - "&amp;("Insurance- Property")</f>
        <v>60400 - Insurance- Property</v>
      </c>
      <c r="B66" s="5">
        <f>0+0</f>
        <v>0</v>
      </c>
      <c r="C66" s="5">
        <f>0+0</f>
        <v>0</v>
      </c>
      <c r="D66" s="5">
        <f>0+0</f>
        <v>0</v>
      </c>
      <c r="E66" s="5">
        <f>0+0</f>
        <v>0</v>
      </c>
      <c r="F66" s="5">
        <f>26.32+0</f>
        <v>26.32</v>
      </c>
      <c r="G66" s="5">
        <f>20.02+0</f>
        <v>20.02</v>
      </c>
      <c r="H66" s="5">
        <f>19.38+0</f>
        <v>19.38</v>
      </c>
      <c r="I66" s="5">
        <f>20.02+0</f>
        <v>20.02</v>
      </c>
      <c r="J66" s="5">
        <f>19.38+0</f>
        <v>19.38</v>
      </c>
      <c r="K66" s="5">
        <f>20.08+0</f>
        <v>20.079999999999998</v>
      </c>
      <c r="L66" s="5">
        <f>20.08+0</f>
        <v>20.079999999999998</v>
      </c>
      <c r="M66" s="5">
        <f>19.45+0</f>
        <v>19.45</v>
      </c>
      <c r="O66" s="5">
        <f t="shared" si="8"/>
        <v>164.72999999999996</v>
      </c>
    </row>
    <row r="67" spans="1:15" s="3" customFormat="1" hidden="1" outlineLevel="1" x14ac:dyDescent="0.25">
      <c r="A67" s="1" t="s">
        <v>14</v>
      </c>
      <c r="B67" s="9">
        <f>SUM(OSRRefB6_4_0x_0)</f>
        <v>11085</v>
      </c>
      <c r="C67" s="9">
        <f>SUM(OSRRefB6_4_0x_1)</f>
        <v>11353.73</v>
      </c>
      <c r="D67" s="9">
        <f>SUM(OSRRefB6_4_0x_2)</f>
        <v>27861.09</v>
      </c>
      <c r="E67" s="9">
        <f>SUM(OSRRefB6_4_0x_3)</f>
        <v>13376.6</v>
      </c>
      <c r="F67" s="9">
        <f>SUM(OSRRefB6_4_0x_4)</f>
        <v>11947.659999999998</v>
      </c>
      <c r="G67" s="9">
        <f>SUM(OSRRefB6_4_0x_5)</f>
        <v>11947.56</v>
      </c>
      <c r="H67" s="9">
        <f>SUM(OSRRefB6_4_0x_6)</f>
        <v>11939.049999999997</v>
      </c>
      <c r="I67" s="9">
        <f>SUM(OSRRefB6_4_0x_7)</f>
        <v>11915.91</v>
      </c>
      <c r="J67" s="9">
        <f>SUM(OSRRefB6_4_0x_8)</f>
        <v>11933.519999999997</v>
      </c>
      <c r="K67" s="9">
        <f>SUM(OSRRefB6_4_0x_9)</f>
        <v>11909.259999999998</v>
      </c>
      <c r="L67" s="9">
        <f>SUM(OSRRefB6_4_0x_10)</f>
        <v>11909.89</v>
      </c>
      <c r="M67" s="9">
        <f>SUM(OSRRefB6_4_0x_11)</f>
        <v>14106.470000000001</v>
      </c>
      <c r="N67" s="10"/>
      <c r="O67" s="9">
        <f t="shared" si="8"/>
        <v>161285.74000000002</v>
      </c>
    </row>
    <row r="68" spans="1:15" s="1" customFormat="1" collapsed="1" x14ac:dyDescent="0.25">
      <c r="A68" s="1" t="str">
        <f>"Total "&amp;TRIM(MID("2E.Insurance",4,125))</f>
        <v>Total Insurance</v>
      </c>
      <c r="B68" s="11">
        <f>SUM(OSRRefB7_4x_0)</f>
        <v>11085</v>
      </c>
      <c r="C68" s="11">
        <f>SUM(OSRRefB7_4x_1)</f>
        <v>11353.73</v>
      </c>
      <c r="D68" s="11">
        <f>SUM(OSRRefB7_4x_2)</f>
        <v>27861.09</v>
      </c>
      <c r="E68" s="11">
        <f>SUM(OSRRefB7_4x_3)</f>
        <v>13376.6</v>
      </c>
      <c r="F68" s="11">
        <f>SUM(OSRRefB7_4x_4)</f>
        <v>11947.659999999998</v>
      </c>
      <c r="G68" s="11">
        <f>SUM(OSRRefB7_4x_5)</f>
        <v>11947.56</v>
      </c>
      <c r="H68" s="11">
        <f>SUM(OSRRefB7_4x_6)</f>
        <v>11939.049999999997</v>
      </c>
      <c r="I68" s="11">
        <f>SUM(OSRRefB7_4x_7)</f>
        <v>11915.91</v>
      </c>
      <c r="J68" s="11">
        <f>SUM(OSRRefB7_4x_8)</f>
        <v>11933.519999999997</v>
      </c>
      <c r="K68" s="11">
        <f>SUM(OSRRefB7_4x_9)</f>
        <v>11909.259999999998</v>
      </c>
      <c r="L68" s="11">
        <f>SUM(OSRRefB7_4x_10)</f>
        <v>11909.89</v>
      </c>
      <c r="M68" s="11">
        <f>SUM(OSRRefB7_4x_11)</f>
        <v>14106.470000000001</v>
      </c>
      <c r="N68" s="12"/>
      <c r="O68" s="11">
        <f t="shared" si="8"/>
        <v>161285.74000000002</v>
      </c>
    </row>
    <row r="70" spans="1:15" hidden="1" outlineLevel="1" x14ac:dyDescent="0.25">
      <c r="A70" s="1" t="s">
        <v>13</v>
      </c>
    </row>
    <row r="71" spans="1:15" collapsed="1" x14ac:dyDescent="0.25">
      <c r="A71" s="1"/>
    </row>
    <row r="72" spans="1:15" hidden="1" outlineLevel="1" x14ac:dyDescent="0.25">
      <c r="A72" s="1" t="str">
        <f>TRIM(MID("2F.On-Site Professional Services",4,125))</f>
        <v>On-Site Professional Services</v>
      </c>
    </row>
    <row r="73" spans="1:15" hidden="1" outlineLevel="2" x14ac:dyDescent="0.25">
      <c r="A73" t="str">
        <f>("52010")&amp;" - "&amp;("On-Site PF- Physician AP")</f>
        <v>52010 - On-Site PF- Physician AP</v>
      </c>
      <c r="B73" s="5">
        <f t="shared" ref="B73:I73" si="10">0+0</f>
        <v>0</v>
      </c>
      <c r="C73" s="5">
        <f t="shared" si="10"/>
        <v>0</v>
      </c>
      <c r="D73" s="5">
        <f t="shared" si="10"/>
        <v>0</v>
      </c>
      <c r="E73" s="5">
        <f t="shared" si="10"/>
        <v>0</v>
      </c>
      <c r="F73" s="5">
        <f t="shared" si="10"/>
        <v>0</v>
      </c>
      <c r="G73" s="5">
        <f t="shared" si="10"/>
        <v>0</v>
      </c>
      <c r="H73" s="5">
        <f t="shared" si="10"/>
        <v>0</v>
      </c>
      <c r="I73" s="5">
        <f t="shared" si="10"/>
        <v>0</v>
      </c>
      <c r="J73" s="5">
        <f>165+0</f>
        <v>165</v>
      </c>
      <c r="K73" s="5">
        <f>0+0</f>
        <v>0</v>
      </c>
      <c r="L73" s="5">
        <f>45+0</f>
        <v>45</v>
      </c>
      <c r="M73" s="5">
        <f>90+0</f>
        <v>90</v>
      </c>
      <c r="O73" s="5">
        <f>SUM(B73:N73)</f>
        <v>300</v>
      </c>
    </row>
    <row r="74" spans="1:15" s="3" customFormat="1" hidden="1" outlineLevel="1" x14ac:dyDescent="0.25">
      <c r="A74" s="1" t="s">
        <v>12</v>
      </c>
      <c r="B74" s="9">
        <f>SUM(OSRRefB13_0_0x_0)</f>
        <v>0</v>
      </c>
      <c r="C74" s="9">
        <f>SUM(OSRRefB13_0_0x_1)</f>
        <v>0</v>
      </c>
      <c r="D74" s="9">
        <f>SUM(OSRRefB13_0_0x_2)</f>
        <v>0</v>
      </c>
      <c r="E74" s="9">
        <f>SUM(OSRRefB13_0_0x_3)</f>
        <v>0</v>
      </c>
      <c r="F74" s="9">
        <f>SUM(OSRRefB13_0_0x_4)</f>
        <v>0</v>
      </c>
      <c r="G74" s="9">
        <f>SUM(OSRRefB13_0_0x_5)</f>
        <v>0</v>
      </c>
      <c r="H74" s="9">
        <f>SUM(OSRRefB13_0_0x_6)</f>
        <v>0</v>
      </c>
      <c r="I74" s="9">
        <f>SUM(OSRRefB13_0_0x_7)</f>
        <v>0</v>
      </c>
      <c r="J74" s="9">
        <f>SUM(OSRRefB13_0_0x_8)</f>
        <v>165</v>
      </c>
      <c r="K74" s="9">
        <f>SUM(OSRRefB13_0_0x_9)</f>
        <v>0</v>
      </c>
      <c r="L74" s="9">
        <f>SUM(OSRRefB13_0_0x_10)</f>
        <v>45</v>
      </c>
      <c r="M74" s="9">
        <f>SUM(OSRRefB13_0_0x_11)</f>
        <v>90</v>
      </c>
      <c r="N74" s="10"/>
      <c r="O74" s="9">
        <f>SUM(B74:N74)</f>
        <v>300</v>
      </c>
    </row>
    <row r="75" spans="1:15" s="1" customFormat="1" collapsed="1" x14ac:dyDescent="0.25">
      <c r="A75" s="1" t="str">
        <f>"Total "&amp;TRIM(MID("2F.On-Site Professional Services",4,125))</f>
        <v>Total On-Site Professional Services</v>
      </c>
      <c r="B75" s="11">
        <f>SUM(OSRRefB14_0x_0)</f>
        <v>0</v>
      </c>
      <c r="C75" s="11">
        <f>SUM(OSRRefB14_0x_1)</f>
        <v>0</v>
      </c>
      <c r="D75" s="11">
        <f>SUM(OSRRefB14_0x_2)</f>
        <v>0</v>
      </c>
      <c r="E75" s="11">
        <f>SUM(OSRRefB14_0x_3)</f>
        <v>0</v>
      </c>
      <c r="F75" s="11">
        <f>SUM(OSRRefB14_0x_4)</f>
        <v>0</v>
      </c>
      <c r="G75" s="11">
        <f>SUM(OSRRefB14_0x_5)</f>
        <v>0</v>
      </c>
      <c r="H75" s="11">
        <f>SUM(OSRRefB14_0x_6)</f>
        <v>0</v>
      </c>
      <c r="I75" s="11">
        <f>SUM(OSRRefB14_0x_7)</f>
        <v>0</v>
      </c>
      <c r="J75" s="11">
        <f>SUM(OSRRefB14_0x_8)</f>
        <v>165</v>
      </c>
      <c r="K75" s="11">
        <f>SUM(OSRRefB14_0x_9)</f>
        <v>0</v>
      </c>
      <c r="L75" s="11">
        <f>SUM(OSRRefB14_0x_10)</f>
        <v>45</v>
      </c>
      <c r="M75" s="11">
        <f>SUM(OSRRefB14_0x_11)</f>
        <v>90</v>
      </c>
      <c r="N75" s="12"/>
      <c r="O75" s="11">
        <f>SUM(B75:N75)</f>
        <v>300</v>
      </c>
    </row>
    <row r="77" spans="1:15" outlineLevel="1" x14ac:dyDescent="0.25">
      <c r="A77" s="1" t="str">
        <f>TRIM(MID("2G.Pharmacy Supplies",4,125))</f>
        <v>Pharmacy Supplies</v>
      </c>
    </row>
    <row r="78" spans="1:15" outlineLevel="2" x14ac:dyDescent="0.25">
      <c r="A78" t="str">
        <f>("61000")&amp;" - "&amp;("Pharmacy- HIV")</f>
        <v>61000 - Pharmacy- HIV</v>
      </c>
      <c r="B78" s="5">
        <f>42625.71+0</f>
        <v>42625.71</v>
      </c>
      <c r="C78" s="5">
        <f>21413.88+0</f>
        <v>21413.88</v>
      </c>
      <c r="D78" s="5">
        <f>45504.78+0</f>
        <v>45504.78</v>
      </c>
      <c r="E78" s="5">
        <f>26119.32+0</f>
        <v>26119.32</v>
      </c>
      <c r="F78" s="5">
        <f>43447.44+0</f>
        <v>43447.44</v>
      </c>
      <c r="G78" s="5">
        <f>17747.98+0</f>
        <v>17747.98</v>
      </c>
      <c r="H78" s="5">
        <f>36767.87+0</f>
        <v>36767.870000000003</v>
      </c>
      <c r="I78" s="5">
        <f>28484.31+0</f>
        <v>28484.31</v>
      </c>
      <c r="J78" s="5">
        <f>36193.95+0</f>
        <v>36193.949999999997</v>
      </c>
      <c r="K78" s="5">
        <f>-5042.42+0</f>
        <v>-5042.42</v>
      </c>
      <c r="L78" s="5">
        <f>45602.37+0</f>
        <v>45602.37</v>
      </c>
      <c r="M78" s="5">
        <f>25321.41+0</f>
        <v>25321.41</v>
      </c>
      <c r="O78" s="5">
        <f t="shared" ref="O78:O89" si="11">SUM(B78:N78)</f>
        <v>364186.6</v>
      </c>
    </row>
    <row r="79" spans="1:15" outlineLevel="2" x14ac:dyDescent="0.25">
      <c r="A79" t="str">
        <f>("61050")&amp;" - "&amp;("Pharmacy- Psychiatric")</f>
        <v>61050 - Pharmacy- Psychiatric</v>
      </c>
      <c r="B79" s="5">
        <f>3471.71+0</f>
        <v>3471.71</v>
      </c>
      <c r="C79" s="5">
        <f>1571.22+0</f>
        <v>1571.22</v>
      </c>
      <c r="D79" s="5">
        <f>5150.79+0</f>
        <v>5150.79</v>
      </c>
      <c r="E79" s="5">
        <f>2577.77+0</f>
        <v>2577.77</v>
      </c>
      <c r="F79" s="5">
        <f>2095.18+0</f>
        <v>2095.1799999999998</v>
      </c>
      <c r="G79" s="5">
        <f>4721.13+0</f>
        <v>4721.13</v>
      </c>
      <c r="H79" s="5">
        <f>2228.32+0</f>
        <v>2228.3200000000002</v>
      </c>
      <c r="I79" s="5">
        <f>3568.03+0</f>
        <v>3568.03</v>
      </c>
      <c r="J79" s="5">
        <f>2878.12+0</f>
        <v>2878.12</v>
      </c>
      <c r="K79" s="5">
        <f>4312.58+0</f>
        <v>4312.58</v>
      </c>
      <c r="L79" s="5">
        <f>2998.71+0</f>
        <v>2998.71</v>
      </c>
      <c r="M79" s="5">
        <f>13734.41+0</f>
        <v>13734.41</v>
      </c>
      <c r="O79" s="5">
        <f t="shared" si="11"/>
        <v>49307.97</v>
      </c>
    </row>
    <row r="80" spans="1:15" outlineLevel="2" x14ac:dyDescent="0.25">
      <c r="A80" t="str">
        <f>("61250")&amp;" - "&amp;("Pharmacy- Biological")</f>
        <v>61250 - Pharmacy- Biological</v>
      </c>
      <c r="B80" s="5">
        <f>2133.25+0</f>
        <v>2133.25</v>
      </c>
      <c r="C80" s="5">
        <f>1035.53+0</f>
        <v>1035.53</v>
      </c>
      <c r="D80" s="5">
        <f>1040.72+0</f>
        <v>1040.72</v>
      </c>
      <c r="E80" s="5">
        <f>570.43+0</f>
        <v>570.42999999999995</v>
      </c>
      <c r="F80" s="5">
        <f>1603.93+0</f>
        <v>1603.93</v>
      </c>
      <c r="G80" s="5">
        <f>3234.59+0</f>
        <v>3234.59</v>
      </c>
      <c r="H80" s="5">
        <f>1393.33+0</f>
        <v>1393.33</v>
      </c>
      <c r="I80" s="5">
        <f>40211.79+0</f>
        <v>40211.79</v>
      </c>
      <c r="J80" s="5">
        <f>0+0</f>
        <v>0</v>
      </c>
      <c r="K80" s="5">
        <f>0+0</f>
        <v>0</v>
      </c>
      <c r="L80" s="5">
        <f>23.34+0</f>
        <v>23.34</v>
      </c>
      <c r="M80" s="5">
        <f>237.84+0</f>
        <v>237.84</v>
      </c>
      <c r="O80" s="5">
        <f t="shared" si="11"/>
        <v>51484.749999999993</v>
      </c>
    </row>
    <row r="81" spans="1:15" outlineLevel="2" x14ac:dyDescent="0.25">
      <c r="A81" t="str">
        <f>("61455")&amp;" - "&amp;("Pulmonary")</f>
        <v>61455 - Pulmonary</v>
      </c>
      <c r="B81" s="5">
        <f>1437.76+0</f>
        <v>1437.76</v>
      </c>
      <c r="C81" s="5">
        <f>1143.88+0</f>
        <v>1143.8800000000001</v>
      </c>
      <c r="D81" s="5">
        <f>1082.1+0</f>
        <v>1082.0999999999999</v>
      </c>
      <c r="E81" s="5">
        <f>1127.68+0</f>
        <v>1127.68</v>
      </c>
      <c r="F81" s="5">
        <f>325.56+0</f>
        <v>325.56</v>
      </c>
      <c r="G81" s="5">
        <f>2804.48+0</f>
        <v>2804.48</v>
      </c>
      <c r="H81" s="5">
        <f>1956.34+0</f>
        <v>1956.34</v>
      </c>
      <c r="I81" s="5">
        <f>882.64+0</f>
        <v>882.64</v>
      </c>
      <c r="J81" s="5">
        <f>2189.08+0</f>
        <v>2189.08</v>
      </c>
      <c r="K81" s="5">
        <f>1677.64+0</f>
        <v>1677.64</v>
      </c>
      <c r="L81" s="5">
        <f>1237.43+0</f>
        <v>1237.43</v>
      </c>
      <c r="M81" s="5">
        <f>1981.43+0</f>
        <v>1981.43</v>
      </c>
      <c r="O81" s="5">
        <f t="shared" si="11"/>
        <v>17846.02</v>
      </c>
    </row>
    <row r="82" spans="1:15" outlineLevel="2" x14ac:dyDescent="0.25">
      <c r="A82" t="str">
        <f>("61475")&amp;" - "&amp;("Pharmacy- Other")</f>
        <v>61475 - Pharmacy- Other</v>
      </c>
      <c r="B82" s="5">
        <f>7463.57+0</f>
        <v>7463.57</v>
      </c>
      <c r="C82" s="5">
        <f>5461.27+0</f>
        <v>5461.27</v>
      </c>
      <c r="D82" s="5">
        <f>8405.82+0</f>
        <v>8405.82</v>
      </c>
      <c r="E82" s="5">
        <f>6562.93+0</f>
        <v>6562.93</v>
      </c>
      <c r="F82" s="5">
        <f>6014.87+0</f>
        <v>6014.87</v>
      </c>
      <c r="G82" s="5">
        <f>9988.43+0</f>
        <v>9988.43</v>
      </c>
      <c r="H82" s="5">
        <f>6418.76+0</f>
        <v>6418.76</v>
      </c>
      <c r="I82" s="5">
        <f>5077.67+0</f>
        <v>5077.67</v>
      </c>
      <c r="J82" s="5">
        <f>9315.26+0</f>
        <v>9315.26</v>
      </c>
      <c r="K82" s="5">
        <f>7397.78+0</f>
        <v>7397.78</v>
      </c>
      <c r="L82" s="5">
        <f>5801.08+0</f>
        <v>5801.08</v>
      </c>
      <c r="M82" s="5">
        <f>5779.72+0</f>
        <v>5779.72</v>
      </c>
      <c r="O82" s="5">
        <f t="shared" si="11"/>
        <v>83687.16</v>
      </c>
    </row>
    <row r="83" spans="1:15" outlineLevel="2" x14ac:dyDescent="0.25">
      <c r="A83" t="str">
        <f>("61480")&amp;" - "&amp;("Pharmacy - Estimate Accrual")</f>
        <v>61480 - Pharmacy - Estimate Accrual</v>
      </c>
      <c r="B83" s="5">
        <f>-78.52+0</f>
        <v>-78.52</v>
      </c>
      <c r="C83" s="5">
        <f>1280.86+0</f>
        <v>1280.8599999999999</v>
      </c>
      <c r="D83" s="5">
        <f>-1611.46+0</f>
        <v>-1611.46</v>
      </c>
      <c r="E83" s="5">
        <f>591.02+0</f>
        <v>591.02</v>
      </c>
      <c r="F83" s="5">
        <f>-15.78+0</f>
        <v>-15.78</v>
      </c>
      <c r="G83" s="5">
        <f>-368.7+0</f>
        <v>-368.7</v>
      </c>
      <c r="H83" s="5">
        <f>180.2+0</f>
        <v>180.2</v>
      </c>
      <c r="I83" s="5">
        <v>-63.62</v>
      </c>
      <c r="J83" s="5">
        <v>-323.11999999999534</v>
      </c>
      <c r="K83" s="5">
        <f>311.92+0</f>
        <v>311.92</v>
      </c>
      <c r="L83" s="5">
        <f>42.19+0</f>
        <v>42.19</v>
      </c>
      <c r="M83" s="5">
        <f>905.41+0</f>
        <v>905.41</v>
      </c>
      <c r="O83" s="5">
        <f t="shared" si="11"/>
        <v>850.40000000000452</v>
      </c>
    </row>
    <row r="84" spans="1:15" s="3" customFormat="1" outlineLevel="1" x14ac:dyDescent="0.25">
      <c r="A84" s="1" t="s">
        <v>11</v>
      </c>
      <c r="B84" s="9">
        <f>SUM(OSRRefB13_1_0x_0)</f>
        <v>57053.48</v>
      </c>
      <c r="C84" s="9">
        <f>SUM(OSRRefB13_1_0x_1)</f>
        <v>31906.640000000003</v>
      </c>
      <c r="D84" s="9">
        <f>SUM(OSRRefB13_1_0x_2)</f>
        <v>59572.75</v>
      </c>
      <c r="E84" s="9">
        <f>SUM(OSRRefB13_1_0x_3)</f>
        <v>37549.15</v>
      </c>
      <c r="F84" s="9">
        <f>SUM(OSRRefB13_1_0x_4)</f>
        <v>53471.200000000004</v>
      </c>
      <c r="G84" s="9">
        <f>SUM(OSRRefB13_1_0x_5)</f>
        <v>38127.910000000003</v>
      </c>
      <c r="H84" s="9">
        <f>SUM(OSRRefB13_1_0x_6)</f>
        <v>48944.82</v>
      </c>
      <c r="I84" s="9">
        <f>SUM(OSRRefB13_1_0x_7)</f>
        <v>78160.820000000007</v>
      </c>
      <c r="J84" s="9">
        <f>SUM(OSRRefB13_1_0x_8)</f>
        <v>50253.290000000008</v>
      </c>
      <c r="K84" s="9">
        <f>SUM(OSRRefB13_1_0x_9)</f>
        <v>8657.5</v>
      </c>
      <c r="L84" s="9">
        <f>SUM(OSRRefB13_1_0x_10)</f>
        <v>55705.120000000003</v>
      </c>
      <c r="M84" s="9">
        <f>SUM(OSRRefB13_1_0x_11)</f>
        <v>47960.22</v>
      </c>
      <c r="N84" s="10"/>
      <c r="O84" s="9">
        <f t="shared" si="11"/>
        <v>567362.9</v>
      </c>
    </row>
    <row r="85" spans="1:15" outlineLevel="2" x14ac:dyDescent="0.25">
      <c r="A85" t="str">
        <f>("61059")&amp;" - "&amp;("Pharmacy-Psychiatric-Returns")</f>
        <v>61059 - Pharmacy-Psychiatric-Returns</v>
      </c>
      <c r="B85" s="5">
        <f>-57.73+0</f>
        <v>-57.73</v>
      </c>
      <c r="C85" s="5">
        <f>-52.2+0</f>
        <v>-52.2</v>
      </c>
      <c r="D85" s="5">
        <f>0+0</f>
        <v>0</v>
      </c>
      <c r="E85" s="5">
        <f>-55.67+0</f>
        <v>-55.67</v>
      </c>
      <c r="F85" s="5">
        <f>0+0</f>
        <v>0</v>
      </c>
      <c r="G85" s="5">
        <f>-1465.35+0</f>
        <v>-1465.35</v>
      </c>
      <c r="H85" s="5">
        <f>-198.45+0</f>
        <v>-198.45</v>
      </c>
      <c r="I85" s="5">
        <f>-465.9+0</f>
        <v>-465.9</v>
      </c>
      <c r="J85" s="5">
        <f>229.77+0</f>
        <v>229.77</v>
      </c>
      <c r="K85" s="5">
        <f>-7.92+0</f>
        <v>-7.92</v>
      </c>
      <c r="L85" s="5">
        <f>-280.34+0</f>
        <v>-280.33999999999997</v>
      </c>
      <c r="M85" s="5">
        <f>-3.88+0</f>
        <v>-3.88</v>
      </c>
      <c r="O85" s="5">
        <f t="shared" si="11"/>
        <v>-2357.67</v>
      </c>
    </row>
    <row r="86" spans="1:15" outlineLevel="2" x14ac:dyDescent="0.25">
      <c r="A86" t="str">
        <f>("61259")&amp;" - "&amp;("Pharmacy-Biological-Returns")</f>
        <v>61259 - Pharmacy-Biological-Returns</v>
      </c>
      <c r="B86" s="5">
        <f>0+0</f>
        <v>0</v>
      </c>
      <c r="C86" s="5">
        <f>0+0</f>
        <v>0</v>
      </c>
      <c r="D86" s="5">
        <f>0+0</f>
        <v>0</v>
      </c>
      <c r="E86" s="5">
        <f>-242.94+0</f>
        <v>-242.94</v>
      </c>
      <c r="F86" s="5">
        <f>0+0</f>
        <v>0</v>
      </c>
      <c r="G86" s="5">
        <f>-38.38+0</f>
        <v>-38.380000000000003</v>
      </c>
      <c r="H86" s="5">
        <f>-91.1+0</f>
        <v>-91.1</v>
      </c>
      <c r="I86" s="5">
        <f>0+0</f>
        <v>0</v>
      </c>
      <c r="J86" s="5">
        <f>0+0</f>
        <v>0</v>
      </c>
      <c r="K86" s="5">
        <f>-320.24+0</f>
        <v>-320.24</v>
      </c>
      <c r="L86" s="5">
        <f>0+0</f>
        <v>0</v>
      </c>
      <c r="M86" s="5">
        <f>0+0</f>
        <v>0</v>
      </c>
      <c r="O86" s="5">
        <f t="shared" si="11"/>
        <v>-692.66</v>
      </c>
    </row>
    <row r="87" spans="1:15" outlineLevel="2" x14ac:dyDescent="0.25">
      <c r="A87" t="str">
        <f>("61479")&amp;" - "&amp;("Pharmacy-Other-Returns")</f>
        <v>61479 - Pharmacy-Other-Returns</v>
      </c>
      <c r="B87" s="5">
        <f>-60.73+0</f>
        <v>-60.73</v>
      </c>
      <c r="C87" s="5">
        <f>-111.8+0</f>
        <v>-111.8</v>
      </c>
      <c r="D87" s="5">
        <f>-2105.48+0</f>
        <v>-2105.48</v>
      </c>
      <c r="E87" s="5">
        <f>-980.49+0</f>
        <v>-980.49</v>
      </c>
      <c r="F87" s="5">
        <f>-708.12+0</f>
        <v>-708.12</v>
      </c>
      <c r="G87" s="5">
        <f>-56.52+0</f>
        <v>-56.52</v>
      </c>
      <c r="H87" s="5">
        <f>-239.67+0</f>
        <v>-239.67</v>
      </c>
      <c r="I87" s="5">
        <f>-15.14+0</f>
        <v>-15.14</v>
      </c>
      <c r="J87" s="5">
        <f>-56.18+0</f>
        <v>-56.18</v>
      </c>
      <c r="K87" s="5">
        <f>-85.31+0</f>
        <v>-85.31</v>
      </c>
      <c r="L87" s="5">
        <f>-41.57+0</f>
        <v>-41.57</v>
      </c>
      <c r="M87" s="5">
        <f>0+0</f>
        <v>0</v>
      </c>
      <c r="O87" s="5">
        <f t="shared" si="11"/>
        <v>-4461.01</v>
      </c>
    </row>
    <row r="88" spans="1:15" s="3" customFormat="1" outlineLevel="1" x14ac:dyDescent="0.25">
      <c r="A88" s="1" t="s">
        <v>10</v>
      </c>
      <c r="B88" s="9">
        <f>SUM(OSRRefB13_1_1x_0)</f>
        <v>-118.46</v>
      </c>
      <c r="C88" s="9">
        <f>SUM(OSRRefB13_1_1x_1)</f>
        <v>-164</v>
      </c>
      <c r="D88" s="9">
        <f>SUM(OSRRefB13_1_1x_2)</f>
        <v>-2105.48</v>
      </c>
      <c r="E88" s="9">
        <f>SUM(OSRRefB13_1_1x_3)</f>
        <v>-1279.0999999999999</v>
      </c>
      <c r="F88" s="9">
        <f>SUM(OSRRefB13_1_1x_4)</f>
        <v>-708.12</v>
      </c>
      <c r="G88" s="9">
        <f>SUM(OSRRefB13_1_1x_5)</f>
        <v>-1560.25</v>
      </c>
      <c r="H88" s="9">
        <f>SUM(OSRRefB13_1_1x_6)</f>
        <v>-529.21999999999991</v>
      </c>
      <c r="I88" s="9">
        <f>SUM(OSRRefB13_1_1x_7)</f>
        <v>-481.03999999999996</v>
      </c>
      <c r="J88" s="9">
        <f>SUM(OSRRefB13_1_1x_8)</f>
        <v>173.59</v>
      </c>
      <c r="K88" s="9">
        <f>SUM(OSRRefB13_1_1x_9)</f>
        <v>-413.47</v>
      </c>
      <c r="L88" s="9">
        <f>SUM(OSRRefB13_1_1x_10)</f>
        <v>-321.90999999999997</v>
      </c>
      <c r="M88" s="9">
        <f>SUM(OSRRefB13_1_1x_11)</f>
        <v>-3.88</v>
      </c>
      <c r="N88" s="10"/>
      <c r="O88" s="9">
        <f t="shared" si="11"/>
        <v>-7511.34</v>
      </c>
    </row>
    <row r="89" spans="1:15" s="1" customFormat="1" x14ac:dyDescent="0.25">
      <c r="A89" s="1" t="str">
        <f>"Total "&amp;TRIM(MID("2G.Pharmacy Supplies",4,125))</f>
        <v>Total Pharmacy Supplies</v>
      </c>
      <c r="B89" s="11">
        <f>SUM(OSRRefB14_1x_0)</f>
        <v>56935.020000000004</v>
      </c>
      <c r="C89" s="11">
        <f>SUM(OSRRefB14_1x_1)</f>
        <v>31742.640000000003</v>
      </c>
      <c r="D89" s="11">
        <f>SUM(OSRRefB14_1x_2)</f>
        <v>57467.27</v>
      </c>
      <c r="E89" s="11">
        <f>SUM(OSRRefB14_1x_3)</f>
        <v>36270.050000000003</v>
      </c>
      <c r="F89" s="11">
        <f>SUM(OSRRefB14_1x_4)</f>
        <v>52763.08</v>
      </c>
      <c r="G89" s="11">
        <f>SUM(OSRRefB14_1x_5)</f>
        <v>36567.660000000003</v>
      </c>
      <c r="H89" s="11">
        <f>SUM(OSRRefB14_1x_6)</f>
        <v>48415.6</v>
      </c>
      <c r="I89" s="11">
        <f>SUM(OSRRefB14_1x_7)</f>
        <v>77679.780000000013</v>
      </c>
      <c r="J89" s="11">
        <f>SUM(OSRRefB14_1x_8)</f>
        <v>50426.880000000005</v>
      </c>
      <c r="K89" s="11">
        <f>SUM(OSRRefB14_1x_9)</f>
        <v>8244.0300000000007</v>
      </c>
      <c r="L89" s="11">
        <f>SUM(OSRRefB14_1x_10)</f>
        <v>55383.21</v>
      </c>
      <c r="M89" s="11">
        <f>SUM(OSRRefB14_1x_11)</f>
        <v>47956.340000000004</v>
      </c>
      <c r="N89" s="12"/>
      <c r="O89" s="11">
        <f t="shared" si="11"/>
        <v>559851.56000000006</v>
      </c>
    </row>
    <row r="91" spans="1:15" hidden="1" outlineLevel="1" x14ac:dyDescent="0.25">
      <c r="A91" s="1" t="str">
        <f>TRIM(MID("2H.Other On-Site",4,125))</f>
        <v>Other On-Site</v>
      </c>
    </row>
    <row r="92" spans="1:15" hidden="1" outlineLevel="2" x14ac:dyDescent="0.25">
      <c r="A92" t="str">
        <f>("61500")&amp;" - "&amp;("On-Site Med.- X-ray")</f>
        <v>61500 - On-Site Med.- X-ray</v>
      </c>
      <c r="B92" s="5">
        <f>4028.08+0</f>
        <v>4028.08</v>
      </c>
      <c r="C92" s="5">
        <f>2624.8+0</f>
        <v>2624.8</v>
      </c>
      <c r="D92" s="5">
        <f>2102.57+0</f>
        <v>2102.5700000000002</v>
      </c>
      <c r="E92" s="5">
        <f>3202.07+0</f>
        <v>3202.07</v>
      </c>
      <c r="F92" s="5">
        <f>1694.28+0</f>
        <v>1694.28</v>
      </c>
      <c r="G92" s="5">
        <f>2701.96+0</f>
        <v>2701.96</v>
      </c>
      <c r="H92" s="5">
        <f>2446.61+0</f>
        <v>2446.61</v>
      </c>
      <c r="I92" s="5">
        <f>2575.35+0</f>
        <v>2575.35</v>
      </c>
      <c r="J92" s="5">
        <f>2643.41+0</f>
        <v>2643.41</v>
      </c>
      <c r="K92" s="5">
        <f>3264.85+0</f>
        <v>3264.85</v>
      </c>
      <c r="L92" s="5">
        <f>3142.63+0</f>
        <v>3142.63</v>
      </c>
      <c r="M92" s="5">
        <f>3682.37+0</f>
        <v>3682.37</v>
      </c>
      <c r="O92" s="5">
        <f t="shared" ref="O92:O100" si="12">SUM(B92:N92)</f>
        <v>34108.980000000003</v>
      </c>
    </row>
    <row r="93" spans="1:15" hidden="1" outlineLevel="2" x14ac:dyDescent="0.25">
      <c r="A93" t="str">
        <f>("61550")&amp;" - "&amp;("On-Site Med.- Lab Services")</f>
        <v>61550 - On-Site Med.- Lab Services</v>
      </c>
      <c r="B93" s="5">
        <f>861.99+0</f>
        <v>861.99</v>
      </c>
      <c r="C93" s="5">
        <f>2193.49+0</f>
        <v>2193.4899999999998</v>
      </c>
      <c r="D93" s="5">
        <f>2022.73+0</f>
        <v>2022.73</v>
      </c>
      <c r="E93" s="5">
        <f>2921.9+0</f>
        <v>2921.9</v>
      </c>
      <c r="F93" s="5">
        <f>2353.75+0</f>
        <v>2353.75</v>
      </c>
      <c r="G93" s="5">
        <f>749.16+0</f>
        <v>749.16</v>
      </c>
      <c r="H93" s="5">
        <f>1997.78+0</f>
        <v>1997.78</v>
      </c>
      <c r="I93" s="5">
        <f>1581.57+0</f>
        <v>1581.57</v>
      </c>
      <c r="J93" s="5">
        <f>1257.38+0</f>
        <v>1257.3800000000001</v>
      </c>
      <c r="K93" s="5">
        <f>449.45+0</f>
        <v>449.45</v>
      </c>
      <c r="L93" s="5">
        <f>1442.2+0</f>
        <v>1442.2</v>
      </c>
      <c r="M93" s="5">
        <f>1772.41+0</f>
        <v>1772.41</v>
      </c>
      <c r="O93" s="5">
        <f t="shared" si="12"/>
        <v>19603.810000000001</v>
      </c>
    </row>
    <row r="94" spans="1:15" hidden="1" outlineLevel="2" x14ac:dyDescent="0.25">
      <c r="A94" t="str">
        <f>("61600")&amp;" - "&amp;("On-Site Med.- Dialysis")</f>
        <v>61600 - On-Site Med.- Dialysis</v>
      </c>
      <c r="B94" s="5">
        <f>23835.9+0</f>
        <v>23835.9</v>
      </c>
      <c r="C94" s="5">
        <f>18103.5+0</f>
        <v>18103.5</v>
      </c>
      <c r="D94" s="5">
        <f>615+0</f>
        <v>615</v>
      </c>
      <c r="E94" s="5">
        <f>53626+0</f>
        <v>53626</v>
      </c>
      <c r="F94" s="5">
        <f>9994.5+0</f>
        <v>9994.5</v>
      </c>
      <c r="G94" s="5">
        <f>10356.7+0</f>
        <v>10356.700000000001</v>
      </c>
      <c r="H94" s="5">
        <f>11029.47+0</f>
        <v>11029.47</v>
      </c>
      <c r="I94" s="5">
        <f>4911.33+0</f>
        <v>4911.33</v>
      </c>
      <c r="J94" s="5">
        <f>35967.2+0</f>
        <v>35967.199999999997</v>
      </c>
      <c r="K94" s="5">
        <f>-10369.2+0</f>
        <v>-10369.200000000001</v>
      </c>
      <c r="L94" s="5">
        <f>58278+0</f>
        <v>58278</v>
      </c>
      <c r="M94" s="5">
        <f>-44927+0</f>
        <v>-44927</v>
      </c>
      <c r="O94" s="5">
        <f t="shared" si="12"/>
        <v>171421.39999999997</v>
      </c>
    </row>
    <row r="95" spans="1:15" hidden="1" outlineLevel="2" x14ac:dyDescent="0.25">
      <c r="A95" t="str">
        <f>("61650")&amp;" - "&amp;("On-Site Med.- Med. Supplies")</f>
        <v>61650 - On-Site Med.- Med. Supplies</v>
      </c>
      <c r="B95" s="5">
        <f>942.73+0</f>
        <v>942.73</v>
      </c>
      <c r="C95" s="5">
        <f>594.35+0</f>
        <v>594.35</v>
      </c>
      <c r="D95" s="5">
        <f>1494.24+0</f>
        <v>1494.24</v>
      </c>
      <c r="E95" s="5">
        <f>696.82+0</f>
        <v>696.82</v>
      </c>
      <c r="F95" s="5">
        <f>2775.69+0</f>
        <v>2775.69</v>
      </c>
      <c r="G95" s="5">
        <f>4756.48+0</f>
        <v>4756.4799999999996</v>
      </c>
      <c r="H95" s="5">
        <f>3276.24+0</f>
        <v>3276.24</v>
      </c>
      <c r="I95" s="5">
        <f>2627.33+0</f>
        <v>2627.33</v>
      </c>
      <c r="J95" s="5">
        <f>5014.82+0</f>
        <v>5014.82</v>
      </c>
      <c r="K95" s="5">
        <f>5848.68+0</f>
        <v>5848.68</v>
      </c>
      <c r="L95" s="5">
        <f>3283.73+0</f>
        <v>3283.73</v>
      </c>
      <c r="M95" s="5">
        <f>8848.06+0</f>
        <v>8848.06</v>
      </c>
      <c r="O95" s="5">
        <f t="shared" si="12"/>
        <v>40159.17</v>
      </c>
    </row>
    <row r="96" spans="1:15" hidden="1" outlineLevel="2" x14ac:dyDescent="0.25">
      <c r="A96" t="str">
        <f>("61700")&amp;" - "&amp;("On-Site Med.- Dental Supplies")</f>
        <v>61700 - On-Site Med.- Dental Supplies</v>
      </c>
      <c r="B96" s="5">
        <f>661.09+0</f>
        <v>661.09</v>
      </c>
      <c r="C96" s="5">
        <f>345.91+0</f>
        <v>345.91</v>
      </c>
      <c r="D96" s="5">
        <f>880.86+0</f>
        <v>880.86</v>
      </c>
      <c r="E96" s="5">
        <f>316.56+0</f>
        <v>316.56</v>
      </c>
      <c r="F96" s="5">
        <f>-26.85+0</f>
        <v>-26.85</v>
      </c>
      <c r="G96" s="5">
        <f>42.82+0</f>
        <v>42.82</v>
      </c>
      <c r="H96" s="5">
        <f>7392.4+0</f>
        <v>7392.4</v>
      </c>
      <c r="I96" s="5">
        <f>-169.55+0</f>
        <v>-169.55</v>
      </c>
      <c r="J96" s="5">
        <f>195.79+0</f>
        <v>195.79</v>
      </c>
      <c r="K96" s="5">
        <f>198.93+0</f>
        <v>198.93</v>
      </c>
      <c r="L96" s="5">
        <f>496.34+0</f>
        <v>496.34</v>
      </c>
      <c r="M96" s="5">
        <f>463.51+0</f>
        <v>463.51</v>
      </c>
      <c r="O96" s="5">
        <f t="shared" si="12"/>
        <v>10797.810000000003</v>
      </c>
    </row>
    <row r="97" spans="1:15" hidden="1" outlineLevel="2" x14ac:dyDescent="0.25">
      <c r="A97" t="str">
        <f>("61750")&amp;" - "&amp;("On-Site Med.- Bio Hazard")</f>
        <v>61750 - On-Site Med.- Bio Hazard</v>
      </c>
      <c r="B97" s="5">
        <f>377.22+0</f>
        <v>377.22</v>
      </c>
      <c r="C97" s="5">
        <f>371.02+0</f>
        <v>371.02</v>
      </c>
      <c r="D97" s="5">
        <f>370.98+0</f>
        <v>370.98</v>
      </c>
      <c r="E97" s="5">
        <f>359.63+0</f>
        <v>359.63</v>
      </c>
      <c r="F97" s="5">
        <f>-280.84+0</f>
        <v>-280.83999999999997</v>
      </c>
      <c r="G97" s="5">
        <f>1047.8+0</f>
        <v>1047.8</v>
      </c>
      <c r="H97" s="5">
        <f>375.43+0</f>
        <v>375.43</v>
      </c>
      <c r="I97" s="5">
        <f>-0.6+0</f>
        <v>-0.6</v>
      </c>
      <c r="J97" s="5">
        <f>789.65+0</f>
        <v>789.65</v>
      </c>
      <c r="K97" s="5">
        <f>365.04+0</f>
        <v>365.04</v>
      </c>
      <c r="L97" s="5">
        <f>356.02+0</f>
        <v>356.02</v>
      </c>
      <c r="M97" s="5">
        <f>372.25+0</f>
        <v>372.25</v>
      </c>
      <c r="O97" s="5">
        <f t="shared" si="12"/>
        <v>4503.6000000000004</v>
      </c>
    </row>
    <row r="98" spans="1:15" hidden="1" outlineLevel="2" x14ac:dyDescent="0.25">
      <c r="A98" t="str">
        <f>("61800")&amp;" - "&amp;("On-Site Med.- Other")</f>
        <v>61800 - On-Site Med.- Other</v>
      </c>
      <c r="B98" s="5">
        <f>733.93+0</f>
        <v>733.93</v>
      </c>
      <c r="C98" s="5">
        <f>459.62+0</f>
        <v>459.62</v>
      </c>
      <c r="D98" s="5">
        <f>484.26+0</f>
        <v>484.26</v>
      </c>
      <c r="E98" s="5">
        <f>425.68+0</f>
        <v>425.68</v>
      </c>
      <c r="F98" s="5">
        <f>-448.17+0</f>
        <v>-448.17</v>
      </c>
      <c r="G98" s="5">
        <f>687.34+0</f>
        <v>687.34</v>
      </c>
      <c r="H98" s="5">
        <f>699.33+0</f>
        <v>699.33</v>
      </c>
      <c r="I98" s="5">
        <f>675.73+0</f>
        <v>675.73</v>
      </c>
      <c r="J98" s="5">
        <f>930.46+0</f>
        <v>930.46</v>
      </c>
      <c r="K98" s="5">
        <f>-519.53+0</f>
        <v>-519.53</v>
      </c>
      <c r="L98" s="5">
        <f>1084.75+0</f>
        <v>1084.75</v>
      </c>
      <c r="M98" s="5">
        <f>1100.03+0</f>
        <v>1100.03</v>
      </c>
      <c r="O98" s="5">
        <f t="shared" si="12"/>
        <v>6313.43</v>
      </c>
    </row>
    <row r="99" spans="1:15" s="3" customFormat="1" hidden="1" outlineLevel="1" x14ac:dyDescent="0.25">
      <c r="A99" s="1" t="s">
        <v>9</v>
      </c>
      <c r="B99" s="9">
        <f>SUM(OSRRefB13_2_0x_0)</f>
        <v>31440.940000000002</v>
      </c>
      <c r="C99" s="9">
        <f>SUM(OSRRefB13_2_0x_1)</f>
        <v>24692.69</v>
      </c>
      <c r="D99" s="9">
        <f>SUM(OSRRefB13_2_0x_2)</f>
        <v>7970.6399999999994</v>
      </c>
      <c r="E99" s="9">
        <f>SUM(OSRRefB13_2_0x_3)</f>
        <v>61548.659999999996</v>
      </c>
      <c r="F99" s="9">
        <f>SUM(OSRRefB13_2_0x_4)</f>
        <v>16062.359999999999</v>
      </c>
      <c r="G99" s="9">
        <f>SUM(OSRRefB13_2_0x_5)</f>
        <v>20342.259999999998</v>
      </c>
      <c r="H99" s="9">
        <f>SUM(OSRRefB13_2_0x_6)</f>
        <v>27217.260000000002</v>
      </c>
      <c r="I99" s="9">
        <f>SUM(OSRRefB13_2_0x_7)</f>
        <v>12201.16</v>
      </c>
      <c r="J99" s="9">
        <f>SUM(OSRRefB13_2_0x_8)</f>
        <v>46798.71</v>
      </c>
      <c r="K99" s="9">
        <f>SUM(OSRRefB13_2_0x_9)</f>
        <v>-761.78000000000111</v>
      </c>
      <c r="L99" s="9">
        <f>SUM(OSRRefB13_2_0x_10)</f>
        <v>68083.67</v>
      </c>
      <c r="M99" s="9">
        <f>SUM(OSRRefB13_2_0x_11)</f>
        <v>-28688.370000000006</v>
      </c>
      <c r="N99" s="10"/>
      <c r="O99" s="9">
        <f t="shared" si="12"/>
        <v>286908.2</v>
      </c>
    </row>
    <row r="100" spans="1:15" s="1" customFormat="1" collapsed="1" x14ac:dyDescent="0.25">
      <c r="A100" s="1" t="str">
        <f>"Total "&amp;TRIM(MID("2H.Other On-Site",4,125))</f>
        <v>Total Other On-Site</v>
      </c>
      <c r="B100" s="11">
        <f>SUM(OSRRefB14_2x_0)</f>
        <v>31440.940000000002</v>
      </c>
      <c r="C100" s="11">
        <f>SUM(OSRRefB14_2x_1)</f>
        <v>24692.69</v>
      </c>
      <c r="D100" s="11">
        <f>SUM(OSRRefB14_2x_2)</f>
        <v>7970.6399999999994</v>
      </c>
      <c r="E100" s="11">
        <f>SUM(OSRRefB14_2x_3)</f>
        <v>61548.659999999996</v>
      </c>
      <c r="F100" s="11">
        <f>SUM(OSRRefB14_2x_4)</f>
        <v>16062.359999999999</v>
      </c>
      <c r="G100" s="11">
        <f>SUM(OSRRefB14_2x_5)</f>
        <v>20342.259999999998</v>
      </c>
      <c r="H100" s="11">
        <f>SUM(OSRRefB14_2x_6)</f>
        <v>27217.260000000002</v>
      </c>
      <c r="I100" s="11">
        <f>SUM(OSRRefB14_2x_7)</f>
        <v>12201.16</v>
      </c>
      <c r="J100" s="11">
        <f>SUM(OSRRefB14_2x_8)</f>
        <v>46798.71</v>
      </c>
      <c r="K100" s="11">
        <f>SUM(OSRRefB14_2x_9)</f>
        <v>-761.78000000000111</v>
      </c>
      <c r="L100" s="11">
        <f>SUM(OSRRefB14_2x_10)</f>
        <v>68083.67</v>
      </c>
      <c r="M100" s="11">
        <f>SUM(OSRRefB14_2x_11)</f>
        <v>-28688.370000000006</v>
      </c>
      <c r="N100" s="12"/>
      <c r="O100" s="11">
        <f t="shared" si="12"/>
        <v>286908.2</v>
      </c>
    </row>
    <row r="102" spans="1:15" hidden="1" outlineLevel="1" x14ac:dyDescent="0.25">
      <c r="A102" s="1" t="str">
        <f>TRIM(MID("2J.Off-Site Services",4,125))</f>
        <v>Off-Site Services</v>
      </c>
    </row>
    <row r="103" spans="1:15" hidden="1" outlineLevel="2" x14ac:dyDescent="0.25">
      <c r="A103" t="str">
        <f>("68000")&amp;" - "&amp;("Offsite- Inpatient Hospitaliza")</f>
        <v>68000 - Offsite- Inpatient Hospitaliza</v>
      </c>
      <c r="B103" s="5">
        <f>-6969.23+0</f>
        <v>-6969.23</v>
      </c>
      <c r="C103" s="5">
        <f>28263.56+0</f>
        <v>28263.56</v>
      </c>
      <c r="D103" s="5">
        <f>35602.32+0</f>
        <v>35602.32</v>
      </c>
      <c r="E103" s="5">
        <f>12809.85+0</f>
        <v>12809.85</v>
      </c>
      <c r="F103" s="5">
        <f>197207.32+0</f>
        <v>197207.32</v>
      </c>
      <c r="G103" s="5">
        <f>35607.59+0</f>
        <v>35607.589999999997</v>
      </c>
      <c r="H103" s="5">
        <f>22780.91+0</f>
        <v>22780.91</v>
      </c>
      <c r="I103" s="5">
        <f>14036.26+0</f>
        <v>14036.26</v>
      </c>
      <c r="J103" s="5">
        <f>15072.58+0</f>
        <v>15072.58</v>
      </c>
      <c r="K103" s="5">
        <f>10596.88+0</f>
        <v>10596.88</v>
      </c>
      <c r="L103" s="5">
        <f>273.81+0</f>
        <v>273.81</v>
      </c>
      <c r="M103" s="5">
        <f>45177.78+0</f>
        <v>45177.78</v>
      </c>
      <c r="O103" s="5">
        <f t="shared" ref="O103:O115" si="13">SUM(B103:N103)</f>
        <v>410459.63</v>
      </c>
    </row>
    <row r="104" spans="1:15" hidden="1" outlineLevel="2" x14ac:dyDescent="0.25">
      <c r="A104" t="str">
        <f>("68025")&amp;" - "&amp;("Offsite- Observation")</f>
        <v>68025 - Offsite- Observation</v>
      </c>
      <c r="B104" s="5">
        <f>0+0</f>
        <v>0</v>
      </c>
      <c r="C104" s="5">
        <f>0+0</f>
        <v>0</v>
      </c>
      <c r="D104" s="5">
        <f>5303.89+0</f>
        <v>5303.89</v>
      </c>
      <c r="E104" s="5">
        <f>44.37+0</f>
        <v>44.37</v>
      </c>
      <c r="F104" s="5">
        <f>6142.48+0</f>
        <v>6142.48</v>
      </c>
      <c r="G104" s="5">
        <f>2562.18+0</f>
        <v>2562.1799999999998</v>
      </c>
      <c r="H104" s="5">
        <f>209.2+0</f>
        <v>209.2</v>
      </c>
      <c r="I104" s="5">
        <f>0+0</f>
        <v>0</v>
      </c>
      <c r="J104" s="5">
        <f>0+0</f>
        <v>0</v>
      </c>
      <c r="K104" s="5">
        <f>0+0</f>
        <v>0</v>
      </c>
      <c r="L104" s="5">
        <f>0+0</f>
        <v>0</v>
      </c>
      <c r="M104" s="5">
        <f>0+0</f>
        <v>0</v>
      </c>
      <c r="O104" s="5">
        <f t="shared" si="13"/>
        <v>14262.12</v>
      </c>
    </row>
    <row r="105" spans="1:15" hidden="1" outlineLevel="2" x14ac:dyDescent="0.25">
      <c r="A105" t="str">
        <f>("68075")&amp;" - "&amp;("Offsite- Office Visit")</f>
        <v>68075 - Offsite- Office Visit</v>
      </c>
      <c r="B105" s="5">
        <f>2004.64+0</f>
        <v>2004.64</v>
      </c>
      <c r="C105" s="5">
        <f>680.14+0</f>
        <v>680.14</v>
      </c>
      <c r="D105" s="5">
        <f>661.6+0</f>
        <v>661.6</v>
      </c>
      <c r="E105" s="5">
        <f>390.16+0</f>
        <v>390.16</v>
      </c>
      <c r="F105" s="5">
        <f>488.17+0</f>
        <v>488.17</v>
      </c>
      <c r="G105" s="5">
        <f>984.36+0</f>
        <v>984.36</v>
      </c>
      <c r="H105" s="5">
        <f>533.31+0</f>
        <v>533.30999999999995</v>
      </c>
      <c r="I105" s="5">
        <f>1324.33+0</f>
        <v>1324.33</v>
      </c>
      <c r="J105" s="5">
        <f>661.07+0</f>
        <v>661.07</v>
      </c>
      <c r="K105" s="5">
        <f>127.24+0</f>
        <v>127.24</v>
      </c>
      <c r="L105" s="5">
        <f>317.29+0</f>
        <v>317.29000000000002</v>
      </c>
      <c r="M105" s="5">
        <f>178.06+0</f>
        <v>178.06</v>
      </c>
      <c r="O105" s="5">
        <f t="shared" si="13"/>
        <v>8350.369999999999</v>
      </c>
    </row>
    <row r="106" spans="1:15" hidden="1" outlineLevel="2" x14ac:dyDescent="0.25">
      <c r="A106" t="str">
        <f>("68100")&amp;" - "&amp;("Offsite- Visit W/Procedure")</f>
        <v>68100 - Offsite- Visit W/Procedure</v>
      </c>
      <c r="B106" s="5">
        <f>170+0</f>
        <v>170</v>
      </c>
      <c r="C106" s="5">
        <f>122.89+0</f>
        <v>122.89</v>
      </c>
      <c r="D106" s="5">
        <f>1816.65+0</f>
        <v>1816.65</v>
      </c>
      <c r="E106" s="5">
        <f>17.64+0</f>
        <v>17.64</v>
      </c>
      <c r="F106" s="5">
        <f>0+0</f>
        <v>0</v>
      </c>
      <c r="G106" s="5">
        <f>0+0</f>
        <v>0</v>
      </c>
      <c r="H106" s="5">
        <f>163.18+0</f>
        <v>163.18</v>
      </c>
      <c r="I106" s="5">
        <f>0+0</f>
        <v>0</v>
      </c>
      <c r="J106" s="5">
        <f>0+0</f>
        <v>0</v>
      </c>
      <c r="K106" s="5">
        <f>0+0</f>
        <v>0</v>
      </c>
      <c r="L106" s="5">
        <f>2128.5+0</f>
        <v>2128.5</v>
      </c>
      <c r="M106" s="5">
        <f>0+0</f>
        <v>0</v>
      </c>
      <c r="O106" s="5">
        <f t="shared" si="13"/>
        <v>4418.8599999999997</v>
      </c>
    </row>
    <row r="107" spans="1:15" hidden="1" outlineLevel="2" x14ac:dyDescent="0.25">
      <c r="A107" t="str">
        <f>("68200")&amp;" - "&amp;("Offsite- Ambulance")</f>
        <v>68200 - Offsite- Ambulance</v>
      </c>
      <c r="B107" s="5">
        <f>0+0</f>
        <v>0</v>
      </c>
      <c r="C107" s="5">
        <f>0+0</f>
        <v>0</v>
      </c>
      <c r="D107" s="5">
        <f>0+0</f>
        <v>0</v>
      </c>
      <c r="E107" s="5">
        <f>0+0</f>
        <v>0</v>
      </c>
      <c r="F107" s="5">
        <f>622.07+0</f>
        <v>622.07000000000005</v>
      </c>
      <c r="G107" s="5">
        <f>0+0</f>
        <v>0</v>
      </c>
      <c r="H107" s="5">
        <f>0+0</f>
        <v>0</v>
      </c>
      <c r="I107" s="5">
        <f>0+0</f>
        <v>0</v>
      </c>
      <c r="J107" s="5">
        <f>1884.8+0</f>
        <v>1884.8</v>
      </c>
      <c r="K107" s="5">
        <f>401.58+0</f>
        <v>401.58</v>
      </c>
      <c r="L107" s="5">
        <f>6.92+0</f>
        <v>6.92</v>
      </c>
      <c r="M107" s="5">
        <f>0+0</f>
        <v>0</v>
      </c>
      <c r="O107" s="5">
        <f t="shared" si="13"/>
        <v>2915.37</v>
      </c>
    </row>
    <row r="108" spans="1:15" hidden="1" outlineLevel="2" x14ac:dyDescent="0.25">
      <c r="A108" t="str">
        <f>("68250")&amp;" - "&amp;("Offsite- Emergency Room")</f>
        <v>68250 - Offsite- Emergency Room</v>
      </c>
      <c r="B108" s="5">
        <f>5081.67+0</f>
        <v>5081.67</v>
      </c>
      <c r="C108" s="5">
        <f>17394.51+0</f>
        <v>17394.509999999998</v>
      </c>
      <c r="D108" s="5">
        <f>18978.8+0</f>
        <v>18978.8</v>
      </c>
      <c r="E108" s="5">
        <f>5711.18+0</f>
        <v>5711.18</v>
      </c>
      <c r="F108" s="5">
        <f>8700.11+0</f>
        <v>8700.11</v>
      </c>
      <c r="G108" s="5">
        <f>12526.06+0</f>
        <v>12526.06</v>
      </c>
      <c r="H108" s="5">
        <f>232573.27+0</f>
        <v>232573.27</v>
      </c>
      <c r="I108" s="5">
        <f>5998.56+0</f>
        <v>5998.56</v>
      </c>
      <c r="J108" s="5">
        <f>11298.91+0</f>
        <v>11298.91</v>
      </c>
      <c r="K108" s="5">
        <f>18803.47+0</f>
        <v>18803.47</v>
      </c>
      <c r="L108" s="5">
        <f>5039.54+0</f>
        <v>5039.54</v>
      </c>
      <c r="M108" s="5">
        <f>13902.73+0</f>
        <v>13902.73</v>
      </c>
      <c r="O108" s="5">
        <f t="shared" si="13"/>
        <v>356008.80999999988</v>
      </c>
    </row>
    <row r="109" spans="1:15" hidden="1" outlineLevel="2" x14ac:dyDescent="0.25">
      <c r="A109" t="str">
        <f>("68300")&amp;" - "&amp;("Offsite- 1 day Surgery")</f>
        <v>68300 - Offsite- 1 day Surgery</v>
      </c>
      <c r="B109" s="5">
        <f>13763.09+0</f>
        <v>13763.09</v>
      </c>
      <c r="C109" s="5">
        <f>0+0</f>
        <v>0</v>
      </c>
      <c r="D109" s="5">
        <f>1247.41+0</f>
        <v>1247.4100000000001</v>
      </c>
      <c r="E109" s="5">
        <f>0+0</f>
        <v>0</v>
      </c>
      <c r="F109" s="5">
        <f>0+0</f>
        <v>0</v>
      </c>
      <c r="G109" s="5">
        <f>3553.53+0</f>
        <v>3553.53</v>
      </c>
      <c r="H109" s="5">
        <f>0+0</f>
        <v>0</v>
      </c>
      <c r="I109" s="5">
        <f>9889.44+0</f>
        <v>9889.44</v>
      </c>
      <c r="J109" s="5">
        <f>16941.8+0</f>
        <v>16941.8</v>
      </c>
      <c r="K109" s="5">
        <f>7126.96+0</f>
        <v>7126.96</v>
      </c>
      <c r="L109" s="5">
        <f>7581.15+0</f>
        <v>7581.15</v>
      </c>
      <c r="M109" s="5">
        <f>458.47+0</f>
        <v>458.47</v>
      </c>
      <c r="O109" s="5">
        <f t="shared" si="13"/>
        <v>60561.850000000006</v>
      </c>
    </row>
    <row r="110" spans="1:15" hidden="1" outlineLevel="2" x14ac:dyDescent="0.25">
      <c r="A110" t="str">
        <f>("68350")&amp;" - "&amp;("Offsite- Radiology")</f>
        <v>68350 - Offsite- Radiology</v>
      </c>
      <c r="B110" s="5">
        <f>707.7+0</f>
        <v>707.7</v>
      </c>
      <c r="C110" s="5">
        <f>0+0</f>
        <v>0</v>
      </c>
      <c r="D110" s="5">
        <f>0+0</f>
        <v>0</v>
      </c>
      <c r="E110" s="5">
        <f>0+0</f>
        <v>0</v>
      </c>
      <c r="F110" s="5">
        <f>1484.66+0</f>
        <v>1484.66</v>
      </c>
      <c r="G110" s="5">
        <f>171.61+0</f>
        <v>171.61</v>
      </c>
      <c r="H110" s="5">
        <f>0+0</f>
        <v>0</v>
      </c>
      <c r="I110" s="5">
        <f>0+0</f>
        <v>0</v>
      </c>
      <c r="J110" s="5">
        <f>172.14+0</f>
        <v>172.14</v>
      </c>
      <c r="K110" s="5">
        <f>0+0</f>
        <v>0</v>
      </c>
      <c r="L110" s="5">
        <f>0+0</f>
        <v>0</v>
      </c>
      <c r="M110" s="5">
        <f>48.38+0</f>
        <v>48.38</v>
      </c>
      <c r="O110" s="5">
        <f t="shared" si="13"/>
        <v>2584.4900000000002</v>
      </c>
    </row>
    <row r="111" spans="1:15" hidden="1" outlineLevel="2" x14ac:dyDescent="0.25">
      <c r="A111" t="str">
        <f>("68475")&amp;" - "&amp;("Offsite- TPA Fees")</f>
        <v>68475 - Offsite- TPA Fees</v>
      </c>
      <c r="B111" s="5">
        <f>1617.58+0</f>
        <v>1617.58</v>
      </c>
      <c r="C111" s="5">
        <f>1391.87+0</f>
        <v>1391.87</v>
      </c>
      <c r="D111" s="5">
        <f>924.2+0</f>
        <v>924.2</v>
      </c>
      <c r="E111" s="5">
        <f>1950.43+0</f>
        <v>1950.43</v>
      </c>
      <c r="F111" s="5">
        <f>1151+0</f>
        <v>1151</v>
      </c>
      <c r="G111" s="5">
        <f>2019.67+0</f>
        <v>2019.67</v>
      </c>
      <c r="H111" s="5">
        <f>1455.5+0</f>
        <v>1455.5</v>
      </c>
      <c r="I111" s="5">
        <f>572.4+0</f>
        <v>572.4</v>
      </c>
      <c r="J111" s="5">
        <f>1371.6+0</f>
        <v>1371.6</v>
      </c>
      <c r="K111" s="5">
        <f>1058.4+0</f>
        <v>1058.4000000000001</v>
      </c>
      <c r="L111" s="5">
        <f>1058.4+0</f>
        <v>1058.4000000000001</v>
      </c>
      <c r="M111" s="5">
        <f>604.8+0</f>
        <v>604.79999999999995</v>
      </c>
      <c r="O111" s="5">
        <f t="shared" si="13"/>
        <v>15175.849999999999</v>
      </c>
    </row>
    <row r="112" spans="1:15" hidden="1" outlineLevel="2" x14ac:dyDescent="0.25">
      <c r="A112" t="str">
        <f>("68476")&amp;" - "&amp;("HCS TPA Fee Benefit")</f>
        <v>68476 - HCS TPA Fee Benefit</v>
      </c>
      <c r="B112" s="5">
        <f>-339.62+0</f>
        <v>-339.62</v>
      </c>
      <c r="C112" s="5">
        <f>-334.6+0</f>
        <v>-334.6</v>
      </c>
      <c r="D112" s="5">
        <f>-339.72+0</f>
        <v>-339.72</v>
      </c>
      <c r="E112" s="5">
        <f>-472.17+0</f>
        <v>-472.17</v>
      </c>
      <c r="F112" s="5">
        <f>-369.33+0</f>
        <v>-369.33</v>
      </c>
      <c r="G112" s="5">
        <f>-420.23+0</f>
        <v>-420.23</v>
      </c>
      <c r="H112" s="5">
        <f t="shared" ref="H112:M112" si="14">0+0</f>
        <v>0</v>
      </c>
      <c r="I112" s="5">
        <f t="shared" si="14"/>
        <v>0</v>
      </c>
      <c r="J112" s="5">
        <f t="shared" si="14"/>
        <v>0</v>
      </c>
      <c r="K112" s="5">
        <f t="shared" si="14"/>
        <v>0</v>
      </c>
      <c r="L112" s="5">
        <f t="shared" si="14"/>
        <v>0</v>
      </c>
      <c r="M112" s="5">
        <f t="shared" si="14"/>
        <v>0</v>
      </c>
      <c r="O112" s="5">
        <f t="shared" si="13"/>
        <v>-2275.67</v>
      </c>
    </row>
    <row r="113" spans="1:15" hidden="1" outlineLevel="2" x14ac:dyDescent="0.25">
      <c r="A113" t="str">
        <f>("68600")&amp;" - "&amp;("Off-Site: Reserve Adjustment")</f>
        <v>68600 - Off-Site: Reserve Adjustment</v>
      </c>
      <c r="B113" s="5">
        <f>-9925.43+0</f>
        <v>-9925.43</v>
      </c>
      <c r="C113" s="5">
        <f>17474.04+0</f>
        <v>17474.04</v>
      </c>
      <c r="D113" s="5">
        <f>2672.39+0</f>
        <v>2672.39</v>
      </c>
      <c r="E113" s="5">
        <f>5637.52+0</f>
        <v>5637.52</v>
      </c>
      <c r="F113" s="5">
        <f>-19849.53+0</f>
        <v>-19849.53</v>
      </c>
      <c r="G113" s="5">
        <f>4803.11+0</f>
        <v>4803.1099999999997</v>
      </c>
      <c r="H113" s="5">
        <f>19925.82+0</f>
        <v>19925.82</v>
      </c>
      <c r="I113" s="5">
        <f>-1185.97+0</f>
        <v>-1185.97</v>
      </c>
      <c r="J113" s="5">
        <f>-13319.44+0</f>
        <v>-13319.44</v>
      </c>
      <c r="K113" s="5">
        <f>9622.08+0</f>
        <v>9622.08</v>
      </c>
      <c r="L113" s="5">
        <f>14818.67+0</f>
        <v>14818.67</v>
      </c>
      <c r="M113" s="5">
        <f>6788.7+0</f>
        <v>6788.7</v>
      </c>
      <c r="O113" s="5">
        <f t="shared" si="13"/>
        <v>37461.96</v>
      </c>
    </row>
    <row r="114" spans="1:15" s="3" customFormat="1" hidden="1" outlineLevel="1" x14ac:dyDescent="0.25">
      <c r="A114" s="1" t="s">
        <v>8</v>
      </c>
      <c r="B114" s="9">
        <f>SUM(OSRRefB13_3_0x_0)</f>
        <v>6110.4000000000015</v>
      </c>
      <c r="C114" s="9">
        <f>SUM(OSRRefB13_3_0x_1)</f>
        <v>64992.41</v>
      </c>
      <c r="D114" s="9">
        <f>SUM(OSRRefB13_3_0x_2)</f>
        <v>66867.539999999994</v>
      </c>
      <c r="E114" s="9">
        <f>SUM(OSRRefB13_3_0x_3)</f>
        <v>26088.980000000003</v>
      </c>
      <c r="F114" s="9">
        <f>SUM(OSRRefB13_3_0x_4)</f>
        <v>195576.95000000004</v>
      </c>
      <c r="G114" s="9">
        <f>SUM(OSRRefB13_3_0x_5)</f>
        <v>61807.87999999999</v>
      </c>
      <c r="H114" s="9">
        <f>SUM(OSRRefB13_3_0x_6)</f>
        <v>277641.19</v>
      </c>
      <c r="I114" s="9">
        <f>SUM(OSRRefB13_3_0x_7)</f>
        <v>30635.020000000004</v>
      </c>
      <c r="J114" s="9">
        <f>SUM(OSRRefB13_3_0x_8)</f>
        <v>34083.46</v>
      </c>
      <c r="K114" s="9">
        <f>SUM(OSRRefB13_3_0x_9)</f>
        <v>47736.61</v>
      </c>
      <c r="L114" s="9">
        <f>SUM(OSRRefB13_3_0x_10)</f>
        <v>31224.28</v>
      </c>
      <c r="M114" s="9">
        <f>SUM(OSRRefB13_3_0x_11)</f>
        <v>67158.92</v>
      </c>
      <c r="N114" s="10"/>
      <c r="O114" s="9">
        <f t="shared" si="13"/>
        <v>909923.64000000013</v>
      </c>
    </row>
    <row r="115" spans="1:15" s="1" customFormat="1" collapsed="1" x14ac:dyDescent="0.25">
      <c r="A115" s="1" t="str">
        <f>"Total "&amp;TRIM(MID("2J.Off-Site Services",4,125))</f>
        <v>Total Off-Site Services</v>
      </c>
      <c r="B115" s="11">
        <f>SUM(OSRRefB14_3x_0)</f>
        <v>6110.4000000000015</v>
      </c>
      <c r="C115" s="11">
        <f>SUM(OSRRefB14_3x_1)</f>
        <v>64992.41</v>
      </c>
      <c r="D115" s="11">
        <f>SUM(OSRRefB14_3x_2)</f>
        <v>66867.539999999994</v>
      </c>
      <c r="E115" s="11">
        <f>SUM(OSRRefB14_3x_3)</f>
        <v>26088.980000000003</v>
      </c>
      <c r="F115" s="11">
        <f>SUM(OSRRefB14_3x_4)</f>
        <v>195576.95000000004</v>
      </c>
      <c r="G115" s="11">
        <f>SUM(OSRRefB14_3x_5)</f>
        <v>61807.87999999999</v>
      </c>
      <c r="H115" s="11">
        <f>SUM(OSRRefB14_3x_6)</f>
        <v>277641.19</v>
      </c>
      <c r="I115" s="11">
        <f>SUM(OSRRefB14_3x_7)</f>
        <v>30635.020000000004</v>
      </c>
      <c r="J115" s="11">
        <f>SUM(OSRRefB14_3x_8)</f>
        <v>34083.46</v>
      </c>
      <c r="K115" s="11">
        <f>SUM(OSRRefB14_3x_9)</f>
        <v>47736.61</v>
      </c>
      <c r="L115" s="11">
        <f>SUM(OSRRefB14_3x_10)</f>
        <v>31224.28</v>
      </c>
      <c r="M115" s="11">
        <f>SUM(OSRRefB14_3x_11)</f>
        <v>67158.92</v>
      </c>
      <c r="N115" s="12"/>
      <c r="O115" s="11">
        <f t="shared" si="13"/>
        <v>909923.64000000013</v>
      </c>
    </row>
    <row r="117" spans="1:15" s="1" customFormat="1" hidden="1" outlineLevel="1" x14ac:dyDescent="0.25">
      <c r="A117" s="1" t="s">
        <v>7</v>
      </c>
      <c r="B117" s="7">
        <f>SUM(OSRRefB15x_0)</f>
        <v>94486.360000000015</v>
      </c>
      <c r="C117" s="7">
        <f>SUM(OSRRefB15x_1)</f>
        <v>121427.74</v>
      </c>
      <c r="D117" s="7">
        <f>SUM(OSRRefB15x_2)</f>
        <v>132305.44999999998</v>
      </c>
      <c r="E117" s="7">
        <f>SUM(OSRRefB15x_3)</f>
        <v>123907.69</v>
      </c>
      <c r="F117" s="7">
        <f>SUM(OSRRefB15x_4)</f>
        <v>264402.39</v>
      </c>
      <c r="G117" s="7">
        <f>SUM(OSRRefB15x_5)</f>
        <v>118717.79999999999</v>
      </c>
      <c r="H117" s="7">
        <f>SUM(OSRRefB15x_6)</f>
        <v>353274.05</v>
      </c>
      <c r="I117" s="7">
        <f>SUM(OSRRefB15x_7)</f>
        <v>120515.96000000002</v>
      </c>
      <c r="J117" s="7">
        <f>SUM(OSRRefB15x_8)</f>
        <v>131474.04999999999</v>
      </c>
      <c r="K117" s="7">
        <f>SUM(OSRRefB15x_9)</f>
        <v>55218.86</v>
      </c>
      <c r="L117" s="7">
        <f>SUM(OSRRefB15x_10)</f>
        <v>154736.16</v>
      </c>
      <c r="M117" s="7">
        <f>SUM(OSRRefB15x_11)</f>
        <v>86516.89</v>
      </c>
      <c r="N117" s="12"/>
      <c r="O117" s="7">
        <f>SUM(B117:N117)</f>
        <v>1756983.4000000001</v>
      </c>
    </row>
    <row r="118" spans="1:15" collapsed="1" x14ac:dyDescent="0.25"/>
    <row r="119" spans="1:15" hidden="1" outlineLevel="1" x14ac:dyDescent="0.25">
      <c r="A119" s="1" t="str">
        <f>TRIM(MID("2L.Other Expenses",4,125))</f>
        <v>Other Expenses</v>
      </c>
    </row>
    <row r="120" spans="1:15" hidden="1" outlineLevel="2" x14ac:dyDescent="0.25">
      <c r="A120" t="str">
        <f>("66000")&amp;" - "&amp;("Admin.- Office Supplies")</f>
        <v>66000 - Admin.- Office Supplies</v>
      </c>
      <c r="B120" s="5">
        <f>943.49+0</f>
        <v>943.49</v>
      </c>
      <c r="C120" s="5">
        <f>308.96+0</f>
        <v>308.95999999999998</v>
      </c>
      <c r="D120" s="5">
        <f>217.41+0</f>
        <v>217.41</v>
      </c>
      <c r="E120" s="5">
        <f>829.2+0</f>
        <v>829.2</v>
      </c>
      <c r="F120" s="5">
        <f>868.54+0</f>
        <v>868.54</v>
      </c>
      <c r="G120" s="5">
        <f>525.92+0</f>
        <v>525.91999999999996</v>
      </c>
      <c r="H120" s="5">
        <f>501.76+0</f>
        <v>501.76</v>
      </c>
      <c r="I120" s="5">
        <f>194.7+0</f>
        <v>194.7</v>
      </c>
      <c r="J120" s="5">
        <f>328.18+0</f>
        <v>328.18</v>
      </c>
      <c r="K120" s="5">
        <f>773.14+0</f>
        <v>773.14</v>
      </c>
      <c r="L120" s="5">
        <f>816.96+0</f>
        <v>816.96</v>
      </c>
      <c r="M120" s="5">
        <f>1.87+0</f>
        <v>1.87</v>
      </c>
      <c r="O120" s="5">
        <f t="shared" ref="O120:O138" si="15">SUM(B120:N120)</f>
        <v>6310.130000000001</v>
      </c>
    </row>
    <row r="121" spans="1:15" hidden="1" outlineLevel="2" x14ac:dyDescent="0.25">
      <c r="A121" t="str">
        <f>("66025")&amp;" - "&amp;("Admin.- Printing &amp; Forms")</f>
        <v>66025 - Admin.- Printing &amp; Forms</v>
      </c>
      <c r="B121" s="5">
        <f t="shared" ref="B121:L121" si="16">0+0</f>
        <v>0</v>
      </c>
      <c r="C121" s="5">
        <f t="shared" si="16"/>
        <v>0</v>
      </c>
      <c r="D121" s="5">
        <f t="shared" si="16"/>
        <v>0</v>
      </c>
      <c r="E121" s="5">
        <f t="shared" si="16"/>
        <v>0</v>
      </c>
      <c r="F121" s="5">
        <f t="shared" si="16"/>
        <v>0</v>
      </c>
      <c r="G121" s="5">
        <f t="shared" si="16"/>
        <v>0</v>
      </c>
      <c r="H121" s="5">
        <f t="shared" si="16"/>
        <v>0</v>
      </c>
      <c r="I121" s="5">
        <f t="shared" si="16"/>
        <v>0</v>
      </c>
      <c r="J121" s="5">
        <f t="shared" si="16"/>
        <v>0</v>
      </c>
      <c r="K121" s="5">
        <f t="shared" si="16"/>
        <v>0</v>
      </c>
      <c r="L121" s="5">
        <f t="shared" si="16"/>
        <v>0</v>
      </c>
      <c r="M121" s="5">
        <f>386.81+0</f>
        <v>386.81</v>
      </c>
      <c r="O121" s="5">
        <f t="shared" si="15"/>
        <v>386.81</v>
      </c>
    </row>
    <row r="122" spans="1:15" hidden="1" outlineLevel="2" x14ac:dyDescent="0.25">
      <c r="A122" t="str">
        <f>("66075")&amp;" - "&amp;("Admin.- Postage")</f>
        <v>66075 - Admin.- Postage</v>
      </c>
      <c r="B122" s="5">
        <f>-217.36+0</f>
        <v>-217.36</v>
      </c>
      <c r="C122" s="5">
        <f>244.53+0</f>
        <v>244.53</v>
      </c>
      <c r="D122" s="5">
        <f>490.42+0</f>
        <v>490.42</v>
      </c>
      <c r="E122" s="5">
        <f>54.34+0</f>
        <v>54.34</v>
      </c>
      <c r="F122" s="5">
        <f>239.36+0</f>
        <v>239.36</v>
      </c>
      <c r="G122" s="5">
        <f>54.34+0</f>
        <v>54.34</v>
      </c>
      <c r="H122" s="5">
        <f>-326.04+0</f>
        <v>-326.04000000000002</v>
      </c>
      <c r="I122" s="5">
        <f>0+0</f>
        <v>0</v>
      </c>
      <c r="J122" s="5">
        <f>108.68+0</f>
        <v>108.68</v>
      </c>
      <c r="K122" s="5">
        <f>-27.17+0</f>
        <v>-27.17</v>
      </c>
      <c r="L122" s="5">
        <f>0+0</f>
        <v>0</v>
      </c>
      <c r="M122" s="5">
        <f>326.04+0</f>
        <v>326.04000000000002</v>
      </c>
      <c r="O122" s="5">
        <f t="shared" si="15"/>
        <v>947.14000000000033</v>
      </c>
    </row>
    <row r="123" spans="1:15" hidden="1" outlineLevel="2" x14ac:dyDescent="0.25">
      <c r="A123" t="str">
        <f>("66125")&amp;" - "&amp;("Admin.- Courier")</f>
        <v>66125 - Admin.- Courier</v>
      </c>
      <c r="B123" s="5">
        <f>284.71+0</f>
        <v>284.70999999999998</v>
      </c>
      <c r="C123" s="5">
        <f>-53.96+0</f>
        <v>-53.96</v>
      </c>
      <c r="D123" s="5">
        <f>228.05+0</f>
        <v>228.05</v>
      </c>
      <c r="E123" s="5">
        <f>359.32+0</f>
        <v>359.32</v>
      </c>
      <c r="F123" s="5">
        <f>1624.39+0</f>
        <v>1624.39</v>
      </c>
      <c r="G123" s="5">
        <f>-44.08+0</f>
        <v>-44.08</v>
      </c>
      <c r="H123" s="5">
        <f>1004.46+0</f>
        <v>1004.46</v>
      </c>
      <c r="I123" s="5">
        <f>-121.07+0</f>
        <v>-121.07</v>
      </c>
      <c r="J123" s="5">
        <f>32.61+0</f>
        <v>32.61</v>
      </c>
      <c r="K123" s="5">
        <f>-5.26+0</f>
        <v>-5.26</v>
      </c>
      <c r="L123" s="5">
        <f>301.98+0</f>
        <v>301.98</v>
      </c>
      <c r="M123" s="5">
        <f>265.78+0</f>
        <v>265.77999999999997</v>
      </c>
      <c r="O123" s="5">
        <f t="shared" si="15"/>
        <v>3876.9300000000003</v>
      </c>
    </row>
    <row r="124" spans="1:15" hidden="1" outlineLevel="2" x14ac:dyDescent="0.25">
      <c r="A124" t="str">
        <f>("66225")&amp;" - "&amp;("Admin.- Consulting")</f>
        <v>66225 - Admin.- Consulting</v>
      </c>
      <c r="B124" s="5">
        <f>0+0</f>
        <v>0</v>
      </c>
      <c r="C124" s="5">
        <f>0+0</f>
        <v>0</v>
      </c>
      <c r="D124" s="5">
        <f>60+0</f>
        <v>60</v>
      </c>
      <c r="E124" s="5">
        <f>-7.2+0</f>
        <v>-7.2</v>
      </c>
      <c r="F124" s="5">
        <f>-52.8+0</f>
        <v>-52.8</v>
      </c>
      <c r="G124" s="5">
        <f>200+0</f>
        <v>200</v>
      </c>
      <c r="H124" s="5">
        <f>53.11+0</f>
        <v>53.11</v>
      </c>
      <c r="I124" s="5">
        <f>86+0</f>
        <v>86</v>
      </c>
      <c r="J124" s="5">
        <f>-9.92+0</f>
        <v>-9.92</v>
      </c>
      <c r="K124" s="5">
        <f>42.26+0</f>
        <v>42.26</v>
      </c>
      <c r="L124" s="5">
        <f>-171.45+0</f>
        <v>-171.45</v>
      </c>
      <c r="M124" s="5">
        <f>0+0</f>
        <v>0</v>
      </c>
      <c r="O124" s="5">
        <f t="shared" si="15"/>
        <v>200</v>
      </c>
    </row>
    <row r="125" spans="1:15" hidden="1" outlineLevel="2" x14ac:dyDescent="0.25">
      <c r="A125" t="str">
        <f>("66300")&amp;" - "&amp;("Admin.- Licenses &amp; Taxes")</f>
        <v>66300 - Admin.- Licenses &amp; Taxes</v>
      </c>
      <c r="B125" s="5">
        <f>19.3+0</f>
        <v>19.3</v>
      </c>
      <c r="C125" s="5">
        <f>49.07+0</f>
        <v>49.07</v>
      </c>
      <c r="D125" s="5">
        <f>0+0</f>
        <v>0</v>
      </c>
      <c r="E125" s="5">
        <f>54.62+0</f>
        <v>54.62</v>
      </c>
      <c r="F125" s="5">
        <f>191.3+0</f>
        <v>191.3</v>
      </c>
      <c r="G125" s="5">
        <f>66.71+0</f>
        <v>66.709999999999994</v>
      </c>
      <c r="H125" s="5">
        <f>73.48+0</f>
        <v>73.48</v>
      </c>
      <c r="I125" s="5">
        <f>53.55+0</f>
        <v>53.55</v>
      </c>
      <c r="J125" s="5">
        <f>37.1+0</f>
        <v>37.1</v>
      </c>
      <c r="K125" s="5">
        <f>58.82+0</f>
        <v>58.82</v>
      </c>
      <c r="L125" s="5">
        <f>52.25+0</f>
        <v>52.25</v>
      </c>
      <c r="M125" s="5">
        <f>58.68+0</f>
        <v>58.68</v>
      </c>
      <c r="O125" s="5">
        <f t="shared" si="15"/>
        <v>714.88</v>
      </c>
    </row>
    <row r="126" spans="1:15" s="3" customFormat="1" hidden="1" outlineLevel="1" x14ac:dyDescent="0.25">
      <c r="A126" s="1" t="s">
        <v>6</v>
      </c>
      <c r="B126" s="9">
        <f>SUM(OSRRefB20_0_0x_0)</f>
        <v>1030.1399999999999</v>
      </c>
      <c r="C126" s="9">
        <f>SUM(OSRRefB20_0_0x_1)</f>
        <v>548.6</v>
      </c>
      <c r="D126" s="9">
        <f>SUM(OSRRefB20_0_0x_2)</f>
        <v>995.88000000000011</v>
      </c>
      <c r="E126" s="9">
        <f>SUM(OSRRefB20_0_0x_3)</f>
        <v>1290.28</v>
      </c>
      <c r="F126" s="9">
        <f>SUM(OSRRefB20_0_0x_4)</f>
        <v>2870.79</v>
      </c>
      <c r="G126" s="9">
        <f>SUM(OSRRefB20_0_0x_5)</f>
        <v>802.89</v>
      </c>
      <c r="H126" s="9">
        <f>SUM(OSRRefB20_0_0x_6)</f>
        <v>1306.77</v>
      </c>
      <c r="I126" s="9">
        <f>SUM(OSRRefB20_0_0x_7)</f>
        <v>213.18</v>
      </c>
      <c r="J126" s="9">
        <f>SUM(OSRRefB20_0_0x_8)</f>
        <v>496.65000000000003</v>
      </c>
      <c r="K126" s="9">
        <f>SUM(OSRRefB20_0_0x_9)</f>
        <v>841.79000000000008</v>
      </c>
      <c r="L126" s="9">
        <f>SUM(OSRRefB20_0_0x_10)</f>
        <v>999.74</v>
      </c>
      <c r="M126" s="9">
        <f>SUM(OSRRefB20_0_0x_11)</f>
        <v>1039.18</v>
      </c>
      <c r="N126" s="10"/>
      <c r="O126" s="9">
        <f t="shared" si="15"/>
        <v>12435.890000000001</v>
      </c>
    </row>
    <row r="127" spans="1:15" hidden="1" outlineLevel="2" x14ac:dyDescent="0.25">
      <c r="A127" t="str">
        <f>("64025")&amp;" - "&amp;("Facility- Office Equip. Rent")</f>
        <v>64025 - Facility- Office Equip. Rent</v>
      </c>
      <c r="B127" s="5">
        <f>299.05+0</f>
        <v>299.05</v>
      </c>
      <c r="C127" s="5">
        <f>462.91+0</f>
        <v>462.91</v>
      </c>
      <c r="D127" s="5">
        <f>-312.8+0</f>
        <v>-312.8</v>
      </c>
      <c r="E127" s="5">
        <f>-165.76+0</f>
        <v>-165.76</v>
      </c>
      <c r="F127" s="5">
        <f>418.58+0</f>
        <v>418.58</v>
      </c>
      <c r="G127" s="5">
        <f>430.67+0</f>
        <v>430.67</v>
      </c>
      <c r="H127" s="5">
        <f>241.29+0</f>
        <v>241.29</v>
      </c>
      <c r="I127" s="5">
        <f>108.82+0</f>
        <v>108.82</v>
      </c>
      <c r="J127" s="5">
        <f>327.67+0</f>
        <v>327.67</v>
      </c>
      <c r="K127" s="5">
        <f>227.63+0</f>
        <v>227.63</v>
      </c>
      <c r="L127" s="5">
        <f>230.08+0</f>
        <v>230.08</v>
      </c>
      <c r="M127" s="5">
        <f>255.91+0</f>
        <v>255.91</v>
      </c>
      <c r="O127" s="5">
        <f t="shared" si="15"/>
        <v>2524.0499999999997</v>
      </c>
    </row>
    <row r="128" spans="1:15" hidden="1" outlineLevel="2" x14ac:dyDescent="0.25">
      <c r="A128" t="str">
        <f>("64050")&amp;" - "&amp;("Facility- Equip. Rent")</f>
        <v>64050 - Facility- Equip. Rent</v>
      </c>
      <c r="B128" s="5">
        <f>306.28+0</f>
        <v>306.27999999999997</v>
      </c>
      <c r="C128" s="5">
        <f>244.17+0</f>
        <v>244.17</v>
      </c>
      <c r="D128" s="5">
        <f>349.45+0</f>
        <v>349.45</v>
      </c>
      <c r="E128" s="5">
        <f>315.79+0</f>
        <v>315.79000000000002</v>
      </c>
      <c r="F128" s="5">
        <f>310.35+0</f>
        <v>310.35000000000002</v>
      </c>
      <c r="G128" s="5">
        <f>834.65+0</f>
        <v>834.65</v>
      </c>
      <c r="H128" s="5">
        <f>277.03+0</f>
        <v>277.02999999999997</v>
      </c>
      <c r="I128" s="5">
        <f>297.34+0</f>
        <v>297.33999999999997</v>
      </c>
      <c r="J128" s="5">
        <f>245.29+0</f>
        <v>245.29</v>
      </c>
      <c r="K128" s="5">
        <f>344.79+0</f>
        <v>344.79</v>
      </c>
      <c r="L128" s="5">
        <f>284.38+0</f>
        <v>284.38</v>
      </c>
      <c r="M128" s="5">
        <f>287.94+0</f>
        <v>287.94</v>
      </c>
      <c r="O128" s="5">
        <f t="shared" si="15"/>
        <v>4097.46</v>
      </c>
    </row>
    <row r="129" spans="1:15" hidden="1" outlineLevel="2" x14ac:dyDescent="0.25">
      <c r="A129" t="str">
        <f>("64150")&amp;" - "&amp;("Facility- Equipment R&amp;M")</f>
        <v>64150 - Facility- Equipment R&amp;M</v>
      </c>
      <c r="B129" s="5">
        <f>1602.3+0</f>
        <v>1602.3</v>
      </c>
      <c r="C129" s="5">
        <f>267.05+0</f>
        <v>267.05</v>
      </c>
      <c r="D129" s="5">
        <f>0+0</f>
        <v>0</v>
      </c>
      <c r="E129" s="5">
        <f>-267.05+0</f>
        <v>-267.05</v>
      </c>
      <c r="F129" s="5">
        <f>0+0</f>
        <v>0</v>
      </c>
      <c r="G129" s="5">
        <f>267.05+0</f>
        <v>267.05</v>
      </c>
      <c r="H129" s="5">
        <f>0+0</f>
        <v>0</v>
      </c>
      <c r="I129" s="5">
        <f>-267.05+0</f>
        <v>-267.05</v>
      </c>
      <c r="J129" s="5">
        <f>0+0</f>
        <v>0</v>
      </c>
      <c r="K129" s="5">
        <f>0+0</f>
        <v>0</v>
      </c>
      <c r="L129" s="5">
        <f>0+0</f>
        <v>0</v>
      </c>
      <c r="M129" s="5">
        <f>0+0</f>
        <v>0</v>
      </c>
      <c r="O129" s="5">
        <f t="shared" si="15"/>
        <v>1602.3</v>
      </c>
    </row>
    <row r="130" spans="1:15" hidden="1" outlineLevel="2" x14ac:dyDescent="0.25">
      <c r="A130" t="str">
        <f>("64325")&amp;" - "&amp;("Facility- Contract Services")</f>
        <v>64325 - Facility- Contract Services</v>
      </c>
      <c r="B130" s="5">
        <f>0+0</f>
        <v>0</v>
      </c>
      <c r="C130" s="5">
        <f>0+0</f>
        <v>0</v>
      </c>
      <c r="D130" s="5">
        <f>0+0</f>
        <v>0</v>
      </c>
      <c r="E130" s="5">
        <f>0+0</f>
        <v>0</v>
      </c>
      <c r="F130" s="5">
        <f>0+0</f>
        <v>0</v>
      </c>
      <c r="G130" s="5">
        <f>0+0</f>
        <v>0</v>
      </c>
      <c r="H130" s="5">
        <f>0+0</f>
        <v>0</v>
      </c>
      <c r="I130" s="5">
        <f>0+0</f>
        <v>0</v>
      </c>
      <c r="J130" s="5">
        <f>0+0</f>
        <v>0</v>
      </c>
      <c r="K130" s="5">
        <f>0+0</f>
        <v>0</v>
      </c>
      <c r="L130" s="5">
        <f>1020+0</f>
        <v>1020</v>
      </c>
      <c r="M130" s="5">
        <f>170+0</f>
        <v>170</v>
      </c>
      <c r="O130" s="5">
        <f t="shared" si="15"/>
        <v>1190</v>
      </c>
    </row>
    <row r="131" spans="1:15" hidden="1" outlineLevel="2" x14ac:dyDescent="0.25">
      <c r="A131" t="str">
        <f>("64354")&amp;" - "&amp;("Facility- Mobile Device Allow")</f>
        <v>64354 - Facility- Mobile Device Allow</v>
      </c>
      <c r="B131" s="5">
        <f t="shared" ref="B131:M131" si="17">120+0</f>
        <v>120</v>
      </c>
      <c r="C131" s="5">
        <f t="shared" si="17"/>
        <v>120</v>
      </c>
      <c r="D131" s="5">
        <f t="shared" si="17"/>
        <v>120</v>
      </c>
      <c r="E131" s="5">
        <f t="shared" si="17"/>
        <v>120</v>
      </c>
      <c r="F131" s="5">
        <f t="shared" si="17"/>
        <v>120</v>
      </c>
      <c r="G131" s="5">
        <f t="shared" si="17"/>
        <v>120</v>
      </c>
      <c r="H131" s="5">
        <f t="shared" si="17"/>
        <v>120</v>
      </c>
      <c r="I131" s="5">
        <f t="shared" si="17"/>
        <v>120</v>
      </c>
      <c r="J131" s="5">
        <f t="shared" si="17"/>
        <v>120</v>
      </c>
      <c r="K131" s="5">
        <f t="shared" si="17"/>
        <v>120</v>
      </c>
      <c r="L131" s="5">
        <f t="shared" si="17"/>
        <v>120</v>
      </c>
      <c r="M131" s="5">
        <f t="shared" si="17"/>
        <v>120</v>
      </c>
      <c r="O131" s="5">
        <f t="shared" si="15"/>
        <v>1440</v>
      </c>
    </row>
    <row r="132" spans="1:15" hidden="1" outlineLevel="2" x14ac:dyDescent="0.25">
      <c r="A132" t="str">
        <f>("64450")&amp;" - "&amp;("Facility- Property Taxes")</f>
        <v>64450 - Facility- Property Taxes</v>
      </c>
      <c r="B132" s="5">
        <f>-9.52+0</f>
        <v>-9.52</v>
      </c>
      <c r="C132" s="5">
        <f>9.52+0</f>
        <v>9.52</v>
      </c>
      <c r="D132" s="5">
        <f>-9.52+0</f>
        <v>-9.52</v>
      </c>
      <c r="E132" s="5">
        <f t="shared" ref="E132:M132" si="18">0+0</f>
        <v>0</v>
      </c>
      <c r="F132" s="5">
        <f t="shared" si="18"/>
        <v>0</v>
      </c>
      <c r="G132" s="5">
        <f t="shared" si="18"/>
        <v>0</v>
      </c>
      <c r="H132" s="5">
        <f t="shared" si="18"/>
        <v>0</v>
      </c>
      <c r="I132" s="5">
        <f t="shared" si="18"/>
        <v>0</v>
      </c>
      <c r="J132" s="5">
        <f t="shared" si="18"/>
        <v>0</v>
      </c>
      <c r="K132" s="5">
        <f t="shared" si="18"/>
        <v>0</v>
      </c>
      <c r="L132" s="5">
        <f t="shared" si="18"/>
        <v>0</v>
      </c>
      <c r="M132" s="5">
        <f t="shared" si="18"/>
        <v>0</v>
      </c>
      <c r="O132" s="5">
        <f t="shared" si="15"/>
        <v>-9.52</v>
      </c>
    </row>
    <row r="133" spans="1:15" s="3" customFormat="1" hidden="1" outlineLevel="1" x14ac:dyDescent="0.25">
      <c r="A133" s="1" t="s">
        <v>5</v>
      </c>
      <c r="B133" s="9">
        <f>SUM(OSRRefB20_0_1x_0)</f>
        <v>2318.11</v>
      </c>
      <c r="C133" s="9">
        <f>SUM(OSRRefB20_0_1x_1)</f>
        <v>1103.6500000000001</v>
      </c>
      <c r="D133" s="9">
        <f>SUM(OSRRefB20_0_1x_2)</f>
        <v>147.12999999999997</v>
      </c>
      <c r="E133" s="9">
        <f>SUM(OSRRefB20_0_1x_3)</f>
        <v>2.9800000000000182</v>
      </c>
      <c r="F133" s="9">
        <f>SUM(OSRRefB20_0_1x_4)</f>
        <v>848.93000000000006</v>
      </c>
      <c r="G133" s="9">
        <f>SUM(OSRRefB20_0_1x_5)</f>
        <v>1652.37</v>
      </c>
      <c r="H133" s="9">
        <f>SUM(OSRRefB20_0_1x_6)</f>
        <v>638.31999999999994</v>
      </c>
      <c r="I133" s="9">
        <f>SUM(OSRRefB20_0_1x_7)</f>
        <v>259.10999999999996</v>
      </c>
      <c r="J133" s="9">
        <f>SUM(OSRRefB20_0_1x_8)</f>
        <v>692.96</v>
      </c>
      <c r="K133" s="9">
        <f>SUM(OSRRefB20_0_1x_9)</f>
        <v>692.42000000000007</v>
      </c>
      <c r="L133" s="9">
        <f>SUM(OSRRefB20_0_1x_10)</f>
        <v>1654.46</v>
      </c>
      <c r="M133" s="9">
        <f>SUM(OSRRefB20_0_1x_11)</f>
        <v>833.85</v>
      </c>
      <c r="N133" s="10"/>
      <c r="O133" s="9">
        <f t="shared" si="15"/>
        <v>10844.289999999999</v>
      </c>
    </row>
    <row r="134" spans="1:15" hidden="1" outlineLevel="2" x14ac:dyDescent="0.25">
      <c r="A134" t="str">
        <f>("64500")&amp;" - "&amp;("Operating- Communication")</f>
        <v>64500 - Operating- Communication</v>
      </c>
      <c r="B134" s="5">
        <f>-631.72+0</f>
        <v>-631.72</v>
      </c>
      <c r="C134" s="5">
        <f>1367.29+0</f>
        <v>1367.29</v>
      </c>
      <c r="D134" s="5">
        <f>-1395.82+0</f>
        <v>-1395.82</v>
      </c>
      <c r="E134" s="5">
        <f>-986.48+0</f>
        <v>-986.48</v>
      </c>
      <c r="F134" s="5">
        <f>925.14+0</f>
        <v>925.14</v>
      </c>
      <c r="G134" s="5">
        <f>-1917.73+0</f>
        <v>-1917.73</v>
      </c>
      <c r="H134" s="5">
        <f t="shared" ref="H134:M134" si="19">0+0</f>
        <v>0</v>
      </c>
      <c r="I134" s="5">
        <f t="shared" si="19"/>
        <v>0</v>
      </c>
      <c r="J134" s="5">
        <f t="shared" si="19"/>
        <v>0</v>
      </c>
      <c r="K134" s="5">
        <f t="shared" si="19"/>
        <v>0</v>
      </c>
      <c r="L134" s="5">
        <f t="shared" si="19"/>
        <v>0</v>
      </c>
      <c r="M134" s="5">
        <f t="shared" si="19"/>
        <v>0</v>
      </c>
      <c r="O134" s="5">
        <f t="shared" si="15"/>
        <v>-2639.32</v>
      </c>
    </row>
    <row r="135" spans="1:15" hidden="1" outlineLevel="2" x14ac:dyDescent="0.25">
      <c r="A135" t="str">
        <f>("64700")&amp;" - "&amp;("Operating- Uniforms")</f>
        <v>64700 - Operating- Uniforms</v>
      </c>
      <c r="B135" s="5">
        <f>-71.76+0</f>
        <v>-71.760000000000005</v>
      </c>
      <c r="C135" s="5">
        <f>-52.38+0</f>
        <v>-52.38</v>
      </c>
      <c r="D135" s="5">
        <f>-56.92+0</f>
        <v>-56.92</v>
      </c>
      <c r="E135" s="5">
        <f t="shared" ref="E135:J135" si="20">0+0</f>
        <v>0</v>
      </c>
      <c r="F135" s="5">
        <f t="shared" si="20"/>
        <v>0</v>
      </c>
      <c r="G135" s="5">
        <f t="shared" si="20"/>
        <v>0</v>
      </c>
      <c r="H135" s="5">
        <f t="shared" si="20"/>
        <v>0</v>
      </c>
      <c r="I135" s="5">
        <f t="shared" si="20"/>
        <v>0</v>
      </c>
      <c r="J135" s="5">
        <f t="shared" si="20"/>
        <v>0</v>
      </c>
      <c r="K135" s="5">
        <f>-43.3+0</f>
        <v>-43.3</v>
      </c>
      <c r="L135" s="5">
        <f>-34.63+0</f>
        <v>-34.630000000000003</v>
      </c>
      <c r="M135" s="5">
        <f>0+0</f>
        <v>0</v>
      </c>
      <c r="O135" s="5">
        <f t="shared" si="15"/>
        <v>-258.99</v>
      </c>
    </row>
    <row r="136" spans="1:15" hidden="1" outlineLevel="2" x14ac:dyDescent="0.25">
      <c r="A136" t="str">
        <f>("64750")&amp;" - "&amp;("Operating- Other")</f>
        <v>64750 - Operating- Other</v>
      </c>
      <c r="B136" s="5">
        <f>1600+0</f>
        <v>1600</v>
      </c>
      <c r="C136" s="5">
        <f>1600+0</f>
        <v>1600</v>
      </c>
      <c r="D136" s="5">
        <f>1600+0</f>
        <v>1600</v>
      </c>
      <c r="E136" s="5">
        <f>1548.87+0</f>
        <v>1548.87</v>
      </c>
      <c r="F136" s="5">
        <f>1651.13+0</f>
        <v>1651.13</v>
      </c>
      <c r="G136" s="5">
        <f>1600+0</f>
        <v>1600</v>
      </c>
      <c r="H136" s="5">
        <f>1557.96+0</f>
        <v>1557.96</v>
      </c>
      <c r="I136" s="5">
        <f>2862.93+0</f>
        <v>2862.93</v>
      </c>
      <c r="J136" s="5">
        <f>3446.69+0</f>
        <v>3446.69</v>
      </c>
      <c r="K136" s="5">
        <f>1961.57+0</f>
        <v>1961.57</v>
      </c>
      <c r="L136" s="5">
        <f>-1829.15+0</f>
        <v>-1829.15</v>
      </c>
      <c r="M136" s="5">
        <f>1811.27+0</f>
        <v>1811.27</v>
      </c>
      <c r="O136" s="5">
        <f t="shared" si="15"/>
        <v>19411.269999999997</v>
      </c>
    </row>
    <row r="137" spans="1:15" s="3" customFormat="1" hidden="1" outlineLevel="1" x14ac:dyDescent="0.25">
      <c r="A137" s="1" t="s">
        <v>4</v>
      </c>
      <c r="B137" s="9">
        <f>SUM(OSRRefB20_0_2x_0)</f>
        <v>896.52</v>
      </c>
      <c r="C137" s="9">
        <f>SUM(OSRRefB20_0_2x_1)</f>
        <v>2914.91</v>
      </c>
      <c r="D137" s="9">
        <f>SUM(OSRRefB20_0_2x_2)</f>
        <v>147.26</v>
      </c>
      <c r="E137" s="9">
        <f>SUM(OSRRefB20_0_2x_3)</f>
        <v>562.38999999999987</v>
      </c>
      <c r="F137" s="9">
        <f>SUM(OSRRefB20_0_2x_4)</f>
        <v>2576.27</v>
      </c>
      <c r="G137" s="9">
        <f>SUM(OSRRefB20_0_2x_5)</f>
        <v>-317.73</v>
      </c>
      <c r="H137" s="9">
        <f>SUM(OSRRefB20_0_2x_6)</f>
        <v>1557.96</v>
      </c>
      <c r="I137" s="9">
        <f>SUM(OSRRefB20_0_2x_7)</f>
        <v>2862.93</v>
      </c>
      <c r="J137" s="9">
        <f>SUM(OSRRefB20_0_2x_8)</f>
        <v>3446.69</v>
      </c>
      <c r="K137" s="9">
        <f>SUM(OSRRefB20_0_2x_9)</f>
        <v>1918.27</v>
      </c>
      <c r="L137" s="9">
        <f>SUM(OSRRefB20_0_2x_10)</f>
        <v>-1863.7800000000002</v>
      </c>
      <c r="M137" s="9">
        <f>SUM(OSRRefB20_0_2x_11)</f>
        <v>1811.27</v>
      </c>
      <c r="N137" s="10"/>
      <c r="O137" s="9">
        <f t="shared" si="15"/>
        <v>16512.96</v>
      </c>
    </row>
    <row r="138" spans="1:15" s="1" customFormat="1" collapsed="1" x14ac:dyDescent="0.25">
      <c r="A138" s="1" t="str">
        <f>"Total "&amp;TRIM(MID("2L.Other Expenses",4,125))</f>
        <v>Total Other Expenses</v>
      </c>
      <c r="B138" s="11">
        <f>SUM(OSRRefB21_0x_0)</f>
        <v>4244.7700000000004</v>
      </c>
      <c r="C138" s="11">
        <f>SUM(OSRRefB21_0x_1)</f>
        <v>4567.16</v>
      </c>
      <c r="D138" s="11">
        <f>SUM(OSRRefB21_0x_2)</f>
        <v>1290.27</v>
      </c>
      <c r="E138" s="11">
        <f>SUM(OSRRefB21_0x_3)</f>
        <v>1855.6499999999999</v>
      </c>
      <c r="F138" s="11">
        <f>SUM(OSRRefB21_0x_4)</f>
        <v>6295.99</v>
      </c>
      <c r="G138" s="11">
        <f>SUM(OSRRefB21_0x_5)</f>
        <v>2137.5299999999997</v>
      </c>
      <c r="H138" s="11">
        <f>SUM(OSRRefB21_0x_6)</f>
        <v>3503.05</v>
      </c>
      <c r="I138" s="11">
        <f>SUM(OSRRefB21_0x_7)</f>
        <v>3335.22</v>
      </c>
      <c r="J138" s="11">
        <f>SUM(OSRRefB21_0x_8)</f>
        <v>4636.3</v>
      </c>
      <c r="K138" s="11">
        <f>SUM(OSRRefB21_0x_9)</f>
        <v>3452.48</v>
      </c>
      <c r="L138" s="11">
        <f>SUM(OSRRefB21_0x_10)</f>
        <v>790.41999999999962</v>
      </c>
      <c r="M138" s="11">
        <f>SUM(OSRRefB21_0x_11)</f>
        <v>3684.3</v>
      </c>
      <c r="N138" s="12"/>
      <c r="O138" s="11">
        <f t="shared" si="15"/>
        <v>39793.14</v>
      </c>
    </row>
    <row r="140" spans="1:15" x14ac:dyDescent="0.25">
      <c r="A140" s="1" t="s">
        <v>3</v>
      </c>
      <c r="B140" s="7">
        <f>SUM(OSRRefB22x_0)+SUM(OSRRefB17x_0)+SUM(OSRRefB8x_0)</f>
        <v>410294.43</v>
      </c>
      <c r="C140" s="7">
        <f>SUM(OSRRefB22x_1)+SUM(OSRRefB17x_1)+SUM(OSRRefB8x_1)</f>
        <v>442686.36</v>
      </c>
      <c r="D140" s="7">
        <f>SUM(OSRRefB22x_2)+SUM(OSRRefB17x_2)+SUM(OSRRefB8x_2)</f>
        <v>511077.53</v>
      </c>
      <c r="E140" s="7">
        <f>SUM(OSRRefB22x_3)+SUM(OSRRefB17x_3)+SUM(OSRRefB8x_3)</f>
        <v>498253.77999999991</v>
      </c>
      <c r="F140" s="7">
        <f>SUM(OSRRefB22x_4)+SUM(OSRRefB17x_4)+SUM(OSRRefB8x_4)</f>
        <v>553054.89999999991</v>
      </c>
      <c r="G140" s="7">
        <f>SUM(OSRRefB22x_5)+SUM(OSRRefB17x_5)+SUM(OSRRefB8x_5)</f>
        <v>439122.75</v>
      </c>
      <c r="H140" s="7">
        <f>SUM(OSRRefB22x_6)+SUM(OSRRefB17x_6)+SUM(OSRRefB8x_6)</f>
        <v>646415.77</v>
      </c>
      <c r="I140" s="7">
        <f>SUM(OSRRefB22x_7)+SUM(OSRRefB17x_7)+SUM(OSRRefB8x_7)</f>
        <v>419492.49</v>
      </c>
      <c r="J140" s="7">
        <f>SUM(OSRRefB22x_8)+SUM(OSRRefB17x_8)+SUM(OSRRefB8x_8)</f>
        <v>454966.68999999994</v>
      </c>
      <c r="K140" s="7">
        <f>SUM(OSRRefB22x_9)+SUM(OSRRefB17x_9)+SUM(OSRRefB8x_9)</f>
        <v>394655.76</v>
      </c>
      <c r="L140" s="7">
        <f>SUM(OSRRefB22x_10)+SUM(OSRRefB17x_10)+SUM(OSRRefB8x_10)</f>
        <v>469304.2900000001</v>
      </c>
      <c r="M140" s="7">
        <f>SUM(OSRRefB22x_11)+SUM(OSRRefB17x_11)+SUM(OSRRefB8x_11)</f>
        <v>399598.84</v>
      </c>
      <c r="O140" s="7">
        <f>SUM(B140:N140)</f>
        <v>5638923.5899999989</v>
      </c>
    </row>
    <row r="141" spans="1:15" x14ac:dyDescent="0.25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O141" s="7"/>
    </row>
    <row r="142" spans="1:15" hidden="1" outlineLevel="1" x14ac:dyDescent="0.25">
      <c r="A142" s="1" t="str">
        <f>TRIM(MID("3A.Adjustments",4,125))</f>
        <v>Adjustments</v>
      </c>
    </row>
    <row r="143" spans="1:15" hidden="1" outlineLevel="2" x14ac:dyDescent="0.25">
      <c r="A143" t="str">
        <f>("93000")&amp;" - "&amp;("Depreciation Expense")</f>
        <v>93000 - Depreciation Expense</v>
      </c>
      <c r="B143" s="5">
        <f>212.07+0</f>
        <v>212.07</v>
      </c>
      <c r="C143" s="5">
        <f>203.85+0</f>
        <v>203.85</v>
      </c>
      <c r="D143" s="5">
        <f>204.09+0</f>
        <v>204.09</v>
      </c>
      <c r="E143" s="5">
        <f>207.07+0</f>
        <v>207.07</v>
      </c>
      <c r="F143" s="5">
        <f>187.03+0</f>
        <v>187.03</v>
      </c>
      <c r="G143" s="5">
        <f>187.03+0</f>
        <v>187.03</v>
      </c>
      <c r="H143" s="5">
        <f>396.53+0</f>
        <v>396.53</v>
      </c>
      <c r="I143" s="5">
        <f>202.49+0</f>
        <v>202.49</v>
      </c>
      <c r="J143" s="5">
        <f>202.49+0</f>
        <v>202.49</v>
      </c>
      <c r="K143" s="5">
        <f>202.46+0</f>
        <v>202.46</v>
      </c>
      <c r="L143" s="5">
        <f>191.36+0</f>
        <v>191.36</v>
      </c>
      <c r="M143" s="5">
        <f>191.36+0</f>
        <v>191.36</v>
      </c>
      <c r="O143" s="5">
        <f>SUM(B143:N143)</f>
        <v>2587.83</v>
      </c>
    </row>
    <row r="144" spans="1:15" s="3" customFormat="1" hidden="1" outlineLevel="1" x14ac:dyDescent="0.25">
      <c r="A144" s="1" t="s">
        <v>2</v>
      </c>
      <c r="B144" s="9">
        <f>SUM(OSRRefB27_0_0x_0)</f>
        <v>212.07</v>
      </c>
      <c r="C144" s="9">
        <f>SUM(OSRRefB27_0_0x_1)</f>
        <v>203.85</v>
      </c>
      <c r="D144" s="9">
        <f>SUM(OSRRefB27_0_0x_2)</f>
        <v>204.09</v>
      </c>
      <c r="E144" s="9">
        <f>SUM(OSRRefB27_0_0x_3)</f>
        <v>207.07</v>
      </c>
      <c r="F144" s="9">
        <f>SUM(OSRRefB27_0_0x_4)</f>
        <v>187.03</v>
      </c>
      <c r="G144" s="9">
        <f>SUM(OSRRefB27_0_0x_5)</f>
        <v>187.03</v>
      </c>
      <c r="H144" s="9">
        <f>SUM(OSRRefB27_0_0x_6)</f>
        <v>396.53</v>
      </c>
      <c r="I144" s="9">
        <f>SUM(OSRRefB27_0_0x_7)</f>
        <v>202.49</v>
      </c>
      <c r="J144" s="9">
        <f>SUM(OSRRefB27_0_0x_8)</f>
        <v>202.49</v>
      </c>
      <c r="K144" s="9">
        <f>SUM(OSRRefB27_0_0x_9)</f>
        <v>202.46</v>
      </c>
      <c r="L144" s="9">
        <f>SUM(OSRRefB27_0_0x_10)</f>
        <v>191.36</v>
      </c>
      <c r="M144" s="9">
        <f>SUM(OSRRefB27_0_0x_11)</f>
        <v>191.36</v>
      </c>
      <c r="N144" s="10"/>
      <c r="O144" s="9">
        <f>SUM(B144:N144)</f>
        <v>2587.83</v>
      </c>
    </row>
    <row r="145" spans="1:16" s="1" customFormat="1" collapsed="1" x14ac:dyDescent="0.25">
      <c r="A145" s="1" t="str">
        <f>"Total "&amp;TRIM(MID("3A.Adjustments",4,125))</f>
        <v>Total Adjustments</v>
      </c>
      <c r="B145" s="11">
        <f>SUM(OSRRefB28_0x_0)</f>
        <v>212.07</v>
      </c>
      <c r="C145" s="11">
        <f>SUM(OSRRefB28_0x_1)</f>
        <v>203.85</v>
      </c>
      <c r="D145" s="11">
        <f>SUM(OSRRefB28_0x_2)</f>
        <v>204.09</v>
      </c>
      <c r="E145" s="11">
        <f>SUM(OSRRefB28_0x_3)</f>
        <v>207.07</v>
      </c>
      <c r="F145" s="11">
        <f>SUM(OSRRefB28_0x_4)</f>
        <v>187.03</v>
      </c>
      <c r="G145" s="11">
        <f>SUM(OSRRefB28_0x_5)</f>
        <v>187.03</v>
      </c>
      <c r="H145" s="11">
        <f>SUM(OSRRefB28_0x_6)</f>
        <v>396.53</v>
      </c>
      <c r="I145" s="11">
        <f>SUM(OSRRefB28_0x_7)</f>
        <v>202.49</v>
      </c>
      <c r="J145" s="11">
        <f>SUM(OSRRefB28_0x_8)</f>
        <v>202.49</v>
      </c>
      <c r="K145" s="11">
        <f>SUM(OSRRefB28_0x_9)</f>
        <v>202.46</v>
      </c>
      <c r="L145" s="11">
        <f>SUM(OSRRefB28_0x_10)</f>
        <v>191.36</v>
      </c>
      <c r="M145" s="11">
        <f>SUM(OSRRefB28_0x_11)</f>
        <v>191.36</v>
      </c>
      <c r="N145" s="12"/>
      <c r="O145" s="11">
        <f>SUM(B145:N145)</f>
        <v>2587.83</v>
      </c>
    </row>
    <row r="147" spans="1:16" x14ac:dyDescent="0.25">
      <c r="A147" s="1" t="s">
        <v>1</v>
      </c>
      <c r="B147" s="5">
        <f>--43667+0</f>
        <v>43667</v>
      </c>
      <c r="C147" s="5">
        <f>--50127+0</f>
        <v>50127</v>
      </c>
      <c r="D147" s="5">
        <f t="shared" ref="D147:M147" si="21">--46897+0</f>
        <v>46897</v>
      </c>
      <c r="E147" s="5">
        <f t="shared" si="21"/>
        <v>46897</v>
      </c>
      <c r="F147" s="5">
        <f t="shared" si="21"/>
        <v>46897</v>
      </c>
      <c r="G147" s="5">
        <f t="shared" si="21"/>
        <v>46897</v>
      </c>
      <c r="H147" s="5">
        <f t="shared" si="21"/>
        <v>46897</v>
      </c>
      <c r="I147" s="5">
        <f t="shared" si="21"/>
        <v>46897</v>
      </c>
      <c r="J147" s="5">
        <f t="shared" si="21"/>
        <v>46897</v>
      </c>
      <c r="K147" s="5">
        <f t="shared" si="21"/>
        <v>46897</v>
      </c>
      <c r="L147" s="5">
        <f t="shared" si="21"/>
        <v>46897</v>
      </c>
      <c r="M147" s="5">
        <f t="shared" si="21"/>
        <v>46897</v>
      </c>
      <c r="O147" s="5">
        <f>SUM(B147:N147)</f>
        <v>562764</v>
      </c>
    </row>
    <row r="149" spans="1:16" ht="15.75" thickBot="1" x14ac:dyDescent="0.3">
      <c r="A149" s="2" t="s">
        <v>0</v>
      </c>
      <c r="B149" s="13">
        <f>IFERROR(B147+B145+B140,B140)</f>
        <v>454173.5</v>
      </c>
      <c r="C149" s="13">
        <f t="shared" ref="C149:O149" si="22">IFERROR(C147+C145+C140,C140)</f>
        <v>493017.20999999996</v>
      </c>
      <c r="D149" s="13">
        <f t="shared" si="22"/>
        <v>558178.62</v>
      </c>
      <c r="E149" s="13">
        <f t="shared" si="22"/>
        <v>545357.84999999986</v>
      </c>
      <c r="F149" s="13">
        <f t="shared" si="22"/>
        <v>600138.92999999993</v>
      </c>
      <c r="G149" s="13">
        <f t="shared" si="22"/>
        <v>486206.78</v>
      </c>
      <c r="H149" s="13">
        <f t="shared" si="22"/>
        <v>693709.3</v>
      </c>
      <c r="I149" s="13">
        <f t="shared" si="22"/>
        <v>466591.98</v>
      </c>
      <c r="J149" s="13">
        <f t="shared" si="22"/>
        <v>502066.17999999993</v>
      </c>
      <c r="K149" s="13">
        <f t="shared" si="22"/>
        <v>441755.22000000003</v>
      </c>
      <c r="L149" s="13">
        <f t="shared" si="22"/>
        <v>516392.65000000008</v>
      </c>
      <c r="M149" s="13">
        <f t="shared" si="22"/>
        <v>446687.2</v>
      </c>
      <c r="N149" s="13">
        <f t="shared" si="22"/>
        <v>0</v>
      </c>
      <c r="O149" s="13">
        <f t="shared" si="22"/>
        <v>6204275.419999999</v>
      </c>
      <c r="P149" s="1"/>
    </row>
    <row r="150" spans="1:16" ht="15.75" thickTop="1" x14ac:dyDescent="0.25"/>
  </sheetData>
  <sheetProtection password="C7C9" sheet="1" objects="1" scenarios="1" selectLockedCells="1"/>
  <customSheetViews>
    <customSheetView guid="{0660B23F-7F1C-4A0B-B896-A8194202EB74}" showPageBreaks="1" fitToPage="1" hiddenRows="1" view="pageBreakPreview">
      <pane ySplit="5" topLeftCell="A6" activePane="bottomLeft" state="frozen"/>
      <selection pane="bottomLeft" activeCell="I21" sqref="I21"/>
      <pageMargins left="0.25" right="0.25" top="0.75" bottom="0.75" header="0.3" footer="0.3"/>
      <pageSetup scale="75" orientation="landscape" r:id="rId1"/>
      <headerFooter>
        <oddFooter>&amp;R&amp;F</oddFooter>
      </headerFooter>
    </customSheetView>
    <customSheetView guid="{CDEB301C-2863-4D41-A4C3-40E4B6E76625}" showPageBreaks="1" fitToPage="1" hiddenRows="1" view="pageBreakPreview">
      <pane ySplit="5" topLeftCell="A6" activePane="bottomLeft" state="frozen"/>
      <selection pane="bottomLeft" activeCell="I21" sqref="I21"/>
      <pageMargins left="0.25" right="0.25" top="0.75" bottom="0.75" header="0.3" footer="0.3"/>
      <pageSetup scale="75" orientation="landscape" r:id="rId2"/>
      <headerFooter>
        <oddFooter>&amp;R&amp;F</oddFooter>
      </headerFooter>
    </customSheetView>
  </customSheetViews>
  <mergeCells count="2">
    <mergeCell ref="B4:N4"/>
    <mergeCell ref="A1:O1"/>
  </mergeCells>
  <pageMargins left="0.25" right="0.25" top="0.75" bottom="0.75" header="0.3" footer="0.3"/>
  <pageSetup scale="75" orientation="landscape" r:id="rId3"/>
  <headerFooter>
    <oddFooter>&amp;R&amp;F</oddFooter>
  </headerFooter>
  <customProperties>
    <customPr name="DrilldownID" r:id="rId4"/>
    <customPr name="OSR_KEY" r:id="rId5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384</vt:i4>
      </vt:variant>
    </vt:vector>
  </HeadingPairs>
  <TitlesOfParts>
    <vt:vector size="385" baseType="lpstr">
      <vt:lpstr>Fort Bend, TX</vt:lpstr>
      <vt:lpstr>'Fort Bend, TX'!OSRRefB13_0_0x_0</vt:lpstr>
      <vt:lpstr>'Fort Bend, TX'!OSRRefB13_0_0x_1</vt:lpstr>
      <vt:lpstr>'Fort Bend, TX'!OSRRefB13_0_0x_10</vt:lpstr>
      <vt:lpstr>'Fort Bend, TX'!OSRRefB13_0_0x_11</vt:lpstr>
      <vt:lpstr>'Fort Bend, TX'!OSRRefB13_0_0x_2</vt:lpstr>
      <vt:lpstr>'Fort Bend, TX'!OSRRefB13_0_0x_3</vt:lpstr>
      <vt:lpstr>'Fort Bend, TX'!OSRRefB13_0_0x_4</vt:lpstr>
      <vt:lpstr>'Fort Bend, TX'!OSRRefB13_0_0x_5</vt:lpstr>
      <vt:lpstr>'Fort Bend, TX'!OSRRefB13_0_0x_6</vt:lpstr>
      <vt:lpstr>'Fort Bend, TX'!OSRRefB13_0_0x_7</vt:lpstr>
      <vt:lpstr>'Fort Bend, TX'!OSRRefB13_0_0x_8</vt:lpstr>
      <vt:lpstr>'Fort Bend, TX'!OSRRefB13_0_0x_9</vt:lpstr>
      <vt:lpstr>'Fort Bend, TX'!OSRRefB13_1_0x_0</vt:lpstr>
      <vt:lpstr>'Fort Bend, TX'!OSRRefB13_1_0x_1</vt:lpstr>
      <vt:lpstr>'Fort Bend, TX'!OSRRefB13_1_0x_10</vt:lpstr>
      <vt:lpstr>'Fort Bend, TX'!OSRRefB13_1_0x_11</vt:lpstr>
      <vt:lpstr>'Fort Bend, TX'!OSRRefB13_1_0x_2</vt:lpstr>
      <vt:lpstr>'Fort Bend, TX'!OSRRefB13_1_0x_3</vt:lpstr>
      <vt:lpstr>'Fort Bend, TX'!OSRRefB13_1_0x_4</vt:lpstr>
      <vt:lpstr>'Fort Bend, TX'!OSRRefB13_1_0x_5</vt:lpstr>
      <vt:lpstr>'Fort Bend, TX'!OSRRefB13_1_0x_6</vt:lpstr>
      <vt:lpstr>'Fort Bend, TX'!OSRRefB13_1_0x_7</vt:lpstr>
      <vt:lpstr>'Fort Bend, TX'!OSRRefB13_1_0x_8</vt:lpstr>
      <vt:lpstr>'Fort Bend, TX'!OSRRefB13_1_0x_9</vt:lpstr>
      <vt:lpstr>'Fort Bend, TX'!OSRRefB13_1_1x_0</vt:lpstr>
      <vt:lpstr>'Fort Bend, TX'!OSRRefB13_1_1x_1</vt:lpstr>
      <vt:lpstr>'Fort Bend, TX'!OSRRefB13_1_1x_10</vt:lpstr>
      <vt:lpstr>'Fort Bend, TX'!OSRRefB13_1_1x_11</vt:lpstr>
      <vt:lpstr>'Fort Bend, TX'!OSRRefB13_1_1x_2</vt:lpstr>
      <vt:lpstr>'Fort Bend, TX'!OSRRefB13_1_1x_3</vt:lpstr>
      <vt:lpstr>'Fort Bend, TX'!OSRRefB13_1_1x_4</vt:lpstr>
      <vt:lpstr>'Fort Bend, TX'!OSRRefB13_1_1x_5</vt:lpstr>
      <vt:lpstr>'Fort Bend, TX'!OSRRefB13_1_1x_6</vt:lpstr>
      <vt:lpstr>'Fort Bend, TX'!OSRRefB13_1_1x_7</vt:lpstr>
      <vt:lpstr>'Fort Bend, TX'!OSRRefB13_1_1x_8</vt:lpstr>
      <vt:lpstr>'Fort Bend, TX'!OSRRefB13_1_1x_9</vt:lpstr>
      <vt:lpstr>'Fort Bend, TX'!OSRRefB13_2_0x_0</vt:lpstr>
      <vt:lpstr>'Fort Bend, TX'!OSRRefB13_2_0x_1</vt:lpstr>
      <vt:lpstr>'Fort Bend, TX'!OSRRefB13_2_0x_10</vt:lpstr>
      <vt:lpstr>'Fort Bend, TX'!OSRRefB13_2_0x_11</vt:lpstr>
      <vt:lpstr>'Fort Bend, TX'!OSRRefB13_2_0x_2</vt:lpstr>
      <vt:lpstr>'Fort Bend, TX'!OSRRefB13_2_0x_3</vt:lpstr>
      <vt:lpstr>'Fort Bend, TX'!OSRRefB13_2_0x_4</vt:lpstr>
      <vt:lpstr>'Fort Bend, TX'!OSRRefB13_2_0x_5</vt:lpstr>
      <vt:lpstr>'Fort Bend, TX'!OSRRefB13_2_0x_6</vt:lpstr>
      <vt:lpstr>'Fort Bend, TX'!OSRRefB13_2_0x_7</vt:lpstr>
      <vt:lpstr>'Fort Bend, TX'!OSRRefB13_2_0x_8</vt:lpstr>
      <vt:lpstr>'Fort Bend, TX'!OSRRefB13_2_0x_9</vt:lpstr>
      <vt:lpstr>'Fort Bend, TX'!OSRRefB13_3_0x_0</vt:lpstr>
      <vt:lpstr>'Fort Bend, TX'!OSRRefB13_3_0x_1</vt:lpstr>
      <vt:lpstr>'Fort Bend, TX'!OSRRefB13_3_0x_10</vt:lpstr>
      <vt:lpstr>'Fort Bend, TX'!OSRRefB13_3_0x_11</vt:lpstr>
      <vt:lpstr>'Fort Bend, TX'!OSRRefB13_3_0x_2</vt:lpstr>
      <vt:lpstr>'Fort Bend, TX'!OSRRefB13_3_0x_3</vt:lpstr>
      <vt:lpstr>'Fort Bend, TX'!OSRRefB13_3_0x_4</vt:lpstr>
      <vt:lpstr>'Fort Bend, TX'!OSRRefB13_3_0x_5</vt:lpstr>
      <vt:lpstr>'Fort Bend, TX'!OSRRefB13_3_0x_6</vt:lpstr>
      <vt:lpstr>'Fort Bend, TX'!OSRRefB13_3_0x_7</vt:lpstr>
      <vt:lpstr>'Fort Bend, TX'!OSRRefB13_3_0x_8</vt:lpstr>
      <vt:lpstr>'Fort Bend, TX'!OSRRefB13_3_0x_9</vt:lpstr>
      <vt:lpstr>'Fort Bend, TX'!OSRRefB14_0x_0</vt:lpstr>
      <vt:lpstr>'Fort Bend, TX'!OSRRefB14_0x_1</vt:lpstr>
      <vt:lpstr>'Fort Bend, TX'!OSRRefB14_0x_10</vt:lpstr>
      <vt:lpstr>'Fort Bend, TX'!OSRRefB14_0x_11</vt:lpstr>
      <vt:lpstr>'Fort Bend, TX'!OSRRefB14_0x_2</vt:lpstr>
      <vt:lpstr>'Fort Bend, TX'!OSRRefB14_0x_3</vt:lpstr>
      <vt:lpstr>'Fort Bend, TX'!OSRRefB14_0x_4</vt:lpstr>
      <vt:lpstr>'Fort Bend, TX'!OSRRefB14_0x_5</vt:lpstr>
      <vt:lpstr>'Fort Bend, TX'!OSRRefB14_0x_6</vt:lpstr>
      <vt:lpstr>'Fort Bend, TX'!OSRRefB14_0x_7</vt:lpstr>
      <vt:lpstr>'Fort Bend, TX'!OSRRefB14_0x_8</vt:lpstr>
      <vt:lpstr>'Fort Bend, TX'!OSRRefB14_0x_9</vt:lpstr>
      <vt:lpstr>'Fort Bend, TX'!OSRRefB14_1x_0</vt:lpstr>
      <vt:lpstr>'Fort Bend, TX'!OSRRefB14_1x_1</vt:lpstr>
      <vt:lpstr>'Fort Bend, TX'!OSRRefB14_1x_10</vt:lpstr>
      <vt:lpstr>'Fort Bend, TX'!OSRRefB14_1x_11</vt:lpstr>
      <vt:lpstr>'Fort Bend, TX'!OSRRefB14_1x_2</vt:lpstr>
      <vt:lpstr>'Fort Bend, TX'!OSRRefB14_1x_3</vt:lpstr>
      <vt:lpstr>'Fort Bend, TX'!OSRRefB14_1x_4</vt:lpstr>
      <vt:lpstr>'Fort Bend, TX'!OSRRefB14_1x_5</vt:lpstr>
      <vt:lpstr>'Fort Bend, TX'!OSRRefB14_1x_6</vt:lpstr>
      <vt:lpstr>'Fort Bend, TX'!OSRRefB14_1x_7</vt:lpstr>
      <vt:lpstr>'Fort Bend, TX'!OSRRefB14_1x_8</vt:lpstr>
      <vt:lpstr>'Fort Bend, TX'!OSRRefB14_1x_9</vt:lpstr>
      <vt:lpstr>'Fort Bend, TX'!OSRRefB14_2x_0</vt:lpstr>
      <vt:lpstr>'Fort Bend, TX'!OSRRefB14_2x_1</vt:lpstr>
      <vt:lpstr>'Fort Bend, TX'!OSRRefB14_2x_10</vt:lpstr>
      <vt:lpstr>'Fort Bend, TX'!OSRRefB14_2x_11</vt:lpstr>
      <vt:lpstr>'Fort Bend, TX'!OSRRefB14_2x_2</vt:lpstr>
      <vt:lpstr>'Fort Bend, TX'!OSRRefB14_2x_3</vt:lpstr>
      <vt:lpstr>'Fort Bend, TX'!OSRRefB14_2x_4</vt:lpstr>
      <vt:lpstr>'Fort Bend, TX'!OSRRefB14_2x_5</vt:lpstr>
      <vt:lpstr>'Fort Bend, TX'!OSRRefB14_2x_6</vt:lpstr>
      <vt:lpstr>'Fort Bend, TX'!OSRRefB14_2x_7</vt:lpstr>
      <vt:lpstr>'Fort Bend, TX'!OSRRefB14_2x_8</vt:lpstr>
      <vt:lpstr>'Fort Bend, TX'!OSRRefB14_2x_9</vt:lpstr>
      <vt:lpstr>'Fort Bend, TX'!OSRRefB14_3x_0</vt:lpstr>
      <vt:lpstr>'Fort Bend, TX'!OSRRefB14_3x_1</vt:lpstr>
      <vt:lpstr>'Fort Bend, TX'!OSRRefB14_3x_10</vt:lpstr>
      <vt:lpstr>'Fort Bend, TX'!OSRRefB14_3x_11</vt:lpstr>
      <vt:lpstr>'Fort Bend, TX'!OSRRefB14_3x_2</vt:lpstr>
      <vt:lpstr>'Fort Bend, TX'!OSRRefB14_3x_3</vt:lpstr>
      <vt:lpstr>'Fort Bend, TX'!OSRRefB14_3x_4</vt:lpstr>
      <vt:lpstr>'Fort Bend, TX'!OSRRefB14_3x_5</vt:lpstr>
      <vt:lpstr>'Fort Bend, TX'!OSRRefB14_3x_6</vt:lpstr>
      <vt:lpstr>'Fort Bend, TX'!OSRRefB14_3x_7</vt:lpstr>
      <vt:lpstr>'Fort Bend, TX'!OSRRefB14_3x_8</vt:lpstr>
      <vt:lpstr>'Fort Bend, TX'!OSRRefB14_3x_9</vt:lpstr>
      <vt:lpstr>'Fort Bend, TX'!OSRRefB15x_0</vt:lpstr>
      <vt:lpstr>'Fort Bend, TX'!OSRRefB15x_1</vt:lpstr>
      <vt:lpstr>'Fort Bend, TX'!OSRRefB15x_10</vt:lpstr>
      <vt:lpstr>'Fort Bend, TX'!OSRRefB15x_11</vt:lpstr>
      <vt:lpstr>'Fort Bend, TX'!OSRRefB15x_2</vt:lpstr>
      <vt:lpstr>'Fort Bend, TX'!OSRRefB15x_3</vt:lpstr>
      <vt:lpstr>'Fort Bend, TX'!OSRRefB15x_4</vt:lpstr>
      <vt:lpstr>'Fort Bend, TX'!OSRRefB15x_5</vt:lpstr>
      <vt:lpstr>'Fort Bend, TX'!OSRRefB15x_6</vt:lpstr>
      <vt:lpstr>'Fort Bend, TX'!OSRRefB15x_7</vt:lpstr>
      <vt:lpstr>'Fort Bend, TX'!OSRRefB15x_8</vt:lpstr>
      <vt:lpstr>'Fort Bend, TX'!OSRRefB15x_9</vt:lpstr>
      <vt:lpstr>'Fort Bend, TX'!OSRRefB17x_0</vt:lpstr>
      <vt:lpstr>'Fort Bend, TX'!OSRRefB17x_1</vt:lpstr>
      <vt:lpstr>'Fort Bend, TX'!OSRRefB17x_10</vt:lpstr>
      <vt:lpstr>'Fort Bend, TX'!OSRRefB17x_11</vt:lpstr>
      <vt:lpstr>'Fort Bend, TX'!OSRRefB17x_2</vt:lpstr>
      <vt:lpstr>'Fort Bend, TX'!OSRRefB17x_3</vt:lpstr>
      <vt:lpstr>'Fort Bend, TX'!OSRRefB17x_4</vt:lpstr>
      <vt:lpstr>'Fort Bend, TX'!OSRRefB17x_5</vt:lpstr>
      <vt:lpstr>'Fort Bend, TX'!OSRRefB17x_6</vt:lpstr>
      <vt:lpstr>'Fort Bend, TX'!OSRRefB17x_7</vt:lpstr>
      <vt:lpstr>'Fort Bend, TX'!OSRRefB17x_8</vt:lpstr>
      <vt:lpstr>'Fort Bend, TX'!OSRRefB17x_9</vt:lpstr>
      <vt:lpstr>'Fort Bend, TX'!OSRRefB20_0_0x_0</vt:lpstr>
      <vt:lpstr>'Fort Bend, TX'!OSRRefB20_0_0x_1</vt:lpstr>
      <vt:lpstr>'Fort Bend, TX'!OSRRefB20_0_0x_10</vt:lpstr>
      <vt:lpstr>'Fort Bend, TX'!OSRRefB20_0_0x_11</vt:lpstr>
      <vt:lpstr>'Fort Bend, TX'!OSRRefB20_0_0x_2</vt:lpstr>
      <vt:lpstr>'Fort Bend, TX'!OSRRefB20_0_0x_3</vt:lpstr>
      <vt:lpstr>'Fort Bend, TX'!OSRRefB20_0_0x_4</vt:lpstr>
      <vt:lpstr>'Fort Bend, TX'!OSRRefB20_0_0x_5</vt:lpstr>
      <vt:lpstr>'Fort Bend, TX'!OSRRefB20_0_0x_6</vt:lpstr>
      <vt:lpstr>'Fort Bend, TX'!OSRRefB20_0_0x_7</vt:lpstr>
      <vt:lpstr>'Fort Bend, TX'!OSRRefB20_0_0x_8</vt:lpstr>
      <vt:lpstr>'Fort Bend, TX'!OSRRefB20_0_0x_9</vt:lpstr>
      <vt:lpstr>'Fort Bend, TX'!OSRRefB20_0_1x_0</vt:lpstr>
      <vt:lpstr>'Fort Bend, TX'!OSRRefB20_0_1x_1</vt:lpstr>
      <vt:lpstr>'Fort Bend, TX'!OSRRefB20_0_1x_10</vt:lpstr>
      <vt:lpstr>'Fort Bend, TX'!OSRRefB20_0_1x_11</vt:lpstr>
      <vt:lpstr>'Fort Bend, TX'!OSRRefB20_0_1x_2</vt:lpstr>
      <vt:lpstr>'Fort Bend, TX'!OSRRefB20_0_1x_3</vt:lpstr>
      <vt:lpstr>'Fort Bend, TX'!OSRRefB20_0_1x_4</vt:lpstr>
      <vt:lpstr>'Fort Bend, TX'!OSRRefB20_0_1x_5</vt:lpstr>
      <vt:lpstr>'Fort Bend, TX'!OSRRefB20_0_1x_6</vt:lpstr>
      <vt:lpstr>'Fort Bend, TX'!OSRRefB20_0_1x_7</vt:lpstr>
      <vt:lpstr>'Fort Bend, TX'!OSRRefB20_0_1x_8</vt:lpstr>
      <vt:lpstr>'Fort Bend, TX'!OSRRefB20_0_1x_9</vt:lpstr>
      <vt:lpstr>'Fort Bend, TX'!OSRRefB20_0_2x_0</vt:lpstr>
      <vt:lpstr>'Fort Bend, TX'!OSRRefB20_0_2x_1</vt:lpstr>
      <vt:lpstr>'Fort Bend, TX'!OSRRefB20_0_2x_10</vt:lpstr>
      <vt:lpstr>'Fort Bend, TX'!OSRRefB20_0_2x_11</vt:lpstr>
      <vt:lpstr>'Fort Bend, TX'!OSRRefB20_0_2x_2</vt:lpstr>
      <vt:lpstr>'Fort Bend, TX'!OSRRefB20_0_2x_3</vt:lpstr>
      <vt:lpstr>'Fort Bend, TX'!OSRRefB20_0_2x_4</vt:lpstr>
      <vt:lpstr>'Fort Bend, TX'!OSRRefB20_0_2x_5</vt:lpstr>
      <vt:lpstr>'Fort Bend, TX'!OSRRefB20_0_2x_6</vt:lpstr>
      <vt:lpstr>'Fort Bend, TX'!OSRRefB20_0_2x_7</vt:lpstr>
      <vt:lpstr>'Fort Bend, TX'!OSRRefB20_0_2x_8</vt:lpstr>
      <vt:lpstr>'Fort Bend, TX'!OSRRefB20_0_2x_9</vt:lpstr>
      <vt:lpstr>'Fort Bend, TX'!OSRRefB21_0x_0</vt:lpstr>
      <vt:lpstr>'Fort Bend, TX'!OSRRefB21_0x_1</vt:lpstr>
      <vt:lpstr>'Fort Bend, TX'!OSRRefB21_0x_10</vt:lpstr>
      <vt:lpstr>'Fort Bend, TX'!OSRRefB21_0x_11</vt:lpstr>
      <vt:lpstr>'Fort Bend, TX'!OSRRefB21_0x_2</vt:lpstr>
      <vt:lpstr>'Fort Bend, TX'!OSRRefB21_0x_3</vt:lpstr>
      <vt:lpstr>'Fort Bend, TX'!OSRRefB21_0x_4</vt:lpstr>
      <vt:lpstr>'Fort Bend, TX'!OSRRefB21_0x_5</vt:lpstr>
      <vt:lpstr>'Fort Bend, TX'!OSRRefB21_0x_6</vt:lpstr>
      <vt:lpstr>'Fort Bend, TX'!OSRRefB21_0x_7</vt:lpstr>
      <vt:lpstr>'Fort Bend, TX'!OSRRefB21_0x_8</vt:lpstr>
      <vt:lpstr>'Fort Bend, TX'!OSRRefB21_0x_9</vt:lpstr>
      <vt:lpstr>'Fort Bend, TX'!OSRRefB22x_0</vt:lpstr>
      <vt:lpstr>'Fort Bend, TX'!OSRRefB22x_1</vt:lpstr>
      <vt:lpstr>'Fort Bend, TX'!OSRRefB22x_10</vt:lpstr>
      <vt:lpstr>'Fort Bend, TX'!OSRRefB22x_11</vt:lpstr>
      <vt:lpstr>'Fort Bend, TX'!OSRRefB22x_2</vt:lpstr>
      <vt:lpstr>'Fort Bend, TX'!OSRRefB22x_3</vt:lpstr>
      <vt:lpstr>'Fort Bend, TX'!OSRRefB22x_4</vt:lpstr>
      <vt:lpstr>'Fort Bend, TX'!OSRRefB22x_5</vt:lpstr>
      <vt:lpstr>'Fort Bend, TX'!OSRRefB22x_6</vt:lpstr>
      <vt:lpstr>'Fort Bend, TX'!OSRRefB22x_7</vt:lpstr>
      <vt:lpstr>'Fort Bend, TX'!OSRRefB22x_8</vt:lpstr>
      <vt:lpstr>'Fort Bend, TX'!OSRRefB22x_9</vt:lpstr>
      <vt:lpstr>'Fort Bend, TX'!OSRRefB27_0_0x_0</vt:lpstr>
      <vt:lpstr>'Fort Bend, TX'!OSRRefB27_0_0x_1</vt:lpstr>
      <vt:lpstr>'Fort Bend, TX'!OSRRefB27_0_0x_10</vt:lpstr>
      <vt:lpstr>'Fort Bend, TX'!OSRRefB27_0_0x_11</vt:lpstr>
      <vt:lpstr>'Fort Bend, TX'!OSRRefB27_0_0x_2</vt:lpstr>
      <vt:lpstr>'Fort Bend, TX'!OSRRefB27_0_0x_3</vt:lpstr>
      <vt:lpstr>'Fort Bend, TX'!OSRRefB27_0_0x_4</vt:lpstr>
      <vt:lpstr>'Fort Bend, TX'!OSRRefB27_0_0x_5</vt:lpstr>
      <vt:lpstr>'Fort Bend, TX'!OSRRefB27_0_0x_6</vt:lpstr>
      <vt:lpstr>'Fort Bend, TX'!OSRRefB27_0_0x_7</vt:lpstr>
      <vt:lpstr>'Fort Bend, TX'!OSRRefB27_0_0x_8</vt:lpstr>
      <vt:lpstr>'Fort Bend, TX'!OSRRefB27_0_0x_9</vt:lpstr>
      <vt:lpstr>'Fort Bend, TX'!OSRRefB28_0x_0</vt:lpstr>
      <vt:lpstr>'Fort Bend, TX'!OSRRefB28_0x_1</vt:lpstr>
      <vt:lpstr>'Fort Bend, TX'!OSRRefB28_0x_10</vt:lpstr>
      <vt:lpstr>'Fort Bend, TX'!OSRRefB28_0x_11</vt:lpstr>
      <vt:lpstr>'Fort Bend, TX'!OSRRefB28_0x_2</vt:lpstr>
      <vt:lpstr>'Fort Bend, TX'!OSRRefB28_0x_3</vt:lpstr>
      <vt:lpstr>'Fort Bend, TX'!OSRRefB28_0x_4</vt:lpstr>
      <vt:lpstr>'Fort Bend, TX'!OSRRefB28_0x_5</vt:lpstr>
      <vt:lpstr>'Fort Bend, TX'!OSRRefB28_0x_6</vt:lpstr>
      <vt:lpstr>'Fort Bend, TX'!OSRRefB28_0x_7</vt:lpstr>
      <vt:lpstr>'Fort Bend, TX'!OSRRefB28_0x_8</vt:lpstr>
      <vt:lpstr>'Fort Bend, TX'!OSRRefB28_0x_9</vt:lpstr>
      <vt:lpstr>'Fort Bend, TX'!OSRRefB6_0_0x_0</vt:lpstr>
      <vt:lpstr>'Fort Bend, TX'!OSRRefB6_0_0x_1</vt:lpstr>
      <vt:lpstr>'Fort Bend, TX'!OSRRefB6_0_0x_10</vt:lpstr>
      <vt:lpstr>'Fort Bend, TX'!OSRRefB6_0_0x_11</vt:lpstr>
      <vt:lpstr>'Fort Bend, TX'!OSRRefB6_0_0x_2</vt:lpstr>
      <vt:lpstr>'Fort Bend, TX'!OSRRefB6_0_0x_3</vt:lpstr>
      <vt:lpstr>'Fort Bend, TX'!OSRRefB6_0_0x_4</vt:lpstr>
      <vt:lpstr>'Fort Bend, TX'!OSRRefB6_0_0x_5</vt:lpstr>
      <vt:lpstr>'Fort Bend, TX'!OSRRefB6_0_0x_6</vt:lpstr>
      <vt:lpstr>'Fort Bend, TX'!OSRRefB6_0_0x_7</vt:lpstr>
      <vt:lpstr>'Fort Bend, TX'!OSRRefB6_0_0x_8</vt:lpstr>
      <vt:lpstr>'Fort Bend, TX'!OSRRefB6_0_0x_9</vt:lpstr>
      <vt:lpstr>'Fort Bend, TX'!OSRRefB6_1_0x_0</vt:lpstr>
      <vt:lpstr>'Fort Bend, TX'!OSRRefB6_1_0x_1</vt:lpstr>
      <vt:lpstr>'Fort Bend, TX'!OSRRefB6_1_0x_10</vt:lpstr>
      <vt:lpstr>'Fort Bend, TX'!OSRRefB6_1_0x_11</vt:lpstr>
      <vt:lpstr>'Fort Bend, TX'!OSRRefB6_1_0x_2</vt:lpstr>
      <vt:lpstr>'Fort Bend, TX'!OSRRefB6_1_0x_3</vt:lpstr>
      <vt:lpstr>'Fort Bend, TX'!OSRRefB6_1_0x_4</vt:lpstr>
      <vt:lpstr>'Fort Bend, TX'!OSRRefB6_1_0x_5</vt:lpstr>
      <vt:lpstr>'Fort Bend, TX'!OSRRefB6_1_0x_6</vt:lpstr>
      <vt:lpstr>'Fort Bend, TX'!OSRRefB6_1_0x_7</vt:lpstr>
      <vt:lpstr>'Fort Bend, TX'!OSRRefB6_1_0x_8</vt:lpstr>
      <vt:lpstr>'Fort Bend, TX'!OSRRefB6_1_0x_9</vt:lpstr>
      <vt:lpstr>'Fort Bend, TX'!OSRRefB6_2_0x_0</vt:lpstr>
      <vt:lpstr>'Fort Bend, TX'!OSRRefB6_2_0x_1</vt:lpstr>
      <vt:lpstr>'Fort Bend, TX'!OSRRefB6_2_0x_10</vt:lpstr>
      <vt:lpstr>'Fort Bend, TX'!OSRRefB6_2_0x_11</vt:lpstr>
      <vt:lpstr>'Fort Bend, TX'!OSRRefB6_2_0x_2</vt:lpstr>
      <vt:lpstr>'Fort Bend, TX'!OSRRefB6_2_0x_3</vt:lpstr>
      <vt:lpstr>'Fort Bend, TX'!OSRRefB6_2_0x_4</vt:lpstr>
      <vt:lpstr>'Fort Bend, TX'!OSRRefB6_2_0x_5</vt:lpstr>
      <vt:lpstr>'Fort Bend, TX'!OSRRefB6_2_0x_6</vt:lpstr>
      <vt:lpstr>'Fort Bend, TX'!OSRRefB6_2_0x_7</vt:lpstr>
      <vt:lpstr>'Fort Bend, TX'!OSRRefB6_2_0x_8</vt:lpstr>
      <vt:lpstr>'Fort Bend, TX'!OSRRefB6_2_0x_9</vt:lpstr>
      <vt:lpstr>'Fort Bend, TX'!OSRRefB6_2_1x_0</vt:lpstr>
      <vt:lpstr>'Fort Bend, TX'!OSRRefB6_2_1x_1</vt:lpstr>
      <vt:lpstr>'Fort Bend, TX'!OSRRefB6_2_1x_10</vt:lpstr>
      <vt:lpstr>'Fort Bend, TX'!OSRRefB6_2_1x_11</vt:lpstr>
      <vt:lpstr>'Fort Bend, TX'!OSRRefB6_2_1x_2</vt:lpstr>
      <vt:lpstr>'Fort Bend, TX'!OSRRefB6_2_1x_3</vt:lpstr>
      <vt:lpstr>'Fort Bend, TX'!OSRRefB6_2_1x_4</vt:lpstr>
      <vt:lpstr>'Fort Bend, TX'!OSRRefB6_2_1x_5</vt:lpstr>
      <vt:lpstr>'Fort Bend, TX'!OSRRefB6_2_1x_6</vt:lpstr>
      <vt:lpstr>'Fort Bend, TX'!OSRRefB6_2_1x_7</vt:lpstr>
      <vt:lpstr>'Fort Bend, TX'!OSRRefB6_2_1x_8</vt:lpstr>
      <vt:lpstr>'Fort Bend, TX'!OSRRefB6_2_1x_9</vt:lpstr>
      <vt:lpstr>'Fort Bend, TX'!OSRRefB6_2_2x_0</vt:lpstr>
      <vt:lpstr>'Fort Bend, TX'!OSRRefB6_2_2x_1</vt:lpstr>
      <vt:lpstr>'Fort Bend, TX'!OSRRefB6_2_2x_10</vt:lpstr>
      <vt:lpstr>'Fort Bend, TX'!OSRRefB6_2_2x_11</vt:lpstr>
      <vt:lpstr>'Fort Bend, TX'!OSRRefB6_2_2x_2</vt:lpstr>
      <vt:lpstr>'Fort Bend, TX'!OSRRefB6_2_2x_3</vt:lpstr>
      <vt:lpstr>'Fort Bend, TX'!OSRRefB6_2_2x_4</vt:lpstr>
      <vt:lpstr>'Fort Bend, TX'!OSRRefB6_2_2x_5</vt:lpstr>
      <vt:lpstr>'Fort Bend, TX'!OSRRefB6_2_2x_6</vt:lpstr>
      <vt:lpstr>'Fort Bend, TX'!OSRRefB6_2_2x_7</vt:lpstr>
      <vt:lpstr>'Fort Bend, TX'!OSRRefB6_2_2x_8</vt:lpstr>
      <vt:lpstr>'Fort Bend, TX'!OSRRefB6_2_2x_9</vt:lpstr>
      <vt:lpstr>'Fort Bend, TX'!OSRRefB6_2_3x_0</vt:lpstr>
      <vt:lpstr>'Fort Bend, TX'!OSRRefB6_2_3x_1</vt:lpstr>
      <vt:lpstr>'Fort Bend, TX'!OSRRefB6_2_3x_10</vt:lpstr>
      <vt:lpstr>'Fort Bend, TX'!OSRRefB6_2_3x_11</vt:lpstr>
      <vt:lpstr>'Fort Bend, TX'!OSRRefB6_2_3x_2</vt:lpstr>
      <vt:lpstr>'Fort Bend, TX'!OSRRefB6_2_3x_3</vt:lpstr>
      <vt:lpstr>'Fort Bend, TX'!OSRRefB6_2_3x_4</vt:lpstr>
      <vt:lpstr>'Fort Bend, TX'!OSRRefB6_2_3x_5</vt:lpstr>
      <vt:lpstr>'Fort Bend, TX'!OSRRefB6_2_3x_6</vt:lpstr>
      <vt:lpstr>'Fort Bend, TX'!OSRRefB6_2_3x_7</vt:lpstr>
      <vt:lpstr>'Fort Bend, TX'!OSRRefB6_2_3x_8</vt:lpstr>
      <vt:lpstr>'Fort Bend, TX'!OSRRefB6_2_3x_9</vt:lpstr>
      <vt:lpstr>'Fort Bend, TX'!OSRRefB6_3_0x_0</vt:lpstr>
      <vt:lpstr>'Fort Bend, TX'!OSRRefB6_3_0x_1</vt:lpstr>
      <vt:lpstr>'Fort Bend, TX'!OSRRefB6_3_0x_10</vt:lpstr>
      <vt:lpstr>'Fort Bend, TX'!OSRRefB6_3_0x_11</vt:lpstr>
      <vt:lpstr>'Fort Bend, TX'!OSRRefB6_3_0x_2</vt:lpstr>
      <vt:lpstr>'Fort Bend, TX'!OSRRefB6_3_0x_3</vt:lpstr>
      <vt:lpstr>'Fort Bend, TX'!OSRRefB6_3_0x_4</vt:lpstr>
      <vt:lpstr>'Fort Bend, TX'!OSRRefB6_3_0x_5</vt:lpstr>
      <vt:lpstr>'Fort Bend, TX'!OSRRefB6_3_0x_6</vt:lpstr>
      <vt:lpstr>'Fort Bend, TX'!OSRRefB6_3_0x_7</vt:lpstr>
      <vt:lpstr>'Fort Bend, TX'!OSRRefB6_3_0x_8</vt:lpstr>
      <vt:lpstr>'Fort Bend, TX'!OSRRefB6_3_0x_9</vt:lpstr>
      <vt:lpstr>'Fort Bend, TX'!OSRRefB6_4_0x_0</vt:lpstr>
      <vt:lpstr>'Fort Bend, TX'!OSRRefB6_4_0x_1</vt:lpstr>
      <vt:lpstr>'Fort Bend, TX'!OSRRefB6_4_0x_10</vt:lpstr>
      <vt:lpstr>'Fort Bend, TX'!OSRRefB6_4_0x_11</vt:lpstr>
      <vt:lpstr>'Fort Bend, TX'!OSRRefB6_4_0x_2</vt:lpstr>
      <vt:lpstr>'Fort Bend, TX'!OSRRefB6_4_0x_3</vt:lpstr>
      <vt:lpstr>'Fort Bend, TX'!OSRRefB6_4_0x_4</vt:lpstr>
      <vt:lpstr>'Fort Bend, TX'!OSRRefB6_4_0x_5</vt:lpstr>
      <vt:lpstr>'Fort Bend, TX'!OSRRefB6_4_0x_6</vt:lpstr>
      <vt:lpstr>'Fort Bend, TX'!OSRRefB6_4_0x_7</vt:lpstr>
      <vt:lpstr>'Fort Bend, TX'!OSRRefB6_4_0x_8</vt:lpstr>
      <vt:lpstr>'Fort Bend, TX'!OSRRefB6_4_0x_9</vt:lpstr>
      <vt:lpstr>'Fort Bend, TX'!OSRRefB7_0x_0</vt:lpstr>
      <vt:lpstr>'Fort Bend, TX'!OSRRefB7_0x_1</vt:lpstr>
      <vt:lpstr>'Fort Bend, TX'!OSRRefB7_0x_10</vt:lpstr>
      <vt:lpstr>'Fort Bend, TX'!OSRRefB7_0x_11</vt:lpstr>
      <vt:lpstr>'Fort Bend, TX'!OSRRefB7_0x_2</vt:lpstr>
      <vt:lpstr>'Fort Bend, TX'!OSRRefB7_0x_3</vt:lpstr>
      <vt:lpstr>'Fort Bend, TX'!OSRRefB7_0x_4</vt:lpstr>
      <vt:lpstr>'Fort Bend, TX'!OSRRefB7_0x_5</vt:lpstr>
      <vt:lpstr>'Fort Bend, TX'!OSRRefB7_0x_6</vt:lpstr>
      <vt:lpstr>'Fort Bend, TX'!OSRRefB7_0x_7</vt:lpstr>
      <vt:lpstr>'Fort Bend, TX'!OSRRefB7_0x_8</vt:lpstr>
      <vt:lpstr>'Fort Bend, TX'!OSRRefB7_0x_9</vt:lpstr>
      <vt:lpstr>'Fort Bend, TX'!OSRRefB7_1x_0</vt:lpstr>
      <vt:lpstr>'Fort Bend, TX'!OSRRefB7_1x_1</vt:lpstr>
      <vt:lpstr>'Fort Bend, TX'!OSRRefB7_1x_10</vt:lpstr>
      <vt:lpstr>'Fort Bend, TX'!OSRRefB7_1x_11</vt:lpstr>
      <vt:lpstr>'Fort Bend, TX'!OSRRefB7_1x_2</vt:lpstr>
      <vt:lpstr>'Fort Bend, TX'!OSRRefB7_1x_3</vt:lpstr>
      <vt:lpstr>'Fort Bend, TX'!OSRRefB7_1x_4</vt:lpstr>
      <vt:lpstr>'Fort Bend, TX'!OSRRefB7_1x_5</vt:lpstr>
      <vt:lpstr>'Fort Bend, TX'!OSRRefB7_1x_6</vt:lpstr>
      <vt:lpstr>'Fort Bend, TX'!OSRRefB7_1x_7</vt:lpstr>
      <vt:lpstr>'Fort Bend, TX'!OSRRefB7_1x_8</vt:lpstr>
      <vt:lpstr>'Fort Bend, TX'!OSRRefB7_1x_9</vt:lpstr>
      <vt:lpstr>'Fort Bend, TX'!OSRRefB7_2x_0</vt:lpstr>
      <vt:lpstr>'Fort Bend, TX'!OSRRefB7_2x_1</vt:lpstr>
      <vt:lpstr>'Fort Bend, TX'!OSRRefB7_2x_10</vt:lpstr>
      <vt:lpstr>'Fort Bend, TX'!OSRRefB7_2x_11</vt:lpstr>
      <vt:lpstr>'Fort Bend, TX'!OSRRefB7_2x_2</vt:lpstr>
      <vt:lpstr>'Fort Bend, TX'!OSRRefB7_2x_3</vt:lpstr>
      <vt:lpstr>'Fort Bend, TX'!OSRRefB7_2x_4</vt:lpstr>
      <vt:lpstr>'Fort Bend, TX'!OSRRefB7_2x_5</vt:lpstr>
      <vt:lpstr>'Fort Bend, TX'!OSRRefB7_2x_6</vt:lpstr>
      <vt:lpstr>'Fort Bend, TX'!OSRRefB7_2x_7</vt:lpstr>
      <vt:lpstr>'Fort Bend, TX'!OSRRefB7_2x_8</vt:lpstr>
      <vt:lpstr>'Fort Bend, TX'!OSRRefB7_2x_9</vt:lpstr>
      <vt:lpstr>'Fort Bend, TX'!OSRRefB7_3x_0</vt:lpstr>
      <vt:lpstr>'Fort Bend, TX'!OSRRefB7_3x_1</vt:lpstr>
      <vt:lpstr>'Fort Bend, TX'!OSRRefB7_3x_10</vt:lpstr>
      <vt:lpstr>'Fort Bend, TX'!OSRRefB7_3x_11</vt:lpstr>
      <vt:lpstr>'Fort Bend, TX'!OSRRefB7_3x_2</vt:lpstr>
      <vt:lpstr>'Fort Bend, TX'!OSRRefB7_3x_3</vt:lpstr>
      <vt:lpstr>'Fort Bend, TX'!OSRRefB7_3x_4</vt:lpstr>
      <vt:lpstr>'Fort Bend, TX'!OSRRefB7_3x_5</vt:lpstr>
      <vt:lpstr>'Fort Bend, TX'!OSRRefB7_3x_6</vt:lpstr>
      <vt:lpstr>'Fort Bend, TX'!OSRRefB7_3x_7</vt:lpstr>
      <vt:lpstr>'Fort Bend, TX'!OSRRefB7_3x_8</vt:lpstr>
      <vt:lpstr>'Fort Bend, TX'!OSRRefB7_3x_9</vt:lpstr>
      <vt:lpstr>'Fort Bend, TX'!OSRRefB7_4x_0</vt:lpstr>
      <vt:lpstr>'Fort Bend, TX'!OSRRefB7_4x_1</vt:lpstr>
      <vt:lpstr>'Fort Bend, TX'!OSRRefB7_4x_10</vt:lpstr>
      <vt:lpstr>'Fort Bend, TX'!OSRRefB7_4x_11</vt:lpstr>
      <vt:lpstr>'Fort Bend, TX'!OSRRefB7_4x_2</vt:lpstr>
      <vt:lpstr>'Fort Bend, TX'!OSRRefB7_4x_3</vt:lpstr>
      <vt:lpstr>'Fort Bend, TX'!OSRRefB7_4x_4</vt:lpstr>
      <vt:lpstr>'Fort Bend, TX'!OSRRefB7_4x_5</vt:lpstr>
      <vt:lpstr>'Fort Bend, TX'!OSRRefB7_4x_6</vt:lpstr>
      <vt:lpstr>'Fort Bend, TX'!OSRRefB7_4x_7</vt:lpstr>
      <vt:lpstr>'Fort Bend, TX'!OSRRefB7_4x_8</vt:lpstr>
      <vt:lpstr>'Fort Bend, TX'!OSRRefB7_4x_9</vt:lpstr>
      <vt:lpstr>'Fort Bend, TX'!OSRRefB8x_0</vt:lpstr>
      <vt:lpstr>'Fort Bend, TX'!OSRRefB8x_1</vt:lpstr>
      <vt:lpstr>'Fort Bend, TX'!OSRRefB8x_10</vt:lpstr>
      <vt:lpstr>'Fort Bend, TX'!OSRRefB8x_11</vt:lpstr>
      <vt:lpstr>'Fort Bend, TX'!OSRRefB8x_2</vt:lpstr>
      <vt:lpstr>'Fort Bend, TX'!OSRRefB8x_3</vt:lpstr>
      <vt:lpstr>'Fort Bend, TX'!OSRRefB8x_4</vt:lpstr>
      <vt:lpstr>'Fort Bend, TX'!OSRRefB8x_5</vt:lpstr>
      <vt:lpstr>'Fort Bend, TX'!OSRRefB8x_6</vt:lpstr>
      <vt:lpstr>'Fort Bend, TX'!OSRRefB8x_7</vt:lpstr>
      <vt:lpstr>'Fort Bend, TX'!OSRRefB8x_8</vt:lpstr>
      <vt:lpstr>'Fort Bend, TX'!OSRRefB8x_9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Kowalski</dc:creator>
  <cp:lastModifiedBy>Krejci, Cheryl</cp:lastModifiedBy>
  <cp:lastPrinted>2022-03-24T22:30:06Z</cp:lastPrinted>
  <dcterms:created xsi:type="dcterms:W3CDTF">2021-10-27T17:51:26Z</dcterms:created>
  <dcterms:modified xsi:type="dcterms:W3CDTF">2024-05-03T22:16:43Z</dcterms:modified>
</cp:coreProperties>
</file>