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Purchasing\BID\2025\25-001 Inmate Medical Services\R25-001.ATTACHMENTS\"/>
    </mc:Choice>
  </mc:AlternateContent>
  <bookViews>
    <workbookView xWindow="0" yWindow="0" windowWidth="21750" windowHeight="11385" tabRatio="871" firstSheet="9" activeTab="9"/>
  </bookViews>
  <sheets>
    <sheet name="Ft Bend Budget FYE15 v2" sheetId="39" state="hidden" r:id="rId1"/>
    <sheet name="CCS Budget Cost Worksheet v2 " sheetId="42" state="hidden" r:id="rId2"/>
    <sheet name="Fort Bend 753 v2" sheetId="31" state="hidden" r:id="rId3"/>
    <sheet name="Fort Bend 755" sheetId="35" state="hidden" r:id="rId4"/>
    <sheet name="Annualized Trend" sheetId="50" state="hidden" r:id="rId5"/>
    <sheet name="Off-Site (2)" sheetId="51" state="hidden" r:id="rId6"/>
    <sheet name="Insurance" sheetId="52" state="hidden" r:id="rId7"/>
    <sheet name="Pharmacy" sheetId="77" state="hidden" r:id="rId8"/>
    <sheet name="Avg salaries  memo" sheetId="49" state="hidden" r:id="rId9"/>
    <sheet name="Updated Staffing Matrix" sheetId="8" r:id="rId10"/>
    <sheet name="Cost DIfferences" sheetId="48" state="hidden" r:id="rId11"/>
    <sheet name="AVG Rates" sheetId="47" state="hidden" r:id="rId12"/>
    <sheet name="Trended Detail" sheetId="45" state="hidden" r:id="rId13"/>
    <sheet name="Off-Site" sheetId="46" state="hidden" r:id="rId14"/>
    <sheet name="New Pricing" sheetId="14" state="hidden" r:id="rId15"/>
    <sheet name="Price Form Pg 2" sheetId="27" state="hidden" r:id="rId16"/>
    <sheet name="Price Form Pg 3" sheetId="28" state="hidden" r:id="rId17"/>
    <sheet name="Price Form Pg 4" sheetId="29" state="hidden" r:id="rId18"/>
    <sheet name="Proposed Budget Year 1" sheetId="23" state="hidden" r:id="rId19"/>
    <sheet name="Proposed Budget Year 2" sheetId="26" state="hidden" r:id="rId20"/>
    <sheet name="Monthly Budget" sheetId="25" state="hidden" r:id="rId21"/>
  </sheets>
  <externalReferences>
    <externalReference r:id="rId22"/>
  </externalReferences>
  <definedNames>
    <definedName name="_1" localSheetId="3">#REF!</definedName>
    <definedName name="_1" localSheetId="0">#REF!</definedName>
    <definedName name="_1" localSheetId="13">!#REF!</definedName>
    <definedName name="_1" localSheetId="12">!#REF!</definedName>
    <definedName name="_1">#REF!</definedName>
    <definedName name="_xlnm._FilterDatabase" localSheetId="5" hidden="1">'Off-Site (2)'!$A$16:$Z$755</definedName>
    <definedName name="_Order1" hidden="1">255</definedName>
    <definedName name="_Order2" hidden="1">0</definedName>
    <definedName name="_Sort" localSheetId="3" hidden="1">#REF!</definedName>
    <definedName name="_Sort" localSheetId="0" hidden="1">#REF!</definedName>
    <definedName name="_Sort" hidden="1">#REF!</definedName>
    <definedName name="EXEMPT" localSheetId="3">#REF!</definedName>
    <definedName name="EXEMPT" localSheetId="0">#REF!</definedName>
    <definedName name="EXEMPT" localSheetId="13">!#REF!</definedName>
    <definedName name="EXEMPT" localSheetId="12">!#REF!</definedName>
    <definedName name="EXEMPT">#REF!</definedName>
    <definedName name="OSRRefB13_0_0x_0" localSheetId="4">'Annualized Trend'!#REF!</definedName>
    <definedName name="OSRRefB13_0_0x_1" localSheetId="4">'Annualized Trend'!$C$8:$C$30</definedName>
    <definedName name="OSRRefB13_0_0x_2" localSheetId="4">'Annualized Trend'!$D$8:$D$30</definedName>
    <definedName name="OSRRefB13_0_0x_3" localSheetId="4">'Annualized Trend'!$E$8:$E$30</definedName>
    <definedName name="OSRRefB13_0_0x_4" localSheetId="4">'Annualized Trend'!$F$8:$F$30</definedName>
    <definedName name="OSRRefB13_1_0x_0" localSheetId="4">'Annualized Trend'!#REF!</definedName>
    <definedName name="OSRRefB13_1_0x_1" localSheetId="4">'Annualized Trend'!$C$35:$C$42</definedName>
    <definedName name="OSRRefB13_1_0x_2" localSheetId="4">'Annualized Trend'!$D$35:$D$42</definedName>
    <definedName name="OSRRefB13_1_0x_3" localSheetId="4">'Annualized Trend'!$E$35:$E$42</definedName>
    <definedName name="OSRRefB13_1_0x_4" localSheetId="4">'Annualized Trend'!$F$35:$F$42</definedName>
    <definedName name="OSRRefB13_2_0x_0" localSheetId="4">'Annualized Trend'!#REF!</definedName>
    <definedName name="OSRRefB13_2_0x_1" localSheetId="4">'Annualized Trend'!$C$47:$C$50</definedName>
    <definedName name="OSRRefB13_2_0x_2" localSheetId="4">'Annualized Trend'!$D$47:$D$50</definedName>
    <definedName name="OSRRefB13_2_0x_3" localSheetId="4">'Annualized Trend'!$E$47:$E$50</definedName>
    <definedName name="OSRRefB13_2_0x_4" localSheetId="4">'Annualized Trend'!$F$47:$F$50</definedName>
    <definedName name="OSRRefB13_2_1x_0" localSheetId="4">'Annualized Trend'!#REF!</definedName>
    <definedName name="OSRRefB13_2_1x_1" localSheetId="4">'Annualized Trend'!$C$52:$C$59</definedName>
    <definedName name="OSRRefB13_2_1x_2" localSheetId="4">'Annualized Trend'!$D$52:$D$59</definedName>
    <definedName name="OSRRefB13_2_1x_3" localSheetId="4">'Annualized Trend'!$E$52:$E$59</definedName>
    <definedName name="OSRRefB13_2_1x_4" localSheetId="4">'Annualized Trend'!$F$52:$F$59</definedName>
    <definedName name="OSRRefB13_2_2x_0" localSheetId="4">'Annualized Trend'!#REF!</definedName>
    <definedName name="OSRRefB13_2_2x_1" localSheetId="4">'Annualized Trend'!$C$61:$C$63</definedName>
    <definedName name="OSRRefB13_2_2x_2" localSheetId="4">'Annualized Trend'!$D$61:$D$63</definedName>
    <definedName name="OSRRefB13_2_2x_3" localSheetId="4">'Annualized Trend'!$E$61:$E$63</definedName>
    <definedName name="OSRRefB13_2_2x_4" localSheetId="4">'Annualized Trend'!$F$61:$F$63</definedName>
    <definedName name="OSRRefB13_2_3x_0" localSheetId="4">'Annualized Trend'!#REF!</definedName>
    <definedName name="OSRRefB13_2_3x_1" localSheetId="4">'Annualized Trend'!$C$65:$C$68</definedName>
    <definedName name="OSRRefB13_2_3x_2" localSheetId="4">'Annualized Trend'!$D$65:$D$68</definedName>
    <definedName name="OSRRefB13_2_3x_3" localSheetId="4">'Annualized Trend'!$E$65:$E$68</definedName>
    <definedName name="OSRRefB13_2_3x_4" localSheetId="4">'Annualized Trend'!$F$65:$F$68</definedName>
    <definedName name="OSRRefB13_3_0x_0" localSheetId="4">'Annualized Trend'!#REF!</definedName>
    <definedName name="OSRRefB13_3_0x_1" localSheetId="4">'Annualized Trend'!$C$73:$C$83</definedName>
    <definedName name="OSRRefB13_3_0x_2" localSheetId="4">'Annualized Trend'!$D$73:$D$83</definedName>
    <definedName name="OSRRefB13_3_0x_3" localSheetId="4">'Annualized Trend'!$E$73:$E$83</definedName>
    <definedName name="OSRRefB13_3_0x_4" localSheetId="4">'Annualized Trend'!$F$73:$F$83</definedName>
    <definedName name="OSRRefB13_4_0x_0" localSheetId="4">'Annualized Trend'!#REF!</definedName>
    <definedName name="OSRRefB13_4_0x_1" localSheetId="4">'Annualized Trend'!$C$88:$C$95</definedName>
    <definedName name="OSRRefB13_4_0x_2" localSheetId="4">'Annualized Trend'!$D$88:$D$95</definedName>
    <definedName name="OSRRefB13_4_0x_3" localSheetId="4">'Annualized Trend'!$E$88:$E$95</definedName>
    <definedName name="OSRRefB13_4_0x_4" localSheetId="4">'Annualized Trend'!$F$88:$F$95</definedName>
    <definedName name="OSRRefB14_0x_0" localSheetId="4">'Annualized Trend'!#REF!</definedName>
    <definedName name="OSRRefB14_0x_1" localSheetId="4">'Annualized Trend'!$C$31</definedName>
    <definedName name="OSRRefB14_0x_2" localSheetId="4">'Annualized Trend'!$D$31</definedName>
    <definedName name="OSRRefB14_0x_3" localSheetId="4">'Annualized Trend'!$E$31</definedName>
    <definedName name="OSRRefB14_0x_4" localSheetId="4">'Annualized Trend'!$F$31</definedName>
    <definedName name="OSRRefB14_1x_0" localSheetId="4">'Annualized Trend'!#REF!</definedName>
    <definedName name="OSRRefB14_1x_1" localSheetId="4">'Annualized Trend'!$C$43</definedName>
    <definedName name="OSRRefB14_1x_2" localSheetId="4">'Annualized Trend'!$D$43</definedName>
    <definedName name="OSRRefB14_1x_3" localSheetId="4">'Annualized Trend'!$E$43</definedName>
    <definedName name="OSRRefB14_1x_4" localSheetId="4">'Annualized Trend'!$F$43</definedName>
    <definedName name="OSRRefB14_2x_0" localSheetId="4">'Annualized Trend'!#REF!,'Annualized Trend'!#REF!,'Annualized Trend'!#REF!,'Annualized Trend'!#REF!</definedName>
    <definedName name="OSRRefB14_2x_1" localSheetId="4">'Annualized Trend'!$C$51,'Annualized Trend'!$C$60,'Annualized Trend'!$C$64,'Annualized Trend'!$C$69</definedName>
    <definedName name="OSRRefB14_2x_2" localSheetId="4">'Annualized Trend'!$D$51,'Annualized Trend'!$D$60,'Annualized Trend'!$D$64,'Annualized Trend'!$D$69</definedName>
    <definedName name="OSRRefB14_2x_3" localSheetId="4">'Annualized Trend'!$E$51,'Annualized Trend'!$E$60,'Annualized Trend'!$E$64,'Annualized Trend'!$E$69</definedName>
    <definedName name="OSRRefB14_2x_4" localSheetId="4">'Annualized Trend'!$F$51,'Annualized Trend'!$F$60,'Annualized Trend'!$F$64,'Annualized Trend'!$F$69</definedName>
    <definedName name="OSRRefB14_3x_0" localSheetId="4">'Annualized Trend'!#REF!</definedName>
    <definedName name="OSRRefB14_3x_1" localSheetId="4">'Annualized Trend'!$C$84</definedName>
    <definedName name="OSRRefB14_3x_2" localSheetId="4">'Annualized Trend'!$D$84</definedName>
    <definedName name="OSRRefB14_3x_3" localSheetId="4">'Annualized Trend'!$E$84</definedName>
    <definedName name="OSRRefB14_3x_4" localSheetId="4">'Annualized Trend'!$F$84</definedName>
    <definedName name="OSRRefB14_4x_0" localSheetId="4">'Annualized Trend'!#REF!</definedName>
    <definedName name="OSRRefB14_4x_1" localSheetId="4">'Annualized Trend'!$C$96</definedName>
    <definedName name="OSRRefB14_4x_2" localSheetId="4">'Annualized Trend'!$D$96</definedName>
    <definedName name="OSRRefB14_4x_3" localSheetId="4">'Annualized Trend'!$E$96</definedName>
    <definedName name="OSRRefB14_4x_4" localSheetId="4">'Annualized Trend'!$F$96</definedName>
    <definedName name="OSRRefB15x_0" localSheetId="4">'Annualized Trend'!#REF!,'Annualized Trend'!#REF!,'Annualized Trend'!#REF!,'Annualized Trend'!#REF!,'Annualized Trend'!#REF!</definedName>
    <definedName name="OSRRefB15x_1" localSheetId="4">'Annualized Trend'!$C$32,'Annualized Trend'!$C$44,'Annualized Trend'!$C$70,'Annualized Trend'!$C$85,'Annualized Trend'!$C$97</definedName>
    <definedName name="OSRRefB15x_2" localSheetId="4">'Annualized Trend'!$D$32,'Annualized Trend'!$D$44,'Annualized Trend'!$D$70,'Annualized Trend'!$D$85,'Annualized Trend'!$D$97</definedName>
    <definedName name="OSRRefB15x_3" localSheetId="4">'Annualized Trend'!$E$32,'Annualized Trend'!$E$44,'Annualized Trend'!$E$70,'Annualized Trend'!$E$85,'Annualized Trend'!$E$97</definedName>
    <definedName name="OSRRefB15x_4" localSheetId="4">'Annualized Trend'!$F$32,'Annualized Trend'!$F$44,'Annualized Trend'!$F$70,'Annualized Trend'!$F$85,'Annualized Trend'!$F$97</definedName>
    <definedName name="OSRRefB20_0_0x_0" localSheetId="4">'Annualized Trend'!#REF!</definedName>
    <definedName name="OSRRefB20_0_0x_1" localSheetId="4">'Annualized Trend'!$C$102:$C$109</definedName>
    <definedName name="OSRRefB20_0_0x_2" localSheetId="4">'Annualized Trend'!$D$102:$D$109</definedName>
    <definedName name="OSRRefB20_0_0x_3" localSheetId="4">'Annualized Trend'!$E$102:$E$109</definedName>
    <definedName name="OSRRefB20_0_0x_4" localSheetId="4">'Annualized Trend'!$F$102:$F$109</definedName>
    <definedName name="OSRRefB20_1_0x_0" localSheetId="4">'Annualized Trend'!#REF!</definedName>
    <definedName name="OSRRefB20_1_0x_1" localSheetId="4">'Annualized Trend'!$C$114:$C$126</definedName>
    <definedName name="OSRRefB20_1_0x_2" localSheetId="4">'Annualized Trend'!$D$114:$D$126</definedName>
    <definedName name="OSRRefB20_1_0x_3" localSheetId="4">'Annualized Trend'!$E$114:$E$126</definedName>
    <definedName name="OSRRefB20_1_0x_4" localSheetId="4">'Annualized Trend'!$F$114:$F$126</definedName>
    <definedName name="OSRRefB20_2_0x_0" localSheetId="4">'Annualized Trend'!#REF!</definedName>
    <definedName name="OSRRefB20_2_0x_1" localSheetId="4">'Annualized Trend'!$C$131:$C$137</definedName>
    <definedName name="OSRRefB20_2_0x_2" localSheetId="4">'Annualized Trend'!$D$131:$D$137</definedName>
    <definedName name="OSRRefB20_2_0x_3" localSheetId="4">'Annualized Trend'!$E$131:$E$137</definedName>
    <definedName name="OSRRefB20_2_0x_4" localSheetId="4">'Annualized Trend'!$F$131:$F$137</definedName>
    <definedName name="OSRRefB20_3_0x_0" localSheetId="4">'Annualized Trend'!#REF!</definedName>
    <definedName name="OSRRefB20_3_0x_1" localSheetId="4">'Annualized Trend'!$C$142:$C$163</definedName>
    <definedName name="OSRRefB20_3_0x_2" localSheetId="4">'Annualized Trend'!$D$142:$D$163</definedName>
    <definedName name="OSRRefB20_3_0x_3" localSheetId="4">'Annualized Trend'!$E$142:$E$163</definedName>
    <definedName name="OSRRefB20_3_0x_4" localSheetId="4">'Annualized Trend'!$F$142:$F$163</definedName>
    <definedName name="OSRRefB21_0x_0" localSheetId="4">'Annualized Trend'!#REF!</definedName>
    <definedName name="OSRRefB21_0x_1" localSheetId="4">'Annualized Trend'!$C$110</definedName>
    <definedName name="OSRRefB21_0x_2" localSheetId="4">'Annualized Trend'!$D$110</definedName>
    <definedName name="OSRRefB21_0x_3" localSheetId="4">'Annualized Trend'!$E$110</definedName>
    <definedName name="OSRRefB21_0x_4" localSheetId="4">'Annualized Trend'!$F$110</definedName>
    <definedName name="OSRRefB21_1x_0" localSheetId="4">'Annualized Trend'!#REF!</definedName>
    <definedName name="OSRRefB21_1x_1" localSheetId="4">'Annualized Trend'!$C$127</definedName>
    <definedName name="OSRRefB21_1x_2" localSheetId="4">'Annualized Trend'!$D$127</definedName>
    <definedName name="OSRRefB21_1x_3" localSheetId="4">'Annualized Trend'!$E$127</definedName>
    <definedName name="OSRRefB21_1x_4" localSheetId="4">'Annualized Trend'!$F$127</definedName>
    <definedName name="OSRRefB21_2x_0" localSheetId="4">'Annualized Trend'!#REF!</definedName>
    <definedName name="OSRRefB21_2x_1" localSheetId="4">'Annualized Trend'!$C$138</definedName>
    <definedName name="OSRRefB21_2x_2" localSheetId="4">'Annualized Trend'!$D$138</definedName>
    <definedName name="OSRRefB21_2x_3" localSheetId="4">'Annualized Trend'!$E$138</definedName>
    <definedName name="OSRRefB21_2x_4" localSheetId="4">'Annualized Trend'!$F$138</definedName>
    <definedName name="OSRRefB21_3x_0" localSheetId="4">'Annualized Trend'!#REF!</definedName>
    <definedName name="OSRRefB21_3x_1" localSheetId="4">'Annualized Trend'!$C$164</definedName>
    <definedName name="OSRRefB21_3x_2" localSheetId="4">'Annualized Trend'!$D$164</definedName>
    <definedName name="OSRRefB21_3x_3" localSheetId="4">'Annualized Trend'!$E$164</definedName>
    <definedName name="OSRRefB21_3x_4" localSheetId="4">'Annualized Trend'!$F$164</definedName>
    <definedName name="OSRRefB22x_0" localSheetId="4">'Annualized Trend'!#REF!,'Annualized Trend'!#REF!,'Annualized Trend'!#REF!,'Annualized Trend'!#REF!</definedName>
    <definedName name="OSRRefB22x_1" localSheetId="4">'Annualized Trend'!$C$111,'Annualized Trend'!$C$128,'Annualized Trend'!$C$139,'Annualized Trend'!$C$165</definedName>
    <definedName name="OSRRefB22x_2" localSheetId="4">'Annualized Trend'!$D$111,'Annualized Trend'!$D$128,'Annualized Trend'!$D$139,'Annualized Trend'!$D$165</definedName>
    <definedName name="OSRRefB22x_3" localSheetId="4">'Annualized Trend'!$E$111,'Annualized Trend'!$E$128,'Annualized Trend'!$E$139,'Annualized Trend'!$E$165</definedName>
    <definedName name="OSRRefB22x_4" localSheetId="4">'Annualized Trend'!$F$111,'Annualized Trend'!$F$128,'Annualized Trend'!$F$139,'Annualized Trend'!$F$165</definedName>
    <definedName name="OSRRefB24x_0" localSheetId="4">'Annualized Trend'!#REF!</definedName>
    <definedName name="OSRRefB24x_1" localSheetId="4">'Annualized Trend'!$C$167</definedName>
    <definedName name="OSRRefB24x_2" localSheetId="4">'Annualized Trend'!$D$167</definedName>
    <definedName name="OSRRefB24x_3" localSheetId="4">'Annualized Trend'!$E$167</definedName>
    <definedName name="OSRRefB24x_4" localSheetId="4">'Annualized Trend'!$F$167</definedName>
    <definedName name="OSRRefB27_0_0x_0" localSheetId="4">'Annualized Trend'!#REF!</definedName>
    <definedName name="OSRRefB27_0_0x_1" localSheetId="4">'Annualized Trend'!$C$170:$C$185</definedName>
    <definedName name="OSRRefB27_0_0x_2" localSheetId="4">'Annualized Trend'!$D$170:$D$185</definedName>
    <definedName name="OSRRefB27_0_0x_3" localSheetId="4">'Annualized Trend'!$E$170:$E$185</definedName>
    <definedName name="OSRRefB27_0_0x_4" localSheetId="4">'Annualized Trend'!$F$170:$F$185</definedName>
    <definedName name="OSRRefB27_0_1x_0" localSheetId="4">'Annualized Trend'!#REF!</definedName>
    <definedName name="OSRRefB27_0_1x_1" localSheetId="4">'Annualized Trend'!$C$187:$C$205</definedName>
    <definedName name="OSRRefB27_0_1x_2" localSheetId="4">'Annualized Trend'!$D$187:$D$205</definedName>
    <definedName name="OSRRefB27_0_1x_3" localSheetId="4">'Annualized Trend'!$E$187:$E$205</definedName>
    <definedName name="OSRRefB27_0_1x_4" localSheetId="4">'Annualized Trend'!$F$187:$F$205</definedName>
    <definedName name="OSRRefB27_0_2x_0" localSheetId="4">'Annualized Trend'!#REF!</definedName>
    <definedName name="OSRRefB27_0_2x_1" localSheetId="4">'Annualized Trend'!$C$207:$C$214</definedName>
    <definedName name="OSRRefB27_0_2x_2" localSheetId="4">'Annualized Trend'!$D$207:$D$214</definedName>
    <definedName name="OSRRefB27_0_2x_3" localSheetId="4">'Annualized Trend'!$E$207:$E$214</definedName>
    <definedName name="OSRRefB27_0_2x_4" localSheetId="4">'Annualized Trend'!$F$207:$F$214</definedName>
    <definedName name="OSRRefB28_0x_0" localSheetId="4">'Annualized Trend'!#REF!,'Annualized Trend'!#REF!,'Annualized Trend'!#REF!</definedName>
    <definedName name="OSRRefB28_0x_1" localSheetId="4">'Annualized Trend'!$C$186,'Annualized Trend'!$C$206,'Annualized Trend'!$C$215</definedName>
    <definedName name="OSRRefB28_0x_2" localSheetId="4">'Annualized Trend'!$D$186,'Annualized Trend'!$D$206,'Annualized Trend'!$D$215</definedName>
    <definedName name="OSRRefB28_0x_3" localSheetId="4">'Annualized Trend'!$E$186,'Annualized Trend'!$E$206,'Annualized Trend'!$E$215</definedName>
    <definedName name="OSRRefB28_0x_4" localSheetId="4">'Annualized Trend'!$F$186,'Annualized Trend'!$F$206,'Annualized Trend'!$F$215</definedName>
    <definedName name="OSRRefB29x_0" localSheetId="4">'Annualized Trend'!#REF!</definedName>
    <definedName name="OSRRefB29x_1" localSheetId="4">'Annualized Trend'!$C$216</definedName>
    <definedName name="OSRRefB29x_2" localSheetId="4">'Annualized Trend'!$D$216</definedName>
    <definedName name="OSRRefB29x_3" localSheetId="4">'Annualized Trend'!$E$216</definedName>
    <definedName name="OSRRefB29x_4" localSheetId="4">'Annualized Trend'!$F$216</definedName>
    <definedName name="OSRRefB31x_0" localSheetId="4">'Annualized Trend'!#REF!</definedName>
    <definedName name="OSRRefB31x_1" localSheetId="4">'Annualized Trend'!$C$218</definedName>
    <definedName name="OSRRefB31x_2" localSheetId="4">'Annualized Trend'!$D$218</definedName>
    <definedName name="OSRRefB31x_3" localSheetId="4">'Annualized Trend'!$E$218</definedName>
    <definedName name="OSRRefB31x_4" localSheetId="4">'Annualized Trend'!$F$218</definedName>
    <definedName name="OSRRefB37_0x_0" localSheetId="4">'Annualized Trend'!#REF!</definedName>
    <definedName name="OSRRefB37_0x_1" localSheetId="4">'Annualized Trend'!$C$221</definedName>
    <definedName name="OSRRefB37_0x_2" localSheetId="4">'Annualized Trend'!$D$221</definedName>
    <definedName name="OSRRefB37_0x_3" localSheetId="4">'Annualized Trend'!$E$221</definedName>
    <definedName name="OSRRefB37_0x_4" localSheetId="4">'Annualized Trend'!$F$221</definedName>
    <definedName name="OSRRefB6_0x_0" localSheetId="4">'Annualized Trend'!#REF!</definedName>
    <definedName name="OSRRefB6_0x_1" localSheetId="4">'Annualized Trend'!#REF!</definedName>
    <definedName name="OSRRefB6_0x_2" localSheetId="4">'Annualized Trend'!#REF!</definedName>
    <definedName name="OSRRefB6_0x_3" localSheetId="4">'Annualized Trend'!#REF!</definedName>
    <definedName name="OSRRefB6_0x_4" localSheetId="4">'Annualized Trend'!#REF!</definedName>
    <definedName name="OSRRefB7x_0" localSheetId="4">'Annualized Trend'!#REF!</definedName>
    <definedName name="OSRRefB7x_1" localSheetId="4">'Annualized Trend'!#REF!</definedName>
    <definedName name="OSRRefB7x_2" localSheetId="4">'Annualized Trend'!#REF!</definedName>
    <definedName name="OSRRefB7x_3" localSheetId="4">'Annualized Trend'!#REF!</definedName>
    <definedName name="OSRRefB7x_4" localSheetId="4">'Annualized Trend'!#REF!</definedName>
    <definedName name="OSRRefB8x_0" localSheetId="4">'Annualized Trend'!#REF!</definedName>
    <definedName name="OSRRefB8x_1" localSheetId="4">'Annualized Trend'!#REF!</definedName>
    <definedName name="OSRRefB8x_2" localSheetId="4">'Annualized Trend'!#REF!</definedName>
    <definedName name="OSRRefB8x_3" localSheetId="4">'Annualized Trend'!#REF!</definedName>
    <definedName name="OSRRefB8x_4" localSheetId="4">'Annualized Trend'!#REF!</definedName>
    <definedName name="OSRRefC10x_0" localSheetId="12">'Trended Detail'!#REF!</definedName>
    <definedName name="OSRRefC10x_1" localSheetId="12">'Trended Detail'!#REF!</definedName>
    <definedName name="OSRRefC10x_10" localSheetId="12">'Trended Detail'!$J$18</definedName>
    <definedName name="OSRRefC10x_11" localSheetId="12">'Trended Detail'!$K$18</definedName>
    <definedName name="OSRRefC10x_2" localSheetId="12">'Trended Detail'!#REF!</definedName>
    <definedName name="OSRRefC10x_3" localSheetId="12">'Trended Detail'!$C$18</definedName>
    <definedName name="OSRRefC10x_4" localSheetId="12">'Trended Detail'!$D$18</definedName>
    <definedName name="OSRRefC10x_5" localSheetId="12">'Trended Detail'!$E$18</definedName>
    <definedName name="OSRRefC10x_6" localSheetId="12">'Trended Detail'!$F$18</definedName>
    <definedName name="OSRRefC10x_7" localSheetId="12">'Trended Detail'!$G$18</definedName>
    <definedName name="OSRRefC10x_8" localSheetId="12">'Trended Detail'!$H$18</definedName>
    <definedName name="OSRRefC10x_9" localSheetId="12">'Trended Detail'!$I$18</definedName>
    <definedName name="OSRRefC12_0x_0" localSheetId="12">'Trended Detail'!#REF!</definedName>
    <definedName name="OSRRefC12_0x_1" localSheetId="12">'Trended Detail'!#REF!</definedName>
    <definedName name="OSRRefC12_0x_10" localSheetId="12">'Trended Detail'!$J$20</definedName>
    <definedName name="OSRRefC12_0x_11" localSheetId="12">'Trended Detail'!$K$20</definedName>
    <definedName name="OSRRefC12_0x_2" localSheetId="12">'Trended Detail'!#REF!</definedName>
    <definedName name="OSRRefC12_0x_3" localSheetId="12">'Trended Detail'!$C$20</definedName>
    <definedName name="OSRRefC12_0x_4" localSheetId="12">'Trended Detail'!$D$20</definedName>
    <definedName name="OSRRefC12_0x_5" localSheetId="12">'Trended Detail'!$E$20</definedName>
    <definedName name="OSRRefC12_0x_6" localSheetId="12">'Trended Detail'!$F$20</definedName>
    <definedName name="OSRRefC12_0x_7" localSheetId="12">'Trended Detail'!$G$20</definedName>
    <definedName name="OSRRefC12_0x_8" localSheetId="12">'Trended Detail'!$H$20</definedName>
    <definedName name="OSRRefC12_0x_9" localSheetId="12">'Trended Detail'!$I$20</definedName>
    <definedName name="OSRRefC13x_0" localSheetId="12">'Trended Detail'!#REF!</definedName>
    <definedName name="OSRRefC13x_1" localSheetId="12">'Trended Detail'!#REF!</definedName>
    <definedName name="OSRRefC13x_10" localSheetId="12">'Trended Detail'!$J$21</definedName>
    <definedName name="OSRRefC13x_11" localSheetId="12">'Trended Detail'!$K$21</definedName>
    <definedName name="OSRRefC13x_2" localSheetId="12">'Trended Detail'!#REF!</definedName>
    <definedName name="OSRRefC13x_3" localSheetId="12">'Trended Detail'!$C$21</definedName>
    <definedName name="OSRRefC13x_4" localSheetId="12">'Trended Detail'!$D$21</definedName>
    <definedName name="OSRRefC13x_5" localSheetId="12">'Trended Detail'!$E$21</definedName>
    <definedName name="OSRRefC13x_6" localSheetId="12">'Trended Detail'!$F$21</definedName>
    <definedName name="OSRRefC13x_7" localSheetId="12">'Trended Detail'!$G$21</definedName>
    <definedName name="OSRRefC13x_8" localSheetId="12">'Trended Detail'!$H$21</definedName>
    <definedName name="OSRRefC13x_9" localSheetId="12">'Trended Detail'!$I$21</definedName>
    <definedName name="OSRRefC15_0x_0" localSheetId="12">'Trended Detail'!#REF!</definedName>
    <definedName name="OSRRefC15_0x_1" localSheetId="12">'Trended Detail'!#REF!</definedName>
    <definedName name="OSRRefC15_0x_10" localSheetId="12">'Trended Detail'!$J$23:$J$26</definedName>
    <definedName name="OSRRefC15_0x_11" localSheetId="12">'Trended Detail'!$K$23:$K$26</definedName>
    <definedName name="OSRRefC15_0x_2" localSheetId="12">'Trended Detail'!#REF!</definedName>
    <definedName name="OSRRefC15_0x_3" localSheetId="12">'Trended Detail'!$C$23:$C$26</definedName>
    <definedName name="OSRRefC15_0x_4" localSheetId="12">'Trended Detail'!$D$23:$D$26</definedName>
    <definedName name="OSRRefC15_0x_5" localSheetId="12">'Trended Detail'!$E$23:$E$26</definedName>
    <definedName name="OSRRefC15_0x_6" localSheetId="12">'Trended Detail'!$F$23:$F$26</definedName>
    <definedName name="OSRRefC15_0x_7" localSheetId="12">'Trended Detail'!$G$23:$G$26</definedName>
    <definedName name="OSRRefC15_0x_8" localSheetId="12">'Trended Detail'!$H$23:$H$26</definedName>
    <definedName name="OSRRefC15_0x_9" localSheetId="12">'Trended Detail'!$I$23:$I$26</definedName>
    <definedName name="OSRRefC16x_0" localSheetId="12">'Trended Detail'!#REF!</definedName>
    <definedName name="OSRRefC16x_1" localSheetId="12">'Trended Detail'!#REF!</definedName>
    <definedName name="OSRRefC16x_10" localSheetId="12">'Trended Detail'!$J$27</definedName>
    <definedName name="OSRRefC16x_11" localSheetId="12">'Trended Detail'!$K$27</definedName>
    <definedName name="OSRRefC16x_2" localSheetId="12">'Trended Detail'!#REF!</definedName>
    <definedName name="OSRRefC16x_3" localSheetId="12">'Trended Detail'!$C$27</definedName>
    <definedName name="OSRRefC16x_4" localSheetId="12">'Trended Detail'!$D$27</definedName>
    <definedName name="OSRRefC16x_5" localSheetId="12">'Trended Detail'!$E$27</definedName>
    <definedName name="OSRRefC16x_6" localSheetId="12">'Trended Detail'!$F$27</definedName>
    <definedName name="OSRRefC16x_7" localSheetId="12">'Trended Detail'!$G$27</definedName>
    <definedName name="OSRRefC16x_8" localSheetId="12">'Trended Detail'!$H$27</definedName>
    <definedName name="OSRRefC16x_9" localSheetId="12">'Trended Detail'!$I$27</definedName>
    <definedName name="OSRRefC21_0x_0" localSheetId="12">'Trended Detail'!#REF!</definedName>
    <definedName name="OSRRefC21_0x_1" localSheetId="12">'Trended Detail'!#REF!</definedName>
    <definedName name="OSRRefC21_0x_10" localSheetId="12">'Trended Detail'!$J$32:$J$33</definedName>
    <definedName name="OSRRefC21_0x_11" localSheetId="12">'Trended Detail'!$K$32:$K$33</definedName>
    <definedName name="OSRRefC21_0x_2" localSheetId="12">'Trended Detail'!#REF!</definedName>
    <definedName name="OSRRefC21_0x_3" localSheetId="12">'Trended Detail'!$C$32:$C$33</definedName>
    <definedName name="OSRRefC21_0x_4" localSheetId="12">'Trended Detail'!$D$32:$D$33</definedName>
    <definedName name="OSRRefC21_0x_5" localSheetId="12">'Trended Detail'!$E$32:$E$33</definedName>
    <definedName name="OSRRefC21_0x_6" localSheetId="12">'Trended Detail'!$F$32:$F$33</definedName>
    <definedName name="OSRRefC21_0x_7" localSheetId="12">'Trended Detail'!$G$32:$G$33</definedName>
    <definedName name="OSRRefC21_0x_8" localSheetId="12">'Trended Detail'!$H$32:$H$33</definedName>
    <definedName name="OSRRefC21_0x_9" localSheetId="12">'Trended Detail'!$I$32:$I$33</definedName>
    <definedName name="OSRRefC21_1x_0" localSheetId="12">'Trended Detail'!#REF!</definedName>
    <definedName name="OSRRefC21_1x_1" localSheetId="12">'Trended Detail'!#REF!</definedName>
    <definedName name="OSRRefC21_1x_10" localSheetId="12">'Trended Detail'!$J$36:$J$39</definedName>
    <definedName name="OSRRefC21_1x_11" localSheetId="12">'Trended Detail'!$K$36:$K$39</definedName>
    <definedName name="OSRRefC21_1x_2" localSheetId="12">'Trended Detail'!#REF!</definedName>
    <definedName name="OSRRefC21_1x_3" localSheetId="12">'Trended Detail'!$C$36:$C$39</definedName>
    <definedName name="OSRRefC21_1x_4" localSheetId="12">'Trended Detail'!$D$36:$D$39</definedName>
    <definedName name="OSRRefC21_1x_5" localSheetId="12">'Trended Detail'!$E$36:$E$39</definedName>
    <definedName name="OSRRefC21_1x_6" localSheetId="12">'Trended Detail'!$F$36:$F$39</definedName>
    <definedName name="OSRRefC21_1x_7" localSheetId="12">'Trended Detail'!$G$36:$G$39</definedName>
    <definedName name="OSRRefC21_1x_8" localSheetId="12">'Trended Detail'!$H$36:$H$39</definedName>
    <definedName name="OSRRefC21_1x_9" localSheetId="12">'Trended Detail'!$I$36:$I$39</definedName>
    <definedName name="OSRRefC22x_0" localSheetId="12">'Trended Detail'!#REF!,'Trended Detail'!#REF!</definedName>
    <definedName name="OSRRefC22x_1" localSheetId="12">'Trended Detail'!#REF!,'Trended Detail'!#REF!</definedName>
    <definedName name="OSRRefC22x_10" localSheetId="12">'Trended Detail'!$J$34,'Trended Detail'!$J$40</definedName>
    <definedName name="OSRRefC22x_11" localSheetId="12">'Trended Detail'!$K$34,'Trended Detail'!$K$40</definedName>
    <definedName name="OSRRefC22x_2" localSheetId="12">'Trended Detail'!#REF!,'Trended Detail'!#REF!</definedName>
    <definedName name="OSRRefC22x_3" localSheetId="12">'Trended Detail'!$C$34,'Trended Detail'!$C$40</definedName>
    <definedName name="OSRRefC22x_4" localSheetId="12">'Trended Detail'!$D$34,'Trended Detail'!$D$40</definedName>
    <definedName name="OSRRefC22x_5" localSheetId="12">'Trended Detail'!$E$34,'Trended Detail'!$E$40</definedName>
    <definedName name="OSRRefC22x_6" localSheetId="12">'Trended Detail'!$F$34,'Trended Detail'!$F$40</definedName>
    <definedName name="OSRRefC22x_7" localSheetId="12">'Trended Detail'!$G$34,'Trended Detail'!$G$40</definedName>
    <definedName name="OSRRefC22x_8" localSheetId="12">'Trended Detail'!$H$34,'Trended Detail'!$H$40</definedName>
    <definedName name="OSRRefC22x_9" localSheetId="12">'Trended Detail'!$I$34,'Trended Detail'!$I$40</definedName>
    <definedName name="OSRRefC25_0x_0" localSheetId="12">'Trended Detail'!#REF!</definedName>
    <definedName name="OSRRefC25_0x_1" localSheetId="12">'Trended Detail'!#REF!</definedName>
    <definedName name="OSRRefC25_0x_10" localSheetId="12">'Trended Detail'!$J$43:$J$45</definedName>
    <definedName name="OSRRefC25_0x_11" localSheetId="12">'Trended Detail'!$K$43:$K$45</definedName>
    <definedName name="OSRRefC25_0x_2" localSheetId="12">'Trended Detail'!#REF!</definedName>
    <definedName name="OSRRefC25_0x_3" localSheetId="12">'Trended Detail'!$C$43:$C$45</definedName>
    <definedName name="OSRRefC25_0x_4" localSheetId="12">'Trended Detail'!$D$43:$D$45</definedName>
    <definedName name="OSRRefC25_0x_5" localSheetId="12">'Trended Detail'!$E$43:$E$45</definedName>
    <definedName name="OSRRefC25_0x_6" localSheetId="12">'Trended Detail'!$F$43:$F$45</definedName>
    <definedName name="OSRRefC25_0x_7" localSheetId="12">'Trended Detail'!$G$43:$G$45</definedName>
    <definedName name="OSRRefC25_0x_8" localSheetId="12">'Trended Detail'!$H$43:$H$45</definedName>
    <definedName name="OSRRefC25_0x_9" localSheetId="12">'Trended Detail'!$I$43:$I$45</definedName>
    <definedName name="OSRRefC25_1x_0" localSheetId="12">'Trended Detail'!#REF!</definedName>
    <definedName name="OSRRefC25_1x_1" localSheetId="12">'Trended Detail'!#REF!</definedName>
    <definedName name="OSRRefC25_1x_10" localSheetId="12">'Trended Detail'!$J$48:$J$53</definedName>
    <definedName name="OSRRefC25_1x_11" localSheetId="12">'Trended Detail'!$K$48:$K$53</definedName>
    <definedName name="OSRRefC25_1x_2" localSheetId="12">'Trended Detail'!#REF!</definedName>
    <definedName name="OSRRefC25_1x_3" localSheetId="12">'Trended Detail'!$C$48:$C$53</definedName>
    <definedName name="OSRRefC25_1x_4" localSheetId="12">'Trended Detail'!$D$48:$D$53</definedName>
    <definedName name="OSRRefC25_1x_5" localSheetId="12">'Trended Detail'!$E$48:$E$53</definedName>
    <definedName name="OSRRefC25_1x_6" localSheetId="12">'Trended Detail'!$F$48:$F$53</definedName>
    <definedName name="OSRRefC25_1x_7" localSheetId="12">'Trended Detail'!$G$48:$G$53</definedName>
    <definedName name="OSRRefC25_1x_8" localSheetId="12">'Trended Detail'!$H$48:$H$53</definedName>
    <definedName name="OSRRefC25_1x_9" localSheetId="12">'Trended Detail'!$I$48:$I$53</definedName>
    <definedName name="OSRRefC25_2x_0" localSheetId="12">'Trended Detail'!#REF!</definedName>
    <definedName name="OSRRefC25_2x_1" localSheetId="12">'Trended Detail'!#REF!</definedName>
    <definedName name="OSRRefC25_2x_10" localSheetId="12">'Trended Detail'!$J$56:$J$58</definedName>
    <definedName name="OSRRefC25_2x_11" localSheetId="12">'Trended Detail'!$K$56:$K$58</definedName>
    <definedName name="OSRRefC25_2x_2" localSheetId="12">'Trended Detail'!#REF!</definedName>
    <definedName name="OSRRefC25_2x_3" localSheetId="12">'Trended Detail'!$C$56:$C$58</definedName>
    <definedName name="OSRRefC25_2x_4" localSheetId="12">'Trended Detail'!$D$56:$D$58</definedName>
    <definedName name="OSRRefC25_2x_5" localSheetId="12">'Trended Detail'!$E$56:$E$58</definedName>
    <definedName name="OSRRefC25_2x_6" localSheetId="12">'Trended Detail'!$F$56:$F$58</definedName>
    <definedName name="OSRRefC25_2x_7" localSheetId="12">'Trended Detail'!$G$56:$G$58</definedName>
    <definedName name="OSRRefC25_2x_8" localSheetId="12">'Trended Detail'!$H$56:$H$58</definedName>
    <definedName name="OSRRefC25_2x_9" localSheetId="12">'Trended Detail'!$I$56:$I$58</definedName>
    <definedName name="OSRRefC25_3x_0" localSheetId="12">'Trended Detail'!#REF!</definedName>
    <definedName name="OSRRefC25_3x_1" localSheetId="12">'Trended Detail'!#REF!</definedName>
    <definedName name="OSRRefC25_3x_10" localSheetId="12">'Trended Detail'!$J$61:$J$62</definedName>
    <definedName name="OSRRefC25_3x_11" localSheetId="12">'Trended Detail'!$K$61:$K$62</definedName>
    <definedName name="OSRRefC25_3x_2" localSheetId="12">'Trended Detail'!#REF!</definedName>
    <definedName name="OSRRefC25_3x_3" localSheetId="12">'Trended Detail'!$C$61:$C$62</definedName>
    <definedName name="OSRRefC25_3x_4" localSheetId="12">'Trended Detail'!$D$61:$D$62</definedName>
    <definedName name="OSRRefC25_3x_5" localSheetId="12">'Trended Detail'!$E$61:$E$62</definedName>
    <definedName name="OSRRefC25_3x_6" localSheetId="12">'Trended Detail'!$F$61:$F$62</definedName>
    <definedName name="OSRRefC25_3x_7" localSheetId="12">'Trended Detail'!$G$61:$G$62</definedName>
    <definedName name="OSRRefC25_3x_8" localSheetId="12">'Trended Detail'!$H$61:$H$62</definedName>
    <definedName name="OSRRefC25_3x_9" localSheetId="12">'Trended Detail'!$I$61:$I$62</definedName>
    <definedName name="OSRRefC26x_0" localSheetId="12">'Trended Detail'!#REF!,'Trended Detail'!#REF!,'Trended Detail'!#REF!,'Trended Detail'!#REF!</definedName>
    <definedName name="OSRRefC26x_1" localSheetId="12">'Trended Detail'!#REF!,'Trended Detail'!#REF!,'Trended Detail'!#REF!,'Trended Detail'!#REF!</definedName>
    <definedName name="OSRRefC26x_10" localSheetId="12">'Trended Detail'!$J$46,'Trended Detail'!$J$54,'Trended Detail'!$J$59,'Trended Detail'!$J$63</definedName>
    <definedName name="OSRRefC26x_11" localSheetId="12">'Trended Detail'!$K$46,'Trended Detail'!$K$54,'Trended Detail'!$K$59,'Trended Detail'!$K$63</definedName>
    <definedName name="OSRRefC26x_2" localSheetId="12">'Trended Detail'!#REF!,'Trended Detail'!#REF!,'Trended Detail'!#REF!,'Trended Detail'!#REF!</definedName>
    <definedName name="OSRRefC26x_3" localSheetId="12">'Trended Detail'!$C$46,'Trended Detail'!$C$54,'Trended Detail'!$C$59,'Trended Detail'!$C$63</definedName>
    <definedName name="OSRRefC26x_4" localSheetId="12">'Trended Detail'!$D$46,'Trended Detail'!$D$54,'Trended Detail'!$D$59,'Trended Detail'!$D$63</definedName>
    <definedName name="OSRRefC26x_5" localSheetId="12">'Trended Detail'!$E$46,'Trended Detail'!$E$54,'Trended Detail'!$E$59,'Trended Detail'!$E$63</definedName>
    <definedName name="OSRRefC26x_6" localSheetId="12">'Trended Detail'!$F$46,'Trended Detail'!$F$54,'Trended Detail'!$F$59,'Trended Detail'!$F$63</definedName>
    <definedName name="OSRRefC26x_7" localSheetId="12">'Trended Detail'!$G$46,'Trended Detail'!$G$54,'Trended Detail'!$G$59,'Trended Detail'!$G$63</definedName>
    <definedName name="OSRRefC26x_8" localSheetId="12">'Trended Detail'!$H$46,'Trended Detail'!$H$54,'Trended Detail'!$H$59,'Trended Detail'!$H$63</definedName>
    <definedName name="OSRRefC26x_9" localSheetId="12">'Trended Detail'!$I$46,'Trended Detail'!$I$54,'Trended Detail'!$I$59,'Trended Detail'!$I$63</definedName>
    <definedName name="OSRRefC28x_0" localSheetId="12">'Trended Detail'!#REF!</definedName>
    <definedName name="OSRRefC28x_1" localSheetId="12">'Trended Detail'!#REF!</definedName>
    <definedName name="OSRRefC28x_10" localSheetId="12">'Trended Detail'!$J$65</definedName>
    <definedName name="OSRRefC28x_11" localSheetId="12">'Trended Detail'!$K$65</definedName>
    <definedName name="OSRRefC28x_2" localSheetId="12">'Trended Detail'!#REF!</definedName>
    <definedName name="OSRRefC28x_3" localSheetId="12">'Trended Detail'!$C$65</definedName>
    <definedName name="OSRRefC28x_4" localSheetId="12">'Trended Detail'!$D$65</definedName>
    <definedName name="OSRRefC28x_5" localSheetId="12">'Trended Detail'!$E$65</definedName>
    <definedName name="OSRRefC28x_6" localSheetId="12">'Trended Detail'!$F$65</definedName>
    <definedName name="OSRRefC28x_7" localSheetId="12">'Trended Detail'!$G$65</definedName>
    <definedName name="OSRRefC28x_8" localSheetId="12">'Trended Detail'!$H$65</definedName>
    <definedName name="OSRRefC28x_9" localSheetId="12">'Trended Detail'!$I$65</definedName>
    <definedName name="OSRRefC31_0x_0" localSheetId="12">'Trended Detail'!#REF!</definedName>
    <definedName name="OSRRefC31_0x_1" localSheetId="12">'Trended Detail'!#REF!</definedName>
    <definedName name="OSRRefC31_0x_10" localSheetId="12">'Trended Detail'!$J$68:$J$69</definedName>
    <definedName name="OSRRefC31_0x_11" localSheetId="12">'Trended Detail'!$K$68:$K$69</definedName>
    <definedName name="OSRRefC31_0x_2" localSheetId="12">'Trended Detail'!#REF!</definedName>
    <definedName name="OSRRefC31_0x_3" localSheetId="12">'Trended Detail'!$C$68:$C$69</definedName>
    <definedName name="OSRRefC31_0x_4" localSheetId="12">'Trended Detail'!$D$68:$D$69</definedName>
    <definedName name="OSRRefC31_0x_5" localSheetId="12">'Trended Detail'!$E$68:$E$69</definedName>
    <definedName name="OSRRefC31_0x_6" localSheetId="12">'Trended Detail'!$F$68:$F$69</definedName>
    <definedName name="OSRRefC31_0x_7" localSheetId="12">'Trended Detail'!$G$68:$G$69</definedName>
    <definedName name="OSRRefC31_0x_8" localSheetId="12">'Trended Detail'!$H$68:$H$69</definedName>
    <definedName name="OSRRefC31_0x_9" localSheetId="12">'Trended Detail'!$I$68:$I$69</definedName>
    <definedName name="OSRRefC31_1x_0" localSheetId="12">'Trended Detail'!#REF!</definedName>
    <definedName name="OSRRefC31_1x_1" localSheetId="12">'Trended Detail'!#REF!</definedName>
    <definedName name="OSRRefC31_1x_10" localSheetId="12">'Trended Detail'!$J$72:$J$73</definedName>
    <definedName name="OSRRefC31_1x_11" localSheetId="12">'Trended Detail'!$K$72:$K$73</definedName>
    <definedName name="OSRRefC31_1x_2" localSheetId="12">'Trended Detail'!#REF!</definedName>
    <definedName name="OSRRefC31_1x_3" localSheetId="12">'Trended Detail'!$C$72:$C$73</definedName>
    <definedName name="OSRRefC31_1x_4" localSheetId="12">'Trended Detail'!$D$72:$D$73</definedName>
    <definedName name="OSRRefC31_1x_5" localSheetId="12">'Trended Detail'!$E$72:$E$73</definedName>
    <definedName name="OSRRefC31_1x_6" localSheetId="12">'Trended Detail'!$F$72:$F$73</definedName>
    <definedName name="OSRRefC31_1x_7" localSheetId="12">'Trended Detail'!$G$72:$G$73</definedName>
    <definedName name="OSRRefC31_1x_8" localSheetId="12">'Trended Detail'!$H$72:$H$73</definedName>
    <definedName name="OSRRefC31_1x_9" localSheetId="12">'Trended Detail'!$I$72:$I$73</definedName>
    <definedName name="OSRRefC31_2x_0" localSheetId="12">'Trended Detail'!#REF!</definedName>
    <definedName name="OSRRefC31_2x_1" localSheetId="12">'Trended Detail'!#REF!</definedName>
    <definedName name="OSRRefC31_2x_10" localSheetId="12">'Trended Detail'!$J$76:$J$77</definedName>
    <definedName name="OSRRefC31_2x_11" localSheetId="12">'Trended Detail'!$K$76:$K$77</definedName>
    <definedName name="OSRRefC31_2x_2" localSheetId="12">'Trended Detail'!#REF!</definedName>
    <definedName name="OSRRefC31_2x_3" localSheetId="12">'Trended Detail'!$C$76:$C$77</definedName>
    <definedName name="OSRRefC31_2x_4" localSheetId="12">'Trended Detail'!$D$76:$D$77</definedName>
    <definedName name="OSRRefC31_2x_5" localSheetId="12">'Trended Detail'!$E$76:$E$77</definedName>
    <definedName name="OSRRefC31_2x_6" localSheetId="12">'Trended Detail'!$F$76:$F$77</definedName>
    <definedName name="OSRRefC31_2x_7" localSheetId="12">'Trended Detail'!$G$76:$G$77</definedName>
    <definedName name="OSRRefC31_2x_8" localSheetId="12">'Trended Detail'!$H$76:$H$77</definedName>
    <definedName name="OSRRefC31_2x_9" localSheetId="12">'Trended Detail'!$I$76:$I$77</definedName>
    <definedName name="OSRRefC32x_0" localSheetId="12">'Trended Detail'!#REF!,'Trended Detail'!#REF!,'Trended Detail'!#REF!</definedName>
    <definedName name="OSRRefC32x_1" localSheetId="12">'Trended Detail'!#REF!,'Trended Detail'!#REF!,'Trended Detail'!#REF!</definedName>
    <definedName name="OSRRefC32x_10" localSheetId="12">'Trended Detail'!$J$70,'Trended Detail'!$J$74,'Trended Detail'!$J$78</definedName>
    <definedName name="OSRRefC32x_11" localSheetId="12">'Trended Detail'!$K$70,'Trended Detail'!$K$74,'Trended Detail'!$K$78</definedName>
    <definedName name="OSRRefC32x_2" localSheetId="12">'Trended Detail'!#REF!,'Trended Detail'!#REF!,'Trended Detail'!#REF!</definedName>
    <definedName name="OSRRefC32x_3" localSheetId="12">'Trended Detail'!$C$70,'Trended Detail'!$C$74,'Trended Detail'!$C$78</definedName>
    <definedName name="OSRRefC32x_4" localSheetId="12">'Trended Detail'!$D$70,'Trended Detail'!$D$74,'Trended Detail'!$D$78</definedName>
    <definedName name="OSRRefC32x_5" localSheetId="12">'Trended Detail'!$E$70,'Trended Detail'!$E$74,'Trended Detail'!$E$78</definedName>
    <definedName name="OSRRefC32x_6" localSheetId="12">'Trended Detail'!$F$70,'Trended Detail'!$F$74,'Trended Detail'!$F$78</definedName>
    <definedName name="OSRRefC32x_7" localSheetId="12">'Trended Detail'!$G$70,'Trended Detail'!$G$74,'Trended Detail'!$G$78</definedName>
    <definedName name="OSRRefC32x_8" localSheetId="12">'Trended Detail'!$H$70,'Trended Detail'!$H$74,'Trended Detail'!$H$78</definedName>
    <definedName name="OSRRefC32x_9" localSheetId="12">'Trended Detail'!$I$70,'Trended Detail'!$I$74,'Trended Detail'!$I$78</definedName>
    <definedName name="OSRRefC34x_0" localSheetId="12">'Trended Detail'!#REF!</definedName>
    <definedName name="OSRRefC34x_1" localSheetId="12">'Trended Detail'!#REF!</definedName>
    <definedName name="OSRRefC34x_10" localSheetId="12">'Trended Detail'!$J$80</definedName>
    <definedName name="OSRRefC34x_11" localSheetId="12">'Trended Detail'!$K$80</definedName>
    <definedName name="OSRRefC34x_2" localSheetId="12">'Trended Detail'!#REF!</definedName>
    <definedName name="OSRRefC34x_3" localSheetId="12">'Trended Detail'!$C$80</definedName>
    <definedName name="OSRRefC34x_4" localSheetId="12">'Trended Detail'!$D$80</definedName>
    <definedName name="OSRRefC34x_5" localSheetId="12">'Trended Detail'!$E$80</definedName>
    <definedName name="OSRRefC34x_6" localSheetId="12">'Trended Detail'!$F$80</definedName>
    <definedName name="OSRRefC34x_7" localSheetId="12">'Trended Detail'!$G$80</definedName>
    <definedName name="OSRRefC34x_8" localSheetId="12">'Trended Detail'!$H$80</definedName>
    <definedName name="OSRRefC34x_9" localSheetId="12">'Trended Detail'!$I$80</definedName>
    <definedName name="OSRRefC41_0x_0" localSheetId="12">'Trended Detail'!#REF!</definedName>
    <definedName name="OSRRefC41_0x_1" localSheetId="12">'Trended Detail'!#REF!</definedName>
    <definedName name="OSRRefC41_0x_10" localSheetId="12">'Trended Detail'!$J$84:$J$98</definedName>
    <definedName name="OSRRefC41_0x_11" localSheetId="12">'Trended Detail'!$K$84:$K$98</definedName>
    <definedName name="OSRRefC41_0x_2" localSheetId="12">'Trended Detail'!#REF!</definedName>
    <definedName name="OSRRefC41_0x_3" localSheetId="12">'Trended Detail'!$C$84:$C$98</definedName>
    <definedName name="OSRRefC41_0x_4" localSheetId="12">'Trended Detail'!$D$84:$D$98</definedName>
    <definedName name="OSRRefC41_0x_5" localSheetId="12">'Trended Detail'!$E$84:$E$98</definedName>
    <definedName name="OSRRefC41_0x_6" localSheetId="12">'Trended Detail'!$F$84:$F$98</definedName>
    <definedName name="OSRRefC41_0x_7" localSheetId="12">'Trended Detail'!$G$84:$G$98</definedName>
    <definedName name="OSRRefC41_0x_8" localSheetId="12">'Trended Detail'!$H$84:$H$98</definedName>
    <definedName name="OSRRefC41_0x_9" localSheetId="12">'Trended Detail'!$I$84:$I$98</definedName>
    <definedName name="OSRRefC42x_0" localSheetId="12">'Trended Detail'!#REF!</definedName>
    <definedName name="OSRRefC42x_1" localSheetId="12">'Trended Detail'!#REF!</definedName>
    <definedName name="OSRRefC42x_10" localSheetId="12">'Trended Detail'!$J$99</definedName>
    <definedName name="OSRRefC42x_11" localSheetId="12">'Trended Detail'!$K$99</definedName>
    <definedName name="OSRRefC42x_2" localSheetId="12">'Trended Detail'!#REF!</definedName>
    <definedName name="OSRRefC42x_3" localSheetId="12">'Trended Detail'!$C$99</definedName>
    <definedName name="OSRRefC42x_4" localSheetId="12">'Trended Detail'!$D$99</definedName>
    <definedName name="OSRRefC42x_5" localSheetId="12">'Trended Detail'!$E$99</definedName>
    <definedName name="OSRRefC42x_6" localSheetId="12">'Trended Detail'!$F$99</definedName>
    <definedName name="OSRRefC42x_7" localSheetId="12">'Trended Detail'!$G$99</definedName>
    <definedName name="OSRRefC42x_8" localSheetId="12">'Trended Detail'!$H$99</definedName>
    <definedName name="OSRRefC42x_9" localSheetId="12">'Trended Detail'!$I$99</definedName>
    <definedName name="OSRRefC9_0x_0" localSheetId="12">'Trended Detail'!#REF!</definedName>
    <definedName name="OSRRefC9_0x_1" localSheetId="12">'Trended Detail'!#REF!</definedName>
    <definedName name="OSRRefC9_0x_10" localSheetId="12">'Trended Detail'!$J$9:$J$17</definedName>
    <definedName name="OSRRefC9_0x_11" localSheetId="12">'Trended Detail'!$K$9:$K$17</definedName>
    <definedName name="OSRRefC9_0x_2" localSheetId="12">'Trended Detail'!#REF!</definedName>
    <definedName name="OSRRefC9_0x_3" localSheetId="12">'Trended Detail'!$C$9:$C$17</definedName>
    <definedName name="OSRRefC9_0x_4" localSheetId="12">'Trended Detail'!$D$9:$D$17</definedName>
    <definedName name="OSRRefC9_0x_5" localSheetId="12">'Trended Detail'!$E$9:$E$17</definedName>
    <definedName name="OSRRefC9_0x_6" localSheetId="12">'Trended Detail'!$F$9:$F$17</definedName>
    <definedName name="OSRRefC9_0x_7" localSheetId="12">'Trended Detail'!$G$9:$G$17</definedName>
    <definedName name="OSRRefC9_0x_8" localSheetId="12">'Trended Detail'!$H$9:$H$17</definedName>
    <definedName name="OSRRefC9_0x_9" localSheetId="12">'Trended Detail'!$I$9:$I$17</definedName>
    <definedName name="_xlnm.Print_Area" localSheetId="2">'Fort Bend 753 v2'!$A$1:$P$218</definedName>
    <definedName name="_xlnm.Print_Area" localSheetId="3">'Fort Bend 755'!$A$1:$P$220</definedName>
    <definedName name="_xlnm.Print_Area" localSheetId="0">'Ft Bend Budget FYE15 v2'!$A$1:$R$35</definedName>
    <definedName name="_xlnm.Print_Titles" localSheetId="5">'Off-Site (2)'!$1:$14</definedName>
  </definedNames>
  <calcPr calcId="162913"/>
</workbook>
</file>

<file path=xl/calcChain.xml><?xml version="1.0" encoding="utf-8"?>
<calcChain xmlns="http://schemas.openxmlformats.org/spreadsheetml/2006/main">
  <c r="I28" i="8" l="1"/>
  <c r="J28" i="8" s="1"/>
  <c r="I27" i="8"/>
  <c r="I22" i="8" l="1"/>
  <c r="J22" i="8" s="1"/>
  <c r="I23" i="8"/>
  <c r="J23" i="8" s="1"/>
  <c r="I13" i="8" l="1"/>
  <c r="J13" i="8" s="1"/>
  <c r="I14" i="8" l="1"/>
  <c r="J14" i="8" s="1"/>
  <c r="I21" i="8"/>
  <c r="J21" i="8" s="1"/>
  <c r="I127" i="77" l="1"/>
  <c r="H127" i="77"/>
  <c r="G127" i="77"/>
  <c r="F127" i="77"/>
  <c r="E127" i="77"/>
  <c r="D127" i="77"/>
  <c r="C127" i="77"/>
  <c r="B127" i="77"/>
  <c r="I126" i="77"/>
  <c r="H126" i="77"/>
  <c r="G126" i="77"/>
  <c r="F126" i="77"/>
  <c r="E126" i="77"/>
  <c r="D126" i="77"/>
  <c r="C126" i="77"/>
  <c r="B126" i="77"/>
  <c r="I125" i="77"/>
  <c r="H125" i="77"/>
  <c r="G125" i="77"/>
  <c r="F125" i="77"/>
  <c r="E125" i="77"/>
  <c r="D125" i="77"/>
  <c r="C125" i="77"/>
  <c r="B125" i="77"/>
  <c r="I124" i="77"/>
  <c r="H124" i="77"/>
  <c r="G124" i="77"/>
  <c r="F124" i="77"/>
  <c r="E124" i="77"/>
  <c r="D124" i="77"/>
  <c r="C124" i="77"/>
  <c r="B124" i="77"/>
  <c r="K123" i="77"/>
  <c r="K122" i="77"/>
  <c r="K121" i="77"/>
  <c r="K120" i="77"/>
  <c r="K119" i="77"/>
  <c r="K118" i="77"/>
  <c r="K117" i="77"/>
  <c r="K116" i="77"/>
  <c r="K115" i="77"/>
  <c r="K114" i="77"/>
  <c r="K113" i="77"/>
  <c r="K112" i="77"/>
  <c r="R107" i="77"/>
  <c r="Q107" i="77"/>
  <c r="O107" i="77"/>
  <c r="N107" i="77"/>
  <c r="M107" i="77"/>
  <c r="L107" i="77"/>
  <c r="J107" i="77"/>
  <c r="H107" i="77"/>
  <c r="F107" i="77"/>
  <c r="E107" i="77"/>
  <c r="D107" i="77"/>
  <c r="C107" i="77"/>
  <c r="R106" i="77"/>
  <c r="Q106" i="77"/>
  <c r="O106" i="77"/>
  <c r="N106" i="77"/>
  <c r="M106" i="77"/>
  <c r="L106" i="77"/>
  <c r="J106" i="77"/>
  <c r="H106" i="77"/>
  <c r="F106" i="77"/>
  <c r="E106" i="77"/>
  <c r="D106" i="77"/>
  <c r="C106" i="77"/>
  <c r="R105" i="77"/>
  <c r="Q105" i="77"/>
  <c r="O105" i="77"/>
  <c r="N105" i="77"/>
  <c r="M105" i="77"/>
  <c r="L105" i="77"/>
  <c r="J105" i="77"/>
  <c r="H105" i="77"/>
  <c r="F105" i="77"/>
  <c r="E105" i="77"/>
  <c r="D105" i="77"/>
  <c r="C105" i="77"/>
  <c r="R104" i="77"/>
  <c r="Q104" i="77"/>
  <c r="O104" i="77"/>
  <c r="N104" i="77"/>
  <c r="M104" i="77"/>
  <c r="L104" i="77"/>
  <c r="J104" i="77"/>
  <c r="H104" i="77"/>
  <c r="F104" i="77"/>
  <c r="E104" i="77"/>
  <c r="D104" i="77"/>
  <c r="C104" i="77"/>
  <c r="P103" i="77"/>
  <c r="K103" i="77"/>
  <c r="I103" i="77"/>
  <c r="G103" i="77"/>
  <c r="B103" i="77"/>
  <c r="P102" i="77"/>
  <c r="K102" i="77"/>
  <c r="I102" i="77"/>
  <c r="G102" i="77"/>
  <c r="B102" i="77"/>
  <c r="P101" i="77"/>
  <c r="K101" i="77"/>
  <c r="I101" i="77"/>
  <c r="G101" i="77"/>
  <c r="B101" i="77"/>
  <c r="P100" i="77"/>
  <c r="K100" i="77"/>
  <c r="I100" i="77"/>
  <c r="G100" i="77"/>
  <c r="B100" i="77"/>
  <c r="P99" i="77"/>
  <c r="K99" i="77"/>
  <c r="I99" i="77"/>
  <c r="G99" i="77"/>
  <c r="B99" i="77"/>
  <c r="P98" i="77"/>
  <c r="K98" i="77"/>
  <c r="I98" i="77"/>
  <c r="G98" i="77"/>
  <c r="B98" i="77"/>
  <c r="P97" i="77"/>
  <c r="K97" i="77"/>
  <c r="I97" i="77"/>
  <c r="G97" i="77"/>
  <c r="B97" i="77"/>
  <c r="P96" i="77"/>
  <c r="K96" i="77"/>
  <c r="I96" i="77"/>
  <c r="G96" i="77"/>
  <c r="B96" i="77"/>
  <c r="P95" i="77"/>
  <c r="K95" i="77"/>
  <c r="I95" i="77"/>
  <c r="G95" i="77"/>
  <c r="B95" i="77"/>
  <c r="P94" i="77"/>
  <c r="K94" i="77"/>
  <c r="I94" i="77"/>
  <c r="G94" i="77"/>
  <c r="B94" i="77"/>
  <c r="P93" i="77"/>
  <c r="K93" i="77"/>
  <c r="I93" i="77"/>
  <c r="G93" i="77"/>
  <c r="B93" i="77"/>
  <c r="P92" i="77"/>
  <c r="K92" i="77"/>
  <c r="I92" i="77"/>
  <c r="G92" i="77"/>
  <c r="B92" i="77"/>
  <c r="R90" i="77"/>
  <c r="Q90" i="77"/>
  <c r="P90" i="77"/>
  <c r="O90" i="77"/>
  <c r="N90" i="77"/>
  <c r="L90" i="77"/>
  <c r="K90" i="77"/>
  <c r="J90" i="77"/>
  <c r="I90" i="77"/>
  <c r="H90" i="77"/>
  <c r="F90" i="77"/>
  <c r="E90" i="77"/>
  <c r="C90" i="77"/>
  <c r="B90" i="77"/>
  <c r="R89" i="77"/>
  <c r="Q89" i="77"/>
  <c r="P89" i="77"/>
  <c r="O89" i="77"/>
  <c r="N89" i="77"/>
  <c r="L89" i="77"/>
  <c r="K89" i="77"/>
  <c r="J89" i="77"/>
  <c r="I89" i="77"/>
  <c r="H89" i="77"/>
  <c r="F89" i="77"/>
  <c r="E89" i="77"/>
  <c r="C89" i="77"/>
  <c r="B89" i="77"/>
  <c r="R88" i="77"/>
  <c r="Q88" i="77"/>
  <c r="P88" i="77"/>
  <c r="O88" i="77"/>
  <c r="N88" i="77"/>
  <c r="L88" i="77"/>
  <c r="K88" i="77"/>
  <c r="J88" i="77"/>
  <c r="I88" i="77"/>
  <c r="H88" i="77"/>
  <c r="F88" i="77"/>
  <c r="E88" i="77"/>
  <c r="C88" i="77"/>
  <c r="B88" i="77"/>
  <c r="R87" i="77"/>
  <c r="Q87" i="77"/>
  <c r="P87" i="77"/>
  <c r="O87" i="77"/>
  <c r="N87" i="77"/>
  <c r="L87" i="77"/>
  <c r="K87" i="77"/>
  <c r="J87" i="77"/>
  <c r="I87" i="77"/>
  <c r="H87" i="77"/>
  <c r="F87" i="77"/>
  <c r="E87" i="77"/>
  <c r="C87" i="77"/>
  <c r="B87" i="77"/>
  <c r="M86" i="77"/>
  <c r="G86" i="77"/>
  <c r="D86" i="77"/>
  <c r="M85" i="77"/>
  <c r="G85" i="77"/>
  <c r="D85" i="77"/>
  <c r="M84" i="77"/>
  <c r="G84" i="77"/>
  <c r="D84" i="77"/>
  <c r="M83" i="77"/>
  <c r="G83" i="77"/>
  <c r="D83" i="77"/>
  <c r="M82" i="77"/>
  <c r="G82" i="77"/>
  <c r="D82" i="77"/>
  <c r="M81" i="77"/>
  <c r="G81" i="77"/>
  <c r="D81" i="77"/>
  <c r="M80" i="77"/>
  <c r="G80" i="77"/>
  <c r="D80" i="77"/>
  <c r="M79" i="77"/>
  <c r="G79" i="77"/>
  <c r="D79" i="77"/>
  <c r="M78" i="77"/>
  <c r="G78" i="77"/>
  <c r="D78" i="77"/>
  <c r="M77" i="77"/>
  <c r="G77" i="77"/>
  <c r="D77" i="77"/>
  <c r="M76" i="77"/>
  <c r="G76" i="77"/>
  <c r="D76" i="77"/>
  <c r="M75" i="77"/>
  <c r="G75" i="77"/>
  <c r="D75" i="77"/>
  <c r="Q73" i="77"/>
  <c r="O73" i="77"/>
  <c r="K73" i="77"/>
  <c r="F73" i="77"/>
  <c r="D73" i="77"/>
  <c r="C73" i="77"/>
  <c r="Q72" i="77"/>
  <c r="O72" i="77"/>
  <c r="K72" i="77"/>
  <c r="F72" i="77"/>
  <c r="D72" i="77"/>
  <c r="C72" i="77"/>
  <c r="AH71" i="77"/>
  <c r="X71" i="77"/>
  <c r="W71" i="77"/>
  <c r="Q71" i="77"/>
  <c r="O71" i="77"/>
  <c r="K71" i="77"/>
  <c r="F71" i="77"/>
  <c r="D71" i="77"/>
  <c r="C71" i="77"/>
  <c r="Q70" i="77"/>
  <c r="O70" i="77"/>
  <c r="K70" i="77"/>
  <c r="F70" i="77"/>
  <c r="D70" i="77"/>
  <c r="C70" i="77"/>
  <c r="Z69" i="77"/>
  <c r="Y69" i="77"/>
  <c r="U69" i="77"/>
  <c r="R69" i="77"/>
  <c r="P69" i="77"/>
  <c r="J69" i="77"/>
  <c r="G69" i="77"/>
  <c r="H69" i="77" s="1"/>
  <c r="E69" i="77"/>
  <c r="B69" i="77"/>
  <c r="Z68" i="77"/>
  <c r="Y68" i="77"/>
  <c r="U68" i="77"/>
  <c r="R68" i="77"/>
  <c r="P68" i="77"/>
  <c r="J68" i="77"/>
  <c r="G68" i="77"/>
  <c r="H68" i="77" s="1"/>
  <c r="E68" i="77"/>
  <c r="B68" i="77"/>
  <c r="Z67" i="77"/>
  <c r="Y67" i="77"/>
  <c r="U67" i="77"/>
  <c r="R67" i="77"/>
  <c r="P67" i="77"/>
  <c r="J67" i="77"/>
  <c r="G67" i="77"/>
  <c r="H67" i="77" s="1"/>
  <c r="T67" i="77" s="1"/>
  <c r="AA67" i="77" s="1"/>
  <c r="E67" i="77"/>
  <c r="B67" i="77"/>
  <c r="Z66" i="77"/>
  <c r="Y66" i="77"/>
  <c r="U66" i="77"/>
  <c r="R66" i="77"/>
  <c r="P66" i="77"/>
  <c r="J66" i="77"/>
  <c r="G66" i="77"/>
  <c r="H66" i="77" s="1"/>
  <c r="L66" i="77" s="1"/>
  <c r="E66" i="77"/>
  <c r="B66" i="77"/>
  <c r="Z65" i="77"/>
  <c r="Y65" i="77"/>
  <c r="U65" i="77"/>
  <c r="R65" i="77"/>
  <c r="P65" i="77"/>
  <c r="J65" i="77"/>
  <c r="G65" i="77"/>
  <c r="H65" i="77" s="1"/>
  <c r="E65" i="77"/>
  <c r="B65" i="77"/>
  <c r="Z64" i="77"/>
  <c r="Y64" i="77"/>
  <c r="U64" i="77"/>
  <c r="R64" i="77"/>
  <c r="P64" i="77"/>
  <c r="J64" i="77"/>
  <c r="H64" i="77"/>
  <c r="T64" i="77" s="1"/>
  <c r="G64" i="77"/>
  <c r="E64" i="77"/>
  <c r="B64" i="77"/>
  <c r="Z63" i="77"/>
  <c r="Y63" i="77"/>
  <c r="U63" i="77"/>
  <c r="R63" i="77"/>
  <c r="P63" i="77"/>
  <c r="J63" i="77"/>
  <c r="G63" i="77"/>
  <c r="H63" i="77" s="1"/>
  <c r="E63" i="77"/>
  <c r="B63" i="77"/>
  <c r="Z62" i="77"/>
  <c r="Y62" i="77"/>
  <c r="U62" i="77"/>
  <c r="R62" i="77"/>
  <c r="P62" i="77"/>
  <c r="J62" i="77"/>
  <c r="G62" i="77"/>
  <c r="H62" i="77" s="1"/>
  <c r="E62" i="77"/>
  <c r="B62" i="77"/>
  <c r="Z61" i="77"/>
  <c r="Y61" i="77"/>
  <c r="U61" i="77"/>
  <c r="R61" i="77"/>
  <c r="P61" i="77"/>
  <c r="J61" i="77"/>
  <c r="G61" i="77"/>
  <c r="H61" i="77" s="1"/>
  <c r="E61" i="77"/>
  <c r="B61" i="77"/>
  <c r="Z60" i="77"/>
  <c r="Y60" i="77"/>
  <c r="U60" i="77"/>
  <c r="R60" i="77"/>
  <c r="P60" i="77"/>
  <c r="J60" i="77"/>
  <c r="G60" i="77"/>
  <c r="H60" i="77" s="1"/>
  <c r="E60" i="77"/>
  <c r="B60" i="77"/>
  <c r="Z59" i="77"/>
  <c r="Y59" i="77"/>
  <c r="U59" i="77"/>
  <c r="R59" i="77"/>
  <c r="P59" i="77"/>
  <c r="J59" i="77"/>
  <c r="H59" i="77"/>
  <c r="T59" i="77" s="1"/>
  <c r="G59" i="77"/>
  <c r="E59" i="77"/>
  <c r="B59" i="77"/>
  <c r="Z58" i="77"/>
  <c r="Y58" i="77"/>
  <c r="U58" i="77"/>
  <c r="R58" i="77"/>
  <c r="P58" i="77"/>
  <c r="J58" i="77"/>
  <c r="G58" i="77"/>
  <c r="E58" i="77"/>
  <c r="B58" i="77"/>
  <c r="R53" i="77"/>
  <c r="Q53" i="77"/>
  <c r="P53" i="77"/>
  <c r="O53" i="77"/>
  <c r="N53" i="77"/>
  <c r="M53" i="77"/>
  <c r="K53" i="77"/>
  <c r="I53" i="77"/>
  <c r="H53" i="77"/>
  <c r="F53" i="77"/>
  <c r="E53" i="77"/>
  <c r="D53" i="77"/>
  <c r="R52" i="77"/>
  <c r="Q52" i="77"/>
  <c r="P52" i="77"/>
  <c r="O52" i="77"/>
  <c r="N52" i="77"/>
  <c r="M52" i="77"/>
  <c r="K52" i="77"/>
  <c r="I52" i="77"/>
  <c r="H52" i="77"/>
  <c r="F52" i="77"/>
  <c r="E52" i="77"/>
  <c r="D52" i="77"/>
  <c r="R51" i="77"/>
  <c r="Q51" i="77"/>
  <c r="P51" i="77"/>
  <c r="O51" i="77"/>
  <c r="N51" i="77"/>
  <c r="M51" i="77"/>
  <c r="K51" i="77"/>
  <c r="I51" i="77"/>
  <c r="H51" i="77"/>
  <c r="F51" i="77"/>
  <c r="E51" i="77"/>
  <c r="D51" i="77"/>
  <c r="R50" i="77"/>
  <c r="Q50" i="77"/>
  <c r="P50" i="77"/>
  <c r="O50" i="77"/>
  <c r="N50" i="77"/>
  <c r="M50" i="77"/>
  <c r="K50" i="77"/>
  <c r="I50" i="77"/>
  <c r="H50" i="77"/>
  <c r="F50" i="77"/>
  <c r="E50" i="77"/>
  <c r="D50" i="77"/>
  <c r="L49" i="77"/>
  <c r="J49" i="77"/>
  <c r="G49" i="77"/>
  <c r="C49" i="77"/>
  <c r="B49" i="77"/>
  <c r="L48" i="77"/>
  <c r="J48" i="77"/>
  <c r="G48" i="77"/>
  <c r="C48" i="77"/>
  <c r="B48" i="77"/>
  <c r="L47" i="77"/>
  <c r="J47" i="77"/>
  <c r="G47" i="77"/>
  <c r="C47" i="77"/>
  <c r="B47" i="77"/>
  <c r="L46" i="77"/>
  <c r="J46" i="77"/>
  <c r="G46" i="77"/>
  <c r="G52" i="77" s="1"/>
  <c r="C46" i="77"/>
  <c r="B46" i="77"/>
  <c r="L45" i="77"/>
  <c r="J45" i="77"/>
  <c r="G45" i="77"/>
  <c r="C45" i="77"/>
  <c r="B45" i="77"/>
  <c r="L44" i="77"/>
  <c r="J44" i="77"/>
  <c r="G44" i="77"/>
  <c r="C44" i="77"/>
  <c r="B44" i="77"/>
  <c r="L43" i="77"/>
  <c r="J43" i="77"/>
  <c r="G43" i="77"/>
  <c r="C43" i="77"/>
  <c r="B43" i="77"/>
  <c r="L42" i="77"/>
  <c r="J42" i="77"/>
  <c r="G42" i="77"/>
  <c r="C42" i="77"/>
  <c r="B42" i="77"/>
  <c r="L41" i="77"/>
  <c r="J41" i="77"/>
  <c r="G41" i="77"/>
  <c r="C41" i="77"/>
  <c r="B41" i="77"/>
  <c r="L40" i="77"/>
  <c r="J40" i="77"/>
  <c r="G40" i="77"/>
  <c r="C40" i="77"/>
  <c r="B40" i="77"/>
  <c r="L39" i="77"/>
  <c r="J39" i="77"/>
  <c r="G39" i="77"/>
  <c r="C39" i="77"/>
  <c r="B39" i="77"/>
  <c r="L38" i="77"/>
  <c r="J38" i="77"/>
  <c r="G38" i="77"/>
  <c r="G51" i="77" s="1"/>
  <c r="C38" i="77"/>
  <c r="B38" i="77"/>
  <c r="M36" i="77"/>
  <c r="L36" i="77"/>
  <c r="K36" i="77"/>
  <c r="J36" i="77"/>
  <c r="I36" i="77"/>
  <c r="H36" i="77"/>
  <c r="G36" i="77"/>
  <c r="F36" i="77"/>
  <c r="E36" i="77"/>
  <c r="D36" i="77"/>
  <c r="C36" i="77"/>
  <c r="B36" i="77"/>
  <c r="M35" i="77"/>
  <c r="L35" i="77"/>
  <c r="K35" i="77"/>
  <c r="J35" i="77"/>
  <c r="I35" i="77"/>
  <c r="H35" i="77"/>
  <c r="G35" i="77"/>
  <c r="F35" i="77"/>
  <c r="E35" i="77"/>
  <c r="D35" i="77"/>
  <c r="C35" i="77"/>
  <c r="B35" i="77"/>
  <c r="M34" i="77"/>
  <c r="L34" i="77"/>
  <c r="K34" i="77"/>
  <c r="J34" i="77"/>
  <c r="I34" i="77"/>
  <c r="H34" i="77"/>
  <c r="G34" i="77"/>
  <c r="F34" i="77"/>
  <c r="E34" i="77"/>
  <c r="D34" i="77"/>
  <c r="C34" i="77"/>
  <c r="B34" i="77"/>
  <c r="M33" i="77"/>
  <c r="L33" i="77"/>
  <c r="K33" i="77"/>
  <c r="J33" i="77"/>
  <c r="I33" i="77"/>
  <c r="H33" i="77"/>
  <c r="G33" i="77"/>
  <c r="F33" i="77"/>
  <c r="E33" i="77"/>
  <c r="D33" i="77"/>
  <c r="C33" i="77"/>
  <c r="B33" i="77"/>
  <c r="R32" i="77"/>
  <c r="Q32" i="77"/>
  <c r="P32" i="77"/>
  <c r="O32" i="77"/>
  <c r="N32" i="77"/>
  <c r="R31" i="77"/>
  <c r="Q31" i="77"/>
  <c r="P31" i="77"/>
  <c r="O31" i="77"/>
  <c r="N31" i="77"/>
  <c r="R30" i="77"/>
  <c r="Q30" i="77"/>
  <c r="P30" i="77"/>
  <c r="O30" i="77"/>
  <c r="N30" i="77"/>
  <c r="R29" i="77"/>
  <c r="R35" i="77" s="1"/>
  <c r="Q29" i="77"/>
  <c r="Q33" i="77" s="1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19" i="77"/>
  <c r="Q19" i="77"/>
  <c r="P19" i="77"/>
  <c r="O19" i="77"/>
  <c r="N19" i="77"/>
  <c r="M19" i="77"/>
  <c r="L19" i="77"/>
  <c r="K19" i="77"/>
  <c r="J19" i="77"/>
  <c r="I19" i="77"/>
  <c r="H19" i="77"/>
  <c r="G19" i="77"/>
  <c r="F19" i="77"/>
  <c r="E19" i="77"/>
  <c r="D19" i="77"/>
  <c r="C19" i="77"/>
  <c r="B19" i="77"/>
  <c r="R18" i="77"/>
  <c r="Q18" i="77"/>
  <c r="P18" i="77"/>
  <c r="O18" i="77"/>
  <c r="N18" i="77"/>
  <c r="M18" i="77"/>
  <c r="L18" i="77"/>
  <c r="K18" i="77"/>
  <c r="J18" i="77"/>
  <c r="I18" i="77"/>
  <c r="H18" i="77"/>
  <c r="G18" i="77"/>
  <c r="F18" i="77"/>
  <c r="E18" i="77"/>
  <c r="D18" i="77"/>
  <c r="C18" i="77"/>
  <c r="B18" i="77"/>
  <c r="R17" i="77"/>
  <c r="Q17" i="77"/>
  <c r="P17" i="77"/>
  <c r="O17" i="77"/>
  <c r="N17" i="77"/>
  <c r="M17" i="77"/>
  <c r="L17" i="77"/>
  <c r="K17" i="77"/>
  <c r="J17" i="77"/>
  <c r="I17" i="77"/>
  <c r="H17" i="77"/>
  <c r="G17" i="77"/>
  <c r="F17" i="77"/>
  <c r="E17" i="77"/>
  <c r="D17" i="77"/>
  <c r="C17" i="77"/>
  <c r="B17" i="77"/>
  <c r="R16" i="77"/>
  <c r="Q16" i="77"/>
  <c r="P16" i="77"/>
  <c r="O16" i="77"/>
  <c r="N16" i="77"/>
  <c r="M16" i="77"/>
  <c r="L16" i="77"/>
  <c r="K16" i="77"/>
  <c r="J16" i="77"/>
  <c r="I16" i="77"/>
  <c r="H16" i="77"/>
  <c r="G16" i="77"/>
  <c r="F16" i="77"/>
  <c r="E16" i="77"/>
  <c r="D16" i="77"/>
  <c r="C16" i="77"/>
  <c r="B16" i="77"/>
  <c r="K117" i="50"/>
  <c r="K115" i="50"/>
  <c r="K114" i="50"/>
  <c r="M60" i="77" l="1"/>
  <c r="T60" i="77"/>
  <c r="V60" i="77" s="1"/>
  <c r="L121" i="50"/>
  <c r="N34" i="77"/>
  <c r="B51" i="77"/>
  <c r="L52" i="77"/>
  <c r="G89" i="77"/>
  <c r="I105" i="77"/>
  <c r="B106" i="77"/>
  <c r="P34" i="77"/>
  <c r="C51" i="77"/>
  <c r="H70" i="77"/>
  <c r="L50" i="77"/>
  <c r="P70" i="77"/>
  <c r="B107" i="77"/>
  <c r="R34" i="77"/>
  <c r="N35" i="77"/>
  <c r="L51" i="77"/>
  <c r="C52" i="77"/>
  <c r="B72" i="77"/>
  <c r="G105" i="77"/>
  <c r="I106" i="77"/>
  <c r="C50" i="77"/>
  <c r="R71" i="77"/>
  <c r="K106" i="77"/>
  <c r="K125" i="77"/>
  <c r="T63" i="77"/>
  <c r="I63" i="77"/>
  <c r="J117" i="77"/>
  <c r="N63" i="77"/>
  <c r="M69" i="77"/>
  <c r="J123" i="77"/>
  <c r="L69" i="77"/>
  <c r="T69" i="77"/>
  <c r="V69" i="77" s="1"/>
  <c r="O35" i="77"/>
  <c r="Q35" i="77"/>
  <c r="B71" i="77"/>
  <c r="I59" i="77"/>
  <c r="I60" i="77"/>
  <c r="I64" i="77"/>
  <c r="N67" i="77"/>
  <c r="G70" i="77"/>
  <c r="G72" i="77"/>
  <c r="B52" i="77"/>
  <c r="G50" i="77"/>
  <c r="J113" i="77"/>
  <c r="N59" i="77"/>
  <c r="I67" i="77"/>
  <c r="K105" i="77"/>
  <c r="Q34" i="77"/>
  <c r="P35" i="77"/>
  <c r="V59" i="77"/>
  <c r="J71" i="77"/>
  <c r="V67" i="77"/>
  <c r="P72" i="77"/>
  <c r="D88" i="77"/>
  <c r="M88" i="77"/>
  <c r="M87" i="77"/>
  <c r="J121" i="77"/>
  <c r="N65" i="77"/>
  <c r="I65" i="77"/>
  <c r="J119" i="77"/>
  <c r="M65" i="77"/>
  <c r="T65" i="77"/>
  <c r="L65" i="77"/>
  <c r="N61" i="77"/>
  <c r="I61" i="77"/>
  <c r="T61" i="77"/>
  <c r="L61" i="77"/>
  <c r="J115" i="77"/>
  <c r="M61" i="77"/>
  <c r="V64" i="77"/>
  <c r="AA64" i="77"/>
  <c r="N68" i="77"/>
  <c r="H72" i="77"/>
  <c r="N33" i="77"/>
  <c r="Z71" i="77"/>
  <c r="AA60" i="77"/>
  <c r="N62" i="77"/>
  <c r="I62" i="77"/>
  <c r="J116" i="77"/>
  <c r="T62" i="77"/>
  <c r="M62" i="77"/>
  <c r="E72" i="77"/>
  <c r="E70" i="77"/>
  <c r="I68" i="77"/>
  <c r="G88" i="77"/>
  <c r="D87" i="77"/>
  <c r="K104" i="77"/>
  <c r="O34" i="77"/>
  <c r="O33" i="77"/>
  <c r="AA59" i="77"/>
  <c r="L60" i="77"/>
  <c r="J114" i="77"/>
  <c r="N60" i="77"/>
  <c r="M64" i="77"/>
  <c r="N66" i="77"/>
  <c r="I66" i="77"/>
  <c r="J120" i="77"/>
  <c r="T66" i="77"/>
  <c r="M66" i="77"/>
  <c r="R72" i="77"/>
  <c r="R70" i="77"/>
  <c r="G87" i="77"/>
  <c r="D89" i="77"/>
  <c r="P105" i="77"/>
  <c r="B104" i="77"/>
  <c r="P106" i="77"/>
  <c r="G73" i="77"/>
  <c r="H58" i="77"/>
  <c r="L68" i="77"/>
  <c r="J122" i="77"/>
  <c r="U71" i="77"/>
  <c r="P33" i="77"/>
  <c r="R33" i="77"/>
  <c r="E71" i="77"/>
  <c r="P71" i="77"/>
  <c r="Y71" i="77"/>
  <c r="L62" i="77"/>
  <c r="L64" i="77"/>
  <c r="J118" i="77"/>
  <c r="N64" i="77"/>
  <c r="J72" i="77"/>
  <c r="J70" i="77"/>
  <c r="M68" i="77"/>
  <c r="T68" i="77"/>
  <c r="N69" i="77"/>
  <c r="I69" i="77"/>
  <c r="G71" i="77"/>
  <c r="M89" i="77"/>
  <c r="G106" i="77"/>
  <c r="I104" i="77"/>
  <c r="L59" i="77"/>
  <c r="L63" i="77"/>
  <c r="L67" i="77"/>
  <c r="L70" i="77" s="1"/>
  <c r="B105" i="77"/>
  <c r="P104" i="77"/>
  <c r="B50" i="77"/>
  <c r="M59" i="77"/>
  <c r="M63" i="77"/>
  <c r="M67" i="77"/>
  <c r="B70" i="77"/>
  <c r="G104" i="77"/>
  <c r="K126" i="77"/>
  <c r="K124" i="77"/>
  <c r="K41" i="50"/>
  <c r="K36" i="50"/>
  <c r="K35" i="50"/>
  <c r="K61" i="50"/>
  <c r="AA69" i="77" l="1"/>
  <c r="AA63" i="77"/>
  <c r="V63" i="77"/>
  <c r="V68" i="77"/>
  <c r="AA68" i="77"/>
  <c r="L72" i="77"/>
  <c r="J124" i="77"/>
  <c r="J126" i="77"/>
  <c r="AA62" i="77"/>
  <c r="V62" i="77"/>
  <c r="V65" i="77"/>
  <c r="AA65" i="77"/>
  <c r="I72" i="77"/>
  <c r="I70" i="77"/>
  <c r="AA66" i="77"/>
  <c r="V66" i="77"/>
  <c r="N58" i="77"/>
  <c r="N71" i="77" s="1"/>
  <c r="I58" i="77"/>
  <c r="I71" i="77" s="1"/>
  <c r="J112" i="77"/>
  <c r="H71" i="77"/>
  <c r="T58" i="77"/>
  <c r="M58" i="77"/>
  <c r="M71" i="77" s="1"/>
  <c r="L58" i="77"/>
  <c r="H73" i="77"/>
  <c r="M72" i="77"/>
  <c r="M70" i="77"/>
  <c r="N72" i="77"/>
  <c r="N70" i="77"/>
  <c r="V61" i="77"/>
  <c r="AA61" i="77"/>
  <c r="L73" i="77" l="1"/>
  <c r="L71" i="77"/>
  <c r="J125" i="77"/>
  <c r="J127" i="77"/>
  <c r="AA58" i="77"/>
  <c r="AA71" i="77" s="1"/>
  <c r="AB71" i="77" s="1"/>
  <c r="T71" i="77"/>
  <c r="V58" i="77"/>
  <c r="V71" i="77" s="1"/>
  <c r="P132" i="50" l="1"/>
  <c r="O132" i="50"/>
  <c r="N132" i="50"/>
  <c r="G22" i="52" l="1"/>
  <c r="E12" i="52"/>
  <c r="E18" i="52" s="1"/>
  <c r="I18" i="52" s="1"/>
  <c r="Q6" i="52"/>
  <c r="Q8" i="52" s="1"/>
  <c r="S8" i="52" s="1"/>
  <c r="C20" i="52" s="1"/>
  <c r="E20" i="52" s="1"/>
  <c r="I20" i="52" s="1"/>
  <c r="Q2" i="52"/>
  <c r="Q4" i="52" s="1"/>
  <c r="C27" i="52" l="1"/>
  <c r="O20" i="52"/>
  <c r="C26" i="52"/>
  <c r="S4" i="52"/>
  <c r="Q10" i="52"/>
  <c r="C15" i="52" l="1"/>
  <c r="E15" i="52" s="1"/>
  <c r="I15" i="52" s="1"/>
  <c r="S10" i="52"/>
  <c r="C14" i="52"/>
  <c r="C22" i="52" l="1"/>
  <c r="E14" i="52"/>
  <c r="I14" i="52" l="1"/>
  <c r="E22" i="52"/>
  <c r="I22" i="52" l="1"/>
  <c r="O17" i="52" s="1"/>
  <c r="O14" i="52"/>
  <c r="C25" i="52"/>
  <c r="C28" i="52" s="1"/>
  <c r="O16" i="52"/>
  <c r="Q14" i="52"/>
  <c r="O18" i="52"/>
  <c r="O15" i="52"/>
  <c r="N16" i="52" l="1"/>
  <c r="N15" i="52"/>
  <c r="N18" i="52"/>
  <c r="N14" i="52"/>
  <c r="N17" i="52"/>
  <c r="K70" i="50" l="1"/>
  <c r="M23" i="50"/>
  <c r="M14" i="50"/>
  <c r="M20" i="50"/>
  <c r="M22" i="50"/>
  <c r="Y751" i="51"/>
  <c r="Y750" i="51"/>
  <c r="Y749" i="51"/>
  <c r="Y748" i="51"/>
  <c r="Y747" i="51"/>
  <c r="Y746" i="51"/>
  <c r="Y745" i="51"/>
  <c r="Y744" i="51"/>
  <c r="Y743" i="51"/>
  <c r="Y742" i="51"/>
  <c r="Y741" i="51"/>
  <c r="Y740" i="51"/>
  <c r="Y739" i="51"/>
  <c r="Y738" i="51"/>
  <c r="Y737" i="51"/>
  <c r="Y736" i="51"/>
  <c r="Y735" i="51"/>
  <c r="Y734" i="51"/>
  <c r="Y733" i="51"/>
  <c r="Y732" i="51"/>
  <c r="Y731" i="51"/>
  <c r="Y730" i="51"/>
  <c r="Y729" i="51"/>
  <c r="Y722" i="51"/>
  <c r="Y721" i="51"/>
  <c r="Y720" i="51"/>
  <c r="Y719" i="51"/>
  <c r="Y718" i="51"/>
  <c r="Y717" i="51"/>
  <c r="Y710" i="51"/>
  <c r="Y709" i="51"/>
  <c r="Y708" i="51"/>
  <c r="Y707" i="51"/>
  <c r="Y706" i="51"/>
  <c r="Y705" i="51"/>
  <c r="Y704" i="51"/>
  <c r="Y703" i="51"/>
  <c r="Y702" i="51"/>
  <c r="Y701" i="51"/>
  <c r="Y700" i="51"/>
  <c r="Y699" i="51"/>
  <c r="Y698" i="51"/>
  <c r="Y697" i="51"/>
  <c r="Y696" i="51"/>
  <c r="Y695" i="51"/>
  <c r="Y694" i="51"/>
  <c r="Y693" i="51"/>
  <c r="Y692" i="51"/>
  <c r="Y691" i="51"/>
  <c r="Y690" i="51"/>
  <c r="Y689" i="51"/>
  <c r="Y688" i="51"/>
  <c r="Y687" i="51"/>
  <c r="Y686" i="51"/>
  <c r="Y685" i="51"/>
  <c r="Y684" i="51"/>
  <c r="Y683" i="51"/>
  <c r="Y682" i="51"/>
  <c r="Y681" i="51"/>
  <c r="Y680" i="51"/>
  <c r="Y679" i="51"/>
  <c r="Y678" i="51"/>
  <c r="Y677" i="51"/>
  <c r="Y676" i="51"/>
  <c r="Y675" i="51"/>
  <c r="Y674" i="51"/>
  <c r="Y673" i="51"/>
  <c r="Y672" i="51"/>
  <c r="Y671" i="51"/>
  <c r="Y670" i="51"/>
  <c r="Y663" i="51"/>
  <c r="Y662" i="51"/>
  <c r="Y661" i="51"/>
  <c r="Y660" i="51"/>
  <c r="Y659" i="51"/>
  <c r="Y658" i="51"/>
  <c r="Y657" i="51"/>
  <c r="Y656" i="51"/>
  <c r="Y655" i="51"/>
  <c r="Y654" i="51"/>
  <c r="Y653" i="51"/>
  <c r="Y652" i="51"/>
  <c r="Y651" i="51"/>
  <c r="Y650" i="51"/>
  <c r="Y649" i="51"/>
  <c r="Y648" i="51"/>
  <c r="Y647" i="51"/>
  <c r="Y646" i="51"/>
  <c r="Y645" i="51"/>
  <c r="Y644" i="51"/>
  <c r="Y643" i="51"/>
  <c r="Y642" i="51"/>
  <c r="Y641" i="51"/>
  <c r="Y640" i="51"/>
  <c r="Y639" i="51"/>
  <c r="Y638" i="51"/>
  <c r="Y637" i="51"/>
  <c r="Y636" i="51"/>
  <c r="Y635" i="51"/>
  <c r="Y634" i="51"/>
  <c r="Y633" i="51"/>
  <c r="Y632" i="51"/>
  <c r="Y631" i="51"/>
  <c r="Y630" i="51"/>
  <c r="Y629" i="51"/>
  <c r="Y628" i="51"/>
  <c r="Y627" i="51"/>
  <c r="Y626" i="51"/>
  <c r="Y625" i="51"/>
  <c r="Y624" i="51"/>
  <c r="Y623" i="51"/>
  <c r="Y622" i="51"/>
  <c r="Y621" i="51"/>
  <c r="Y620" i="51"/>
  <c r="Y619" i="51"/>
  <c r="Y618" i="51"/>
  <c r="Y617" i="51"/>
  <c r="Y616" i="51"/>
  <c r="Y615" i="51"/>
  <c r="Y614" i="51"/>
  <c r="Y613" i="51"/>
  <c r="Y612" i="51"/>
  <c r="Y611" i="51"/>
  <c r="Y610" i="51"/>
  <c r="Y609" i="51"/>
  <c r="Y608" i="51"/>
  <c r="Y607" i="51"/>
  <c r="Y606" i="51"/>
  <c r="Y605" i="51"/>
  <c r="Y604" i="51"/>
  <c r="Y603" i="51"/>
  <c r="Y602" i="51"/>
  <c r="Y601" i="51"/>
  <c r="Y600" i="51"/>
  <c r="Y599" i="51"/>
  <c r="Y598" i="51"/>
  <c r="Y597" i="51"/>
  <c r="Y596" i="51"/>
  <c r="Y589" i="51"/>
  <c r="Y588" i="51"/>
  <c r="Y581" i="51"/>
  <c r="Y580" i="51"/>
  <c r="Y579" i="51"/>
  <c r="Y578" i="51"/>
  <c r="Y577" i="51"/>
  <c r="Y576" i="51"/>
  <c r="Y575" i="51"/>
  <c r="Y574" i="51"/>
  <c r="Y573" i="51"/>
  <c r="Y572" i="51"/>
  <c r="Y571" i="51"/>
  <c r="Y570" i="51"/>
  <c r="Y569" i="51"/>
  <c r="Y568" i="51"/>
  <c r="Y567" i="51"/>
  <c r="Y566" i="51"/>
  <c r="Y565" i="51"/>
  <c r="Y564" i="51"/>
  <c r="Y563" i="51"/>
  <c r="Y562" i="51"/>
  <c r="Y561" i="51"/>
  <c r="Y560" i="51"/>
  <c r="Y559" i="51"/>
  <c r="Y558" i="51"/>
  <c r="Y557" i="51"/>
  <c r="Y556" i="51"/>
  <c r="Y555" i="51"/>
  <c r="Y554" i="51"/>
  <c r="Y553" i="51"/>
  <c r="Y546" i="51"/>
  <c r="Y545" i="51"/>
  <c r="Y544" i="51"/>
  <c r="Y543" i="51"/>
  <c r="Y542" i="51"/>
  <c r="Y541" i="51"/>
  <c r="Y540" i="51"/>
  <c r="Y539" i="51"/>
  <c r="Y538" i="51"/>
  <c r="Y537" i="51"/>
  <c r="Y536" i="51"/>
  <c r="Y535" i="51"/>
  <c r="Y534" i="51"/>
  <c r="Y533" i="51"/>
  <c r="Y532" i="51"/>
  <c r="Y531" i="51"/>
  <c r="Y530" i="51"/>
  <c r="Y529" i="51"/>
  <c r="Y528" i="51"/>
  <c r="Y527" i="51"/>
  <c r="Y526" i="51"/>
  <c r="Y525" i="51"/>
  <c r="Y524" i="51"/>
  <c r="Y523" i="51"/>
  <c r="Y522" i="51"/>
  <c r="Y521" i="51"/>
  <c r="Y520" i="51"/>
  <c r="Y519" i="51"/>
  <c r="Y518" i="51"/>
  <c r="Y517" i="51"/>
  <c r="Y516" i="51"/>
  <c r="Y515" i="51"/>
  <c r="Y514" i="51"/>
  <c r="Y513" i="51"/>
  <c r="Y512" i="51"/>
  <c r="Y511" i="51"/>
  <c r="Y510" i="51"/>
  <c r="Y509" i="51"/>
  <c r="Y508" i="51"/>
  <c r="Y507" i="51"/>
  <c r="Y506" i="51"/>
  <c r="Y505" i="51"/>
  <c r="Y504" i="51"/>
  <c r="Y503" i="51"/>
  <c r="Y502" i="51"/>
  <c r="Y501" i="51"/>
  <c r="Y500" i="51"/>
  <c r="Y499" i="51"/>
  <c r="Y498" i="51"/>
  <c r="Y497" i="51"/>
  <c r="Y496" i="51"/>
  <c r="Y495" i="51"/>
  <c r="Y494" i="51"/>
  <c r="Y493" i="51"/>
  <c r="Y492" i="51"/>
  <c r="Y491" i="51"/>
  <c r="Y490" i="51"/>
  <c r="Y489" i="51"/>
  <c r="Y488" i="51"/>
  <c r="Y487" i="51"/>
  <c r="Y486" i="51"/>
  <c r="Y485" i="51"/>
  <c r="Y484" i="51"/>
  <c r="Y483" i="51"/>
  <c r="Y482" i="51"/>
  <c r="Y481" i="51"/>
  <c r="Y480" i="51"/>
  <c r="Y479" i="51"/>
  <c r="Y478" i="51"/>
  <c r="Y477" i="51"/>
  <c r="Y476" i="51"/>
  <c r="Y475" i="51"/>
  <c r="Y474" i="51"/>
  <c r="Y473" i="51"/>
  <c r="Y472" i="51"/>
  <c r="Y471" i="51"/>
  <c r="Y470" i="51"/>
  <c r="Y469" i="51"/>
  <c r="Y468" i="51"/>
  <c r="Y467" i="51"/>
  <c r="Y466" i="51"/>
  <c r="Y465" i="51"/>
  <c r="Y464" i="51"/>
  <c r="Y463" i="51"/>
  <c r="Y462" i="51"/>
  <c r="Y461" i="51"/>
  <c r="Y460" i="51"/>
  <c r="Y459" i="51"/>
  <c r="Y458" i="51"/>
  <c r="Y457" i="51"/>
  <c r="Y456" i="51"/>
  <c r="Y455" i="51"/>
  <c r="Y454" i="51"/>
  <c r="Y453" i="51"/>
  <c r="Y452" i="51"/>
  <c r="Y451" i="51"/>
  <c r="Y450" i="51"/>
  <c r="Y449" i="51"/>
  <c r="Y448" i="51"/>
  <c r="Y447" i="51"/>
  <c r="Y446" i="51"/>
  <c r="Y445" i="51"/>
  <c r="Y444" i="51"/>
  <c r="Y443" i="51"/>
  <c r="Y442" i="51"/>
  <c r="Y441" i="51"/>
  <c r="Y440" i="51"/>
  <c r="Y439" i="51"/>
  <c r="Y438" i="51"/>
  <c r="Y437" i="51"/>
  <c r="Y436" i="51"/>
  <c r="Y435" i="51"/>
  <c r="Y434" i="51"/>
  <c r="Y433" i="51"/>
  <c r="Y432" i="51"/>
  <c r="Y431" i="51"/>
  <c r="Y430" i="51"/>
  <c r="Y429" i="51"/>
  <c r="Y428" i="51"/>
  <c r="Y427" i="51"/>
  <c r="Y426" i="51"/>
  <c r="Y425" i="51"/>
  <c r="Y424" i="51"/>
  <c r="Y423" i="51"/>
  <c r="Y422" i="51"/>
  <c r="Y421" i="51"/>
  <c r="Y420" i="51"/>
  <c r="Y419" i="51"/>
  <c r="Y418" i="51"/>
  <c r="Y417" i="51"/>
  <c r="Y416" i="51"/>
  <c r="Y415" i="51"/>
  <c r="Y414" i="51"/>
  <c r="Y413" i="51"/>
  <c r="Y412" i="51"/>
  <c r="Y411" i="51"/>
  <c r="Y410" i="51"/>
  <c r="Y409" i="51"/>
  <c r="Y408" i="51"/>
  <c r="Y407" i="51"/>
  <c r="Y406" i="51"/>
  <c r="Y405" i="51"/>
  <c r="Y404" i="51"/>
  <c r="Y403" i="51"/>
  <c r="Y402" i="51"/>
  <c r="Y401" i="51"/>
  <c r="Y400" i="51"/>
  <c r="Y399" i="51"/>
  <c r="Y398" i="51"/>
  <c r="Y397" i="51"/>
  <c r="Y396" i="51"/>
  <c r="Y395" i="51"/>
  <c r="Y394" i="51"/>
  <c r="Y393" i="51"/>
  <c r="Y392" i="51"/>
  <c r="Y391" i="51"/>
  <c r="Y390" i="51"/>
  <c r="Y389" i="51"/>
  <c r="Y388" i="51"/>
  <c r="Y387" i="51"/>
  <c r="Y386" i="51"/>
  <c r="Y385" i="51"/>
  <c r="Y384" i="51"/>
  <c r="Y383" i="51"/>
  <c r="Y382" i="51"/>
  <c r="Y381" i="51"/>
  <c r="Y380" i="51"/>
  <c r="Y379" i="51"/>
  <c r="Y378" i="51"/>
  <c r="Y377" i="51"/>
  <c r="Y376" i="51"/>
  <c r="Y375" i="51"/>
  <c r="Y374" i="51"/>
  <c r="Y373" i="51"/>
  <c r="Y372" i="51"/>
  <c r="Y371" i="51"/>
  <c r="Y370" i="51"/>
  <c r="Y369" i="51"/>
  <c r="Y368" i="51"/>
  <c r="Y367" i="51"/>
  <c r="Y366" i="51"/>
  <c r="Y365" i="51"/>
  <c r="Y364" i="51"/>
  <c r="Y363" i="51"/>
  <c r="Y362" i="51"/>
  <c r="Y361" i="51"/>
  <c r="Y360" i="51"/>
  <c r="Y359" i="51"/>
  <c r="Y358" i="51"/>
  <c r="Y357" i="51"/>
  <c r="Y356" i="51"/>
  <c r="Y355" i="51"/>
  <c r="Y354" i="51"/>
  <c r="Y353" i="51"/>
  <c r="Y352" i="51"/>
  <c r="Y351" i="51"/>
  <c r="Y350" i="51"/>
  <c r="Y349" i="51"/>
  <c r="Y348" i="51"/>
  <c r="Y347" i="51"/>
  <c r="Y346" i="51"/>
  <c r="Y345" i="51"/>
  <c r="Y344" i="51"/>
  <c r="Y343" i="51"/>
  <c r="Y342" i="51"/>
  <c r="Y341" i="51"/>
  <c r="Y340" i="51"/>
  <c r="Y339" i="51"/>
  <c r="Y338" i="51"/>
  <c r="Y337" i="51"/>
  <c r="Y336" i="51"/>
  <c r="Y335" i="51"/>
  <c r="Y334" i="51"/>
  <c r="Y333" i="51"/>
  <c r="Y332" i="51"/>
  <c r="Y331" i="51"/>
  <c r="Y330" i="51"/>
  <c r="Y329" i="51"/>
  <c r="Y328" i="51"/>
  <c r="Y327" i="51"/>
  <c r="Y326" i="51"/>
  <c r="Y325" i="51"/>
  <c r="Y324" i="51"/>
  <c r="Y323" i="51"/>
  <c r="Y322" i="51"/>
  <c r="Y321" i="51"/>
  <c r="Y320" i="51"/>
  <c r="Y319" i="51"/>
  <c r="Y318" i="51"/>
  <c r="Y317" i="51"/>
  <c r="Y316" i="51"/>
  <c r="Y315" i="51"/>
  <c r="Y314" i="51"/>
  <c r="Y313" i="51"/>
  <c r="Y312" i="51"/>
  <c r="Y311" i="51"/>
  <c r="Y310" i="51"/>
  <c r="Y309" i="51"/>
  <c r="Y308" i="51"/>
  <c r="Y307" i="51"/>
  <c r="Y306" i="51"/>
  <c r="Y305" i="51"/>
  <c r="Y304" i="51"/>
  <c r="Y303" i="51"/>
  <c r="Y302" i="51"/>
  <c r="Y301" i="51"/>
  <c r="Y300" i="51"/>
  <c r="Y299" i="51"/>
  <c r="Y298" i="51"/>
  <c r="Y297" i="51"/>
  <c r="Y296" i="51"/>
  <c r="Y295" i="51"/>
  <c r="Y294" i="51"/>
  <c r="Y293" i="51"/>
  <c r="Y292" i="51"/>
  <c r="Y291" i="51"/>
  <c r="Y290" i="51"/>
  <c r="Y289" i="51"/>
  <c r="Y288" i="51"/>
  <c r="Y287" i="51"/>
  <c r="Y286" i="51"/>
  <c r="Y285" i="51"/>
  <c r="Y284" i="51"/>
  <c r="Y283" i="51"/>
  <c r="Y282" i="51"/>
  <c r="Y281" i="51"/>
  <c r="Y280" i="51"/>
  <c r="Y279" i="51"/>
  <c r="Y278" i="51"/>
  <c r="Y277" i="51"/>
  <c r="Y276" i="51"/>
  <c r="Y275" i="51"/>
  <c r="Y274" i="51"/>
  <c r="Y273" i="51"/>
  <c r="Y272" i="51"/>
  <c r="Y271" i="51"/>
  <c r="Y270" i="51"/>
  <c r="Y269" i="51"/>
  <c r="Y268" i="51"/>
  <c r="Y267" i="51"/>
  <c r="Y266" i="51"/>
  <c r="Y265" i="51"/>
  <c r="Y264" i="51"/>
  <c r="Y263" i="51"/>
  <c r="Y262" i="51"/>
  <c r="Y261" i="51"/>
  <c r="Y260" i="51"/>
  <c r="Y259" i="51"/>
  <c r="Y258" i="51"/>
  <c r="Y257" i="51"/>
  <c r="Y256" i="51"/>
  <c r="Y255" i="51"/>
  <c r="Y254" i="51"/>
  <c r="Y253" i="51"/>
  <c r="Y252" i="51"/>
  <c r="Y251" i="51"/>
  <c r="Y250" i="51"/>
  <c r="Y249" i="51"/>
  <c r="Y248" i="51"/>
  <c r="Y247" i="51"/>
  <c r="Y246" i="51"/>
  <c r="Y245" i="51"/>
  <c r="Y244" i="51"/>
  <c r="Y243" i="51"/>
  <c r="Y242" i="51"/>
  <c r="Y241" i="51"/>
  <c r="Y240" i="51"/>
  <c r="Y239" i="51"/>
  <c r="Y238" i="51"/>
  <c r="Y237" i="51"/>
  <c r="Y236" i="51"/>
  <c r="Y235" i="51"/>
  <c r="Y234" i="51"/>
  <c r="Y233" i="51"/>
  <c r="Y232" i="51"/>
  <c r="Y231" i="51"/>
  <c r="Y230" i="51"/>
  <c r="Y229" i="51"/>
  <c r="Y228" i="51"/>
  <c r="Y227" i="51"/>
  <c r="Y226" i="51"/>
  <c r="Y225" i="51"/>
  <c r="Y224" i="51"/>
  <c r="Y223" i="51"/>
  <c r="Y222" i="51"/>
  <c r="Y221" i="51"/>
  <c r="Y220" i="51"/>
  <c r="Y219" i="51"/>
  <c r="Y218" i="51"/>
  <c r="Y217" i="51"/>
  <c r="Y216" i="51"/>
  <c r="Y215" i="51"/>
  <c r="Y214" i="51"/>
  <c r="Y213" i="51"/>
  <c r="Y212" i="51"/>
  <c r="Y211" i="51"/>
  <c r="Y210" i="51"/>
  <c r="Y209" i="51"/>
  <c r="Y208" i="51"/>
  <c r="Y207" i="51"/>
  <c r="Y206" i="51"/>
  <c r="Y205" i="51"/>
  <c r="Y204" i="51"/>
  <c r="Y203" i="51"/>
  <c r="Y202" i="51"/>
  <c r="Y201" i="51"/>
  <c r="Y200" i="51"/>
  <c r="Y199" i="51"/>
  <c r="Y198" i="51"/>
  <c r="Y197" i="51"/>
  <c r="Y196" i="51"/>
  <c r="Y195" i="51"/>
  <c r="Y194" i="51"/>
  <c r="Y193" i="51"/>
  <c r="Y192" i="51"/>
  <c r="Y191" i="51"/>
  <c r="Y190" i="51"/>
  <c r="Y189" i="51"/>
  <c r="Y188" i="51"/>
  <c r="Y187" i="51"/>
  <c r="Y186" i="51"/>
  <c r="Y185" i="51"/>
  <c r="Y184" i="51"/>
  <c r="Y183" i="51"/>
  <c r="Y182" i="51"/>
  <c r="Y181" i="51"/>
  <c r="Y180" i="51"/>
  <c r="Y179" i="51"/>
  <c r="Y178" i="51"/>
  <c r="Y177" i="51"/>
  <c r="Y176" i="51"/>
  <c r="Y175" i="51"/>
  <c r="Y174" i="51"/>
  <c r="Y173" i="51"/>
  <c r="Y172" i="51"/>
  <c r="Y171" i="51"/>
  <c r="Y170" i="51"/>
  <c r="Y169" i="51"/>
  <c r="Y168" i="51"/>
  <c r="Y167" i="51"/>
  <c r="Y166" i="51"/>
  <c r="Y165" i="51"/>
  <c r="Y164" i="51"/>
  <c r="Y163" i="51"/>
  <c r="Y162" i="51"/>
  <c r="Y161" i="51"/>
  <c r="Y160" i="51"/>
  <c r="Y159" i="51"/>
  <c r="Y158" i="51"/>
  <c r="Y157" i="51"/>
  <c r="Y156" i="51"/>
  <c r="Y155" i="51"/>
  <c r="Y154" i="51"/>
  <c r="Y153" i="51"/>
  <c r="Y152" i="51"/>
  <c r="Y151" i="51"/>
  <c r="Y150" i="51"/>
  <c r="Y149" i="51"/>
  <c r="Y148" i="51"/>
  <c r="Y147" i="51"/>
  <c r="Y146" i="51"/>
  <c r="Y145" i="51"/>
  <c r="Y144" i="51"/>
  <c r="Y143" i="51"/>
  <c r="Y142" i="51"/>
  <c r="Y141" i="51"/>
  <c r="Y140" i="51"/>
  <c r="Y139" i="51"/>
  <c r="Y138" i="51"/>
  <c r="Y137" i="51"/>
  <c r="Y136" i="51"/>
  <c r="Y135" i="51"/>
  <c r="Y134" i="51"/>
  <c r="Y133" i="51"/>
  <c r="Y132" i="51"/>
  <c r="Y131" i="51"/>
  <c r="Y130" i="51"/>
  <c r="Y129" i="51"/>
  <c r="Y128" i="51"/>
  <c r="Y127" i="51"/>
  <c r="Y126" i="51"/>
  <c r="Y125" i="51"/>
  <c r="Y124" i="51"/>
  <c r="Y123" i="51"/>
  <c r="Y122" i="51"/>
  <c r="Y121" i="51"/>
  <c r="Y120" i="51"/>
  <c r="Y119" i="51"/>
  <c r="Y118" i="51"/>
  <c r="Y117" i="51"/>
  <c r="Y116" i="51"/>
  <c r="Y115" i="51"/>
  <c r="Y114" i="51"/>
  <c r="Y113" i="51"/>
  <c r="Y112" i="51"/>
  <c r="Y111" i="51"/>
  <c r="Y110" i="51"/>
  <c r="Y109" i="51"/>
  <c r="Y108" i="51"/>
  <c r="Y107" i="51"/>
  <c r="Y106" i="51"/>
  <c r="Y105" i="51"/>
  <c r="Y104" i="51"/>
  <c r="Y103" i="51"/>
  <c r="Y102" i="51"/>
  <c r="Y101" i="51"/>
  <c r="Y100" i="51"/>
  <c r="Y99" i="51"/>
  <c r="Y98" i="51"/>
  <c r="Y97" i="51"/>
  <c r="Y96" i="51"/>
  <c r="Y95" i="51"/>
  <c r="Y94" i="51"/>
  <c r="Y93" i="51"/>
  <c r="Y92" i="51"/>
  <c r="Y91" i="51"/>
  <c r="Y90" i="51"/>
  <c r="Y89" i="51"/>
  <c r="Y88" i="51"/>
  <c r="Y87" i="51"/>
  <c r="Y86" i="51"/>
  <c r="Y85" i="51"/>
  <c r="Y84" i="51"/>
  <c r="Y83" i="51"/>
  <c r="Y82" i="51"/>
  <c r="Y81" i="51"/>
  <c r="Y80" i="51"/>
  <c r="Y79" i="51"/>
  <c r="Y78" i="51"/>
  <c r="Y77" i="51"/>
  <c r="Y76" i="51"/>
  <c r="Y75" i="51"/>
  <c r="Y74" i="51"/>
  <c r="Y73" i="51"/>
  <c r="Y72" i="51"/>
  <c r="Y71" i="51"/>
  <c r="Y70" i="51"/>
  <c r="Y69" i="51"/>
  <c r="Y68" i="51"/>
  <c r="Y67" i="51"/>
  <c r="Y66" i="51"/>
  <c r="T59" i="51"/>
  <c r="Y59" i="51" s="1"/>
  <c r="Y58" i="51"/>
  <c r="T58" i="51"/>
  <c r="T57" i="51"/>
  <c r="Y57" i="51" s="1"/>
  <c r="T56" i="51"/>
  <c r="Y56" i="51" s="1"/>
  <c r="T55" i="51"/>
  <c r="Y55" i="51" s="1"/>
  <c r="T54" i="51"/>
  <c r="Y54" i="51" s="1"/>
  <c r="T53" i="51"/>
  <c r="Y53" i="51" s="1"/>
  <c r="Y52" i="51"/>
  <c r="T52" i="51"/>
  <c r="Y51" i="51"/>
  <c r="T51" i="51"/>
  <c r="Y50" i="51"/>
  <c r="T50" i="51"/>
  <c r="Y49" i="51"/>
  <c r="T49" i="51"/>
  <c r="Y48" i="51"/>
  <c r="T48" i="51"/>
  <c r="Y47" i="51"/>
  <c r="T47" i="51"/>
  <c r="Y46" i="51"/>
  <c r="T46" i="51"/>
  <c r="Y45" i="51"/>
  <c r="T45" i="51"/>
  <c r="Y44" i="51"/>
  <c r="T44" i="51"/>
  <c r="Y43" i="51"/>
  <c r="T43" i="51"/>
  <c r="Y42" i="51"/>
  <c r="T42" i="51"/>
  <c r="Y41" i="51"/>
  <c r="T41" i="51"/>
  <c r="Y40" i="51"/>
  <c r="T40" i="51"/>
  <c r="Y39" i="51"/>
  <c r="T39" i="51"/>
  <c r="Y38" i="51"/>
  <c r="T38" i="51"/>
  <c r="Y37" i="51"/>
  <c r="T37" i="51"/>
  <c r="Y36" i="51"/>
  <c r="T36" i="51"/>
  <c r="Y35" i="51"/>
  <c r="T35" i="51"/>
  <c r="Y34" i="51"/>
  <c r="T34" i="51"/>
  <c r="Y33" i="51"/>
  <c r="T33" i="51"/>
  <c r="Y32" i="51"/>
  <c r="T32" i="51"/>
  <c r="Y31" i="51"/>
  <c r="T31" i="51"/>
  <c r="Y30" i="51"/>
  <c r="T30" i="51"/>
  <c r="Y29" i="51"/>
  <c r="T29" i="51"/>
  <c r="T60" i="51" s="1"/>
  <c r="T61" i="51" s="1"/>
  <c r="F222" i="50"/>
  <c r="B222" i="50"/>
  <c r="H222" i="50" s="1"/>
  <c r="A222" i="50"/>
  <c r="F221" i="50"/>
  <c r="E221" i="50"/>
  <c r="E222" i="50" s="1"/>
  <c r="D221" i="50"/>
  <c r="D222" i="50" s="1"/>
  <c r="C221" i="50"/>
  <c r="C222" i="50" s="1"/>
  <c r="B221" i="50"/>
  <c r="F220" i="50"/>
  <c r="E220" i="50"/>
  <c r="D220" i="50"/>
  <c r="C220" i="50"/>
  <c r="B220" i="50"/>
  <c r="A220" i="50"/>
  <c r="A219" i="50"/>
  <c r="A216" i="50"/>
  <c r="F214" i="50"/>
  <c r="E214" i="50"/>
  <c r="D214" i="50"/>
  <c r="C214" i="50"/>
  <c r="B214" i="50"/>
  <c r="A214" i="50"/>
  <c r="F213" i="50"/>
  <c r="E213" i="50"/>
  <c r="D213" i="50"/>
  <c r="C213" i="50"/>
  <c r="B213" i="50"/>
  <c r="A213" i="50"/>
  <c r="F212" i="50"/>
  <c r="E212" i="50"/>
  <c r="D212" i="50"/>
  <c r="C212" i="50"/>
  <c r="B212" i="50"/>
  <c r="A212" i="50"/>
  <c r="F211" i="50"/>
  <c r="E211" i="50"/>
  <c r="D211" i="50"/>
  <c r="C211" i="50"/>
  <c r="B211" i="50"/>
  <c r="A211" i="50"/>
  <c r="F210" i="50"/>
  <c r="E210" i="50"/>
  <c r="D210" i="50"/>
  <c r="C210" i="50"/>
  <c r="B210" i="50"/>
  <c r="A210" i="50"/>
  <c r="F209" i="50"/>
  <c r="E209" i="50"/>
  <c r="D209" i="50"/>
  <c r="C209" i="50"/>
  <c r="B209" i="50"/>
  <c r="A209" i="50"/>
  <c r="F208" i="50"/>
  <c r="E208" i="50"/>
  <c r="D208" i="50"/>
  <c r="C208" i="50"/>
  <c r="B208" i="50"/>
  <c r="A208" i="50"/>
  <c r="F207" i="50"/>
  <c r="E207" i="50"/>
  <c r="E215" i="50" s="1"/>
  <c r="D207" i="50"/>
  <c r="D215" i="50" s="1"/>
  <c r="C207" i="50"/>
  <c r="B207" i="50"/>
  <c r="A207" i="50"/>
  <c r="F205" i="50"/>
  <c r="E205" i="50"/>
  <c r="D205" i="50"/>
  <c r="C205" i="50"/>
  <c r="B205" i="50"/>
  <c r="A205" i="50"/>
  <c r="F204" i="50"/>
  <c r="E204" i="50"/>
  <c r="D204" i="50"/>
  <c r="C204" i="50"/>
  <c r="B204" i="50"/>
  <c r="A204" i="50"/>
  <c r="F203" i="50"/>
  <c r="E203" i="50"/>
  <c r="D203" i="50"/>
  <c r="C203" i="50"/>
  <c r="B203" i="50"/>
  <c r="A203" i="50"/>
  <c r="F202" i="50"/>
  <c r="E202" i="50"/>
  <c r="D202" i="50"/>
  <c r="C202" i="50"/>
  <c r="B202" i="50"/>
  <c r="A202" i="50"/>
  <c r="F201" i="50"/>
  <c r="E201" i="50"/>
  <c r="D201" i="50"/>
  <c r="C201" i="50"/>
  <c r="H201" i="50" s="1"/>
  <c r="B201" i="50"/>
  <c r="A201" i="50"/>
  <c r="F200" i="50"/>
  <c r="E200" i="50"/>
  <c r="D200" i="50"/>
  <c r="C200" i="50"/>
  <c r="B200" i="50"/>
  <c r="A200" i="50"/>
  <c r="F199" i="50"/>
  <c r="E199" i="50"/>
  <c r="D199" i="50"/>
  <c r="C199" i="50"/>
  <c r="B199" i="50"/>
  <c r="A199" i="50"/>
  <c r="F198" i="50"/>
  <c r="E198" i="50"/>
  <c r="D198" i="50"/>
  <c r="C198" i="50"/>
  <c r="B198" i="50"/>
  <c r="A198" i="50"/>
  <c r="F197" i="50"/>
  <c r="E197" i="50"/>
  <c r="D197" i="50"/>
  <c r="C197" i="50"/>
  <c r="B197" i="50"/>
  <c r="A197" i="50"/>
  <c r="F196" i="50"/>
  <c r="E196" i="50"/>
  <c r="D196" i="50"/>
  <c r="C196" i="50"/>
  <c r="B196" i="50"/>
  <c r="A196" i="50"/>
  <c r="F195" i="50"/>
  <c r="E195" i="50"/>
  <c r="D195" i="50"/>
  <c r="C195" i="50"/>
  <c r="B195" i="50"/>
  <c r="A195" i="50"/>
  <c r="F194" i="50"/>
  <c r="E194" i="50"/>
  <c r="D194" i="50"/>
  <c r="C194" i="50"/>
  <c r="B194" i="50"/>
  <c r="A194" i="50"/>
  <c r="F193" i="50"/>
  <c r="E193" i="50"/>
  <c r="D193" i="50"/>
  <c r="C193" i="50"/>
  <c r="B193" i="50"/>
  <c r="A193" i="50"/>
  <c r="F192" i="50"/>
  <c r="E192" i="50"/>
  <c r="D192" i="50"/>
  <c r="C192" i="50"/>
  <c r="B192" i="50"/>
  <c r="A192" i="50"/>
  <c r="F191" i="50"/>
  <c r="E191" i="50"/>
  <c r="D191" i="50"/>
  <c r="C191" i="50"/>
  <c r="B191" i="50"/>
  <c r="A191" i="50"/>
  <c r="F190" i="50"/>
  <c r="E190" i="50"/>
  <c r="D190" i="50"/>
  <c r="C190" i="50"/>
  <c r="B190" i="50"/>
  <c r="A190" i="50"/>
  <c r="F189" i="50"/>
  <c r="E189" i="50"/>
  <c r="D189" i="50"/>
  <c r="C189" i="50"/>
  <c r="B189" i="50"/>
  <c r="A189" i="50"/>
  <c r="F188" i="50"/>
  <c r="E188" i="50"/>
  <c r="D188" i="50"/>
  <c r="C188" i="50"/>
  <c r="B188" i="50"/>
  <c r="A188" i="50"/>
  <c r="F187" i="50"/>
  <c r="E187" i="50"/>
  <c r="D187" i="50"/>
  <c r="C187" i="50"/>
  <c r="B187" i="50"/>
  <c r="A187" i="50"/>
  <c r="F185" i="50"/>
  <c r="E185" i="50"/>
  <c r="D185" i="50"/>
  <c r="C185" i="50"/>
  <c r="B185" i="50"/>
  <c r="A185" i="50"/>
  <c r="F184" i="50"/>
  <c r="E184" i="50"/>
  <c r="D184" i="50"/>
  <c r="C184" i="50"/>
  <c r="B184" i="50"/>
  <c r="A184" i="50"/>
  <c r="F183" i="50"/>
  <c r="E183" i="50"/>
  <c r="D183" i="50"/>
  <c r="C183" i="50"/>
  <c r="B183" i="50"/>
  <c r="A183" i="50"/>
  <c r="F182" i="50"/>
  <c r="E182" i="50"/>
  <c r="D182" i="50"/>
  <c r="C182" i="50"/>
  <c r="B182" i="50"/>
  <c r="A182" i="50"/>
  <c r="F181" i="50"/>
  <c r="E181" i="50"/>
  <c r="D181" i="50"/>
  <c r="C181" i="50"/>
  <c r="B181" i="50"/>
  <c r="A181" i="50"/>
  <c r="F180" i="50"/>
  <c r="E180" i="50"/>
  <c r="D180" i="50"/>
  <c r="C180" i="50"/>
  <c r="B180" i="50"/>
  <c r="A180" i="50"/>
  <c r="F179" i="50"/>
  <c r="E179" i="50"/>
  <c r="D179" i="50"/>
  <c r="C179" i="50"/>
  <c r="B179" i="50"/>
  <c r="A179" i="50"/>
  <c r="F178" i="50"/>
  <c r="E178" i="50"/>
  <c r="D178" i="50"/>
  <c r="C178" i="50"/>
  <c r="B178" i="50"/>
  <c r="A178" i="50"/>
  <c r="F177" i="50"/>
  <c r="E177" i="50"/>
  <c r="D177" i="50"/>
  <c r="C177" i="50"/>
  <c r="B177" i="50"/>
  <c r="A177" i="50"/>
  <c r="F176" i="50"/>
  <c r="E176" i="50"/>
  <c r="D176" i="50"/>
  <c r="C176" i="50"/>
  <c r="B176" i="50"/>
  <c r="A176" i="50"/>
  <c r="F175" i="50"/>
  <c r="E175" i="50"/>
  <c r="D175" i="50"/>
  <c r="C175" i="50"/>
  <c r="B175" i="50"/>
  <c r="A175" i="50"/>
  <c r="F174" i="50"/>
  <c r="E174" i="50"/>
  <c r="D174" i="50"/>
  <c r="C174" i="50"/>
  <c r="B174" i="50"/>
  <c r="A174" i="50"/>
  <c r="F173" i="50"/>
  <c r="E173" i="50"/>
  <c r="D173" i="50"/>
  <c r="C173" i="50"/>
  <c r="B173" i="50"/>
  <c r="A173" i="50"/>
  <c r="F172" i="50"/>
  <c r="E172" i="50"/>
  <c r="D172" i="50"/>
  <c r="C172" i="50"/>
  <c r="B172" i="50"/>
  <c r="A172" i="50"/>
  <c r="F171" i="50"/>
  <c r="E171" i="50"/>
  <c r="D171" i="50"/>
  <c r="C171" i="50"/>
  <c r="B171" i="50"/>
  <c r="A171" i="50"/>
  <c r="F170" i="50"/>
  <c r="E170" i="50"/>
  <c r="D170" i="50"/>
  <c r="C170" i="50"/>
  <c r="C186" i="50" s="1"/>
  <c r="B170" i="50"/>
  <c r="A170" i="50"/>
  <c r="A169" i="50"/>
  <c r="A165" i="50"/>
  <c r="F163" i="50"/>
  <c r="E163" i="50"/>
  <c r="D163" i="50"/>
  <c r="C163" i="50"/>
  <c r="B163" i="50"/>
  <c r="A163" i="50"/>
  <c r="F162" i="50"/>
  <c r="E162" i="50"/>
  <c r="D162" i="50"/>
  <c r="C162" i="50"/>
  <c r="B162" i="50"/>
  <c r="A162" i="50"/>
  <c r="F161" i="50"/>
  <c r="E161" i="50"/>
  <c r="D161" i="50"/>
  <c r="C161" i="50"/>
  <c r="B161" i="50"/>
  <c r="A161" i="50"/>
  <c r="F160" i="50"/>
  <c r="E160" i="50"/>
  <c r="D160" i="50"/>
  <c r="C160" i="50"/>
  <c r="B160" i="50"/>
  <c r="A160" i="50"/>
  <c r="F159" i="50"/>
  <c r="E159" i="50"/>
  <c r="D159" i="50"/>
  <c r="C159" i="50"/>
  <c r="B159" i="50"/>
  <c r="A159" i="50"/>
  <c r="F158" i="50"/>
  <c r="E158" i="50"/>
  <c r="D158" i="50"/>
  <c r="C158" i="50"/>
  <c r="B158" i="50"/>
  <c r="A158" i="50"/>
  <c r="F157" i="50"/>
  <c r="E157" i="50"/>
  <c r="D157" i="50"/>
  <c r="C157" i="50"/>
  <c r="B157" i="50"/>
  <c r="A157" i="50"/>
  <c r="F156" i="50"/>
  <c r="E156" i="50"/>
  <c r="D156" i="50"/>
  <c r="C156" i="50"/>
  <c r="B156" i="50"/>
  <c r="A156" i="50"/>
  <c r="F155" i="50"/>
  <c r="E155" i="50"/>
  <c r="D155" i="50"/>
  <c r="C155" i="50"/>
  <c r="B155" i="50"/>
  <c r="A155" i="50"/>
  <c r="F154" i="50"/>
  <c r="E154" i="50"/>
  <c r="D154" i="50"/>
  <c r="C154" i="50"/>
  <c r="B154" i="50"/>
  <c r="A154" i="50"/>
  <c r="F153" i="50"/>
  <c r="E153" i="50"/>
  <c r="D153" i="50"/>
  <c r="C153" i="50"/>
  <c r="B153" i="50"/>
  <c r="A153" i="50"/>
  <c r="F152" i="50"/>
  <c r="E152" i="50"/>
  <c r="D152" i="50"/>
  <c r="C152" i="50"/>
  <c r="B152" i="50"/>
  <c r="A152" i="50"/>
  <c r="F151" i="50"/>
  <c r="E151" i="50"/>
  <c r="D151" i="50"/>
  <c r="C151" i="50"/>
  <c r="B151" i="50"/>
  <c r="A151" i="50"/>
  <c r="F150" i="50"/>
  <c r="E150" i="50"/>
  <c r="D150" i="50"/>
  <c r="C150" i="50"/>
  <c r="B150" i="50"/>
  <c r="A150" i="50"/>
  <c r="F149" i="50"/>
  <c r="E149" i="50"/>
  <c r="D149" i="50"/>
  <c r="C149" i="50"/>
  <c r="B149" i="50"/>
  <c r="A149" i="50"/>
  <c r="F148" i="50"/>
  <c r="E148" i="50"/>
  <c r="D148" i="50"/>
  <c r="C148" i="50"/>
  <c r="B148" i="50"/>
  <c r="A148" i="50"/>
  <c r="F147" i="50"/>
  <c r="E147" i="50"/>
  <c r="D147" i="50"/>
  <c r="C147" i="50"/>
  <c r="B147" i="50"/>
  <c r="A147" i="50"/>
  <c r="F146" i="50"/>
  <c r="E146" i="50"/>
  <c r="D146" i="50"/>
  <c r="C146" i="50"/>
  <c r="B146" i="50"/>
  <c r="A146" i="50"/>
  <c r="F145" i="50"/>
  <c r="E145" i="50"/>
  <c r="D145" i="50"/>
  <c r="C145" i="50"/>
  <c r="B145" i="50"/>
  <c r="A145" i="50"/>
  <c r="F144" i="50"/>
  <c r="E144" i="50"/>
  <c r="D144" i="50"/>
  <c r="C144" i="50"/>
  <c r="B144" i="50"/>
  <c r="A144" i="50"/>
  <c r="F143" i="50"/>
  <c r="E143" i="50"/>
  <c r="D143" i="50"/>
  <c r="C143" i="50"/>
  <c r="B143" i="50"/>
  <c r="A143" i="50"/>
  <c r="F142" i="50"/>
  <c r="E142" i="50"/>
  <c r="D142" i="50"/>
  <c r="C142" i="50"/>
  <c r="B142" i="50"/>
  <c r="A142" i="50"/>
  <c r="A141" i="50"/>
  <c r="A139" i="50"/>
  <c r="F137" i="50"/>
  <c r="E137" i="50"/>
  <c r="D137" i="50"/>
  <c r="C137" i="50"/>
  <c r="H137" i="50" s="1"/>
  <c r="B137" i="50"/>
  <c r="A137" i="50"/>
  <c r="F136" i="50"/>
  <c r="E136" i="50"/>
  <c r="D136" i="50"/>
  <c r="C136" i="50"/>
  <c r="B136" i="50"/>
  <c r="A136" i="50"/>
  <c r="F135" i="50"/>
  <c r="E135" i="50"/>
  <c r="D135" i="50"/>
  <c r="C135" i="50"/>
  <c r="B135" i="50"/>
  <c r="A135" i="50"/>
  <c r="F134" i="50"/>
  <c r="E134" i="50"/>
  <c r="D134" i="50"/>
  <c r="C134" i="50"/>
  <c r="B134" i="50"/>
  <c r="A134" i="50"/>
  <c r="F133" i="50"/>
  <c r="E133" i="50"/>
  <c r="D133" i="50"/>
  <c r="C133" i="50"/>
  <c r="B133" i="50"/>
  <c r="A133" i="50"/>
  <c r="F132" i="50"/>
  <c r="E132" i="50"/>
  <c r="D132" i="50"/>
  <c r="C132" i="50"/>
  <c r="B132" i="50"/>
  <c r="A132" i="50"/>
  <c r="F131" i="50"/>
  <c r="E131" i="50"/>
  <c r="D131" i="50"/>
  <c r="C131" i="50"/>
  <c r="B131" i="50"/>
  <c r="A131" i="50"/>
  <c r="A130" i="50"/>
  <c r="A128" i="50"/>
  <c r="F126" i="50"/>
  <c r="E126" i="50"/>
  <c r="D126" i="50"/>
  <c r="C126" i="50"/>
  <c r="B126" i="50"/>
  <c r="A126" i="50"/>
  <c r="F125" i="50"/>
  <c r="E125" i="50"/>
  <c r="D125" i="50"/>
  <c r="C125" i="50"/>
  <c r="B125" i="50"/>
  <c r="A125" i="50"/>
  <c r="F124" i="50"/>
  <c r="E124" i="50"/>
  <c r="D124" i="50"/>
  <c r="C124" i="50"/>
  <c r="B124" i="50"/>
  <c r="A124" i="50"/>
  <c r="F123" i="50"/>
  <c r="E123" i="50"/>
  <c r="D123" i="50"/>
  <c r="C123" i="50"/>
  <c r="B123" i="50"/>
  <c r="A123" i="50"/>
  <c r="F122" i="50"/>
  <c r="E122" i="50"/>
  <c r="D122" i="50"/>
  <c r="C122" i="50"/>
  <c r="B122" i="50"/>
  <c r="A122" i="50"/>
  <c r="F121" i="50"/>
  <c r="E121" i="50"/>
  <c r="D121" i="50"/>
  <c r="C121" i="50"/>
  <c r="B121" i="50"/>
  <c r="A121" i="50"/>
  <c r="F120" i="50"/>
  <c r="E120" i="50"/>
  <c r="D120" i="50"/>
  <c r="C120" i="50"/>
  <c r="B120" i="50"/>
  <c r="A120" i="50"/>
  <c r="F119" i="50"/>
  <c r="E119" i="50"/>
  <c r="D119" i="50"/>
  <c r="C119" i="50"/>
  <c r="B119" i="50"/>
  <c r="A119" i="50"/>
  <c r="F118" i="50"/>
  <c r="E118" i="50"/>
  <c r="D118" i="50"/>
  <c r="C118" i="50"/>
  <c r="B118" i="50"/>
  <c r="A118" i="50"/>
  <c r="F117" i="50"/>
  <c r="E117" i="50"/>
  <c r="D117" i="50"/>
  <c r="C117" i="50"/>
  <c r="B117" i="50"/>
  <c r="A117" i="50"/>
  <c r="F116" i="50"/>
  <c r="E116" i="50"/>
  <c r="D116" i="50"/>
  <c r="C116" i="50"/>
  <c r="B116" i="50"/>
  <c r="A116" i="50"/>
  <c r="F115" i="50"/>
  <c r="E115" i="50"/>
  <c r="D115" i="50"/>
  <c r="C115" i="50"/>
  <c r="B115" i="50"/>
  <c r="A115" i="50"/>
  <c r="F114" i="50"/>
  <c r="E114" i="50"/>
  <c r="E127" i="50" s="1"/>
  <c r="E128" i="50" s="1"/>
  <c r="D114" i="50"/>
  <c r="C114" i="50"/>
  <c r="B114" i="50"/>
  <c r="A114" i="50"/>
  <c r="A113" i="50"/>
  <c r="A111" i="50"/>
  <c r="F109" i="50"/>
  <c r="E109" i="50"/>
  <c r="D109" i="50"/>
  <c r="C109" i="50"/>
  <c r="B109" i="50"/>
  <c r="A109" i="50"/>
  <c r="F108" i="50"/>
  <c r="E108" i="50"/>
  <c r="D108" i="50"/>
  <c r="C108" i="50"/>
  <c r="B108" i="50"/>
  <c r="A108" i="50"/>
  <c r="F107" i="50"/>
  <c r="E107" i="50"/>
  <c r="D107" i="50"/>
  <c r="C107" i="50"/>
  <c r="B107" i="50"/>
  <c r="A107" i="50"/>
  <c r="F106" i="50"/>
  <c r="E106" i="50"/>
  <c r="D106" i="50"/>
  <c r="C106" i="50"/>
  <c r="B106" i="50"/>
  <c r="A106" i="50"/>
  <c r="F105" i="50"/>
  <c r="E105" i="50"/>
  <c r="D105" i="50"/>
  <c r="C105" i="50"/>
  <c r="B105" i="50"/>
  <c r="A105" i="50"/>
  <c r="F104" i="50"/>
  <c r="E104" i="50"/>
  <c r="D104" i="50"/>
  <c r="C104" i="50"/>
  <c r="B104" i="50"/>
  <c r="A104" i="50"/>
  <c r="F103" i="50"/>
  <c r="E103" i="50"/>
  <c r="D103" i="50"/>
  <c r="C103" i="50"/>
  <c r="B103" i="50"/>
  <c r="A103" i="50"/>
  <c r="F102" i="50"/>
  <c r="F110" i="50" s="1"/>
  <c r="F111" i="50" s="1"/>
  <c r="E102" i="50"/>
  <c r="D102" i="50"/>
  <c r="C102" i="50"/>
  <c r="B102" i="50"/>
  <c r="A102" i="50"/>
  <c r="A101" i="50"/>
  <c r="A97" i="50"/>
  <c r="F95" i="50"/>
  <c r="E95" i="50"/>
  <c r="D95" i="50"/>
  <c r="C95" i="50"/>
  <c r="B95" i="50"/>
  <c r="A95" i="50"/>
  <c r="F94" i="50"/>
  <c r="E94" i="50"/>
  <c r="D94" i="50"/>
  <c r="C94" i="50"/>
  <c r="H94" i="50" s="1"/>
  <c r="B94" i="50"/>
  <c r="A94" i="50"/>
  <c r="F93" i="50"/>
  <c r="E93" i="50"/>
  <c r="D93" i="50"/>
  <c r="C93" i="50"/>
  <c r="B93" i="50"/>
  <c r="A93" i="50"/>
  <c r="F92" i="50"/>
  <c r="E92" i="50"/>
  <c r="D92" i="50"/>
  <c r="C92" i="50"/>
  <c r="H92" i="50" s="1"/>
  <c r="B92" i="50"/>
  <c r="A92" i="50"/>
  <c r="F91" i="50"/>
  <c r="E91" i="50"/>
  <c r="D91" i="50"/>
  <c r="C91" i="50"/>
  <c r="B91" i="50"/>
  <c r="A91" i="50"/>
  <c r="F90" i="50"/>
  <c r="E90" i="50"/>
  <c r="D90" i="50"/>
  <c r="C90" i="50"/>
  <c r="H90" i="50" s="1"/>
  <c r="B90" i="50"/>
  <c r="A90" i="50"/>
  <c r="F89" i="50"/>
  <c r="E89" i="50"/>
  <c r="D89" i="50"/>
  <c r="C89" i="50"/>
  <c r="B89" i="50"/>
  <c r="A89" i="50"/>
  <c r="F88" i="50"/>
  <c r="E88" i="50"/>
  <c r="D88" i="50"/>
  <c r="C88" i="50"/>
  <c r="B88" i="50"/>
  <c r="A88" i="50"/>
  <c r="A87" i="50"/>
  <c r="A85" i="50"/>
  <c r="F83" i="50"/>
  <c r="E83" i="50"/>
  <c r="D83" i="50"/>
  <c r="C83" i="50"/>
  <c r="B83" i="50"/>
  <c r="A83" i="50"/>
  <c r="F82" i="50"/>
  <c r="E82" i="50"/>
  <c r="D82" i="50"/>
  <c r="C82" i="50"/>
  <c r="B82" i="50"/>
  <c r="A82" i="50"/>
  <c r="F81" i="50"/>
  <c r="E81" i="50"/>
  <c r="D81" i="50"/>
  <c r="C81" i="50"/>
  <c r="B81" i="50"/>
  <c r="A81" i="50"/>
  <c r="F80" i="50"/>
  <c r="E80" i="50"/>
  <c r="D80" i="50"/>
  <c r="C80" i="50"/>
  <c r="B80" i="50"/>
  <c r="A80" i="50"/>
  <c r="F79" i="50"/>
  <c r="E79" i="50"/>
  <c r="D79" i="50"/>
  <c r="C79" i="50"/>
  <c r="B79" i="50"/>
  <c r="A79" i="50"/>
  <c r="F78" i="50"/>
  <c r="E78" i="50"/>
  <c r="D78" i="50"/>
  <c r="C78" i="50"/>
  <c r="B78" i="50"/>
  <c r="A78" i="50"/>
  <c r="F77" i="50"/>
  <c r="E77" i="50"/>
  <c r="D77" i="50"/>
  <c r="C77" i="50"/>
  <c r="B77" i="50"/>
  <c r="A77" i="50"/>
  <c r="F76" i="50"/>
  <c r="E76" i="50"/>
  <c r="D76" i="50"/>
  <c r="C76" i="50"/>
  <c r="B76" i="50"/>
  <c r="A76" i="50"/>
  <c r="F75" i="50"/>
  <c r="E75" i="50"/>
  <c r="D75" i="50"/>
  <c r="C75" i="50"/>
  <c r="B75" i="50"/>
  <c r="A75" i="50"/>
  <c r="F74" i="50"/>
  <c r="E74" i="50"/>
  <c r="D74" i="50"/>
  <c r="C74" i="50"/>
  <c r="B74" i="50"/>
  <c r="A74" i="50"/>
  <c r="F73" i="50"/>
  <c r="E73" i="50"/>
  <c r="D73" i="50"/>
  <c r="D84" i="50" s="1"/>
  <c r="D85" i="50" s="1"/>
  <c r="C73" i="50"/>
  <c r="B73" i="50"/>
  <c r="A73" i="50"/>
  <c r="A72" i="50"/>
  <c r="A70" i="50"/>
  <c r="F68" i="50"/>
  <c r="E68" i="50"/>
  <c r="D68" i="50"/>
  <c r="C68" i="50"/>
  <c r="B68" i="50"/>
  <c r="A68" i="50"/>
  <c r="F67" i="50"/>
  <c r="E67" i="50"/>
  <c r="D67" i="50"/>
  <c r="C67" i="50"/>
  <c r="B67" i="50"/>
  <c r="A67" i="50"/>
  <c r="F66" i="50"/>
  <c r="E66" i="50"/>
  <c r="D66" i="50"/>
  <c r="C66" i="50"/>
  <c r="B66" i="50"/>
  <c r="A66" i="50"/>
  <c r="F65" i="50"/>
  <c r="F69" i="50" s="1"/>
  <c r="E65" i="50"/>
  <c r="D65" i="50"/>
  <c r="C65" i="50"/>
  <c r="B65" i="50"/>
  <c r="A65" i="50"/>
  <c r="F63" i="50"/>
  <c r="E63" i="50"/>
  <c r="D63" i="50"/>
  <c r="C63" i="50"/>
  <c r="B63" i="50"/>
  <c r="A63" i="50"/>
  <c r="F62" i="50"/>
  <c r="E62" i="50"/>
  <c r="D62" i="50"/>
  <c r="C62" i="50"/>
  <c r="B62" i="50"/>
  <c r="A62" i="50"/>
  <c r="F61" i="50"/>
  <c r="E61" i="50"/>
  <c r="E64" i="50" s="1"/>
  <c r="D61" i="50"/>
  <c r="C61" i="50"/>
  <c r="C64" i="50" s="1"/>
  <c r="B61" i="50"/>
  <c r="A61" i="50"/>
  <c r="F59" i="50"/>
  <c r="E59" i="50"/>
  <c r="D59" i="50"/>
  <c r="C59" i="50"/>
  <c r="B59" i="50"/>
  <c r="A59" i="50"/>
  <c r="F58" i="50"/>
  <c r="E58" i="50"/>
  <c r="D58" i="50"/>
  <c r="C58" i="50"/>
  <c r="B58" i="50"/>
  <c r="A58" i="50"/>
  <c r="F57" i="50"/>
  <c r="E57" i="50"/>
  <c r="D57" i="50"/>
  <c r="C57" i="50"/>
  <c r="B57" i="50"/>
  <c r="A57" i="50"/>
  <c r="F56" i="50"/>
  <c r="E56" i="50"/>
  <c r="D56" i="50"/>
  <c r="C56" i="50"/>
  <c r="B56" i="50"/>
  <c r="A56" i="50"/>
  <c r="F55" i="50"/>
  <c r="E55" i="50"/>
  <c r="D55" i="50"/>
  <c r="C55" i="50"/>
  <c r="B55" i="50"/>
  <c r="A55" i="50"/>
  <c r="F54" i="50"/>
  <c r="E54" i="50"/>
  <c r="D54" i="50"/>
  <c r="C54" i="50"/>
  <c r="B54" i="50"/>
  <c r="A54" i="50"/>
  <c r="F53" i="50"/>
  <c r="E53" i="50"/>
  <c r="D53" i="50"/>
  <c r="C53" i="50"/>
  <c r="B53" i="50"/>
  <c r="A53" i="50"/>
  <c r="F52" i="50"/>
  <c r="E52" i="50"/>
  <c r="D52" i="50"/>
  <c r="C52" i="50"/>
  <c r="B52" i="50"/>
  <c r="A52" i="50"/>
  <c r="F50" i="50"/>
  <c r="E50" i="50"/>
  <c r="D50" i="50"/>
  <c r="C50" i="50"/>
  <c r="B50" i="50"/>
  <c r="A50" i="50"/>
  <c r="F49" i="50"/>
  <c r="E49" i="50"/>
  <c r="D49" i="50"/>
  <c r="C49" i="50"/>
  <c r="B49" i="50"/>
  <c r="A49" i="50"/>
  <c r="F48" i="50"/>
  <c r="E48" i="50"/>
  <c r="D48" i="50"/>
  <c r="C48" i="50"/>
  <c r="B48" i="50"/>
  <c r="H48" i="50" s="1"/>
  <c r="A48" i="50"/>
  <c r="F47" i="50"/>
  <c r="E47" i="50"/>
  <c r="D47" i="50"/>
  <c r="D51" i="50" s="1"/>
  <c r="C47" i="50"/>
  <c r="C51" i="50" s="1"/>
  <c r="B47" i="50"/>
  <c r="A47" i="50"/>
  <c r="A46" i="50"/>
  <c r="A44" i="50"/>
  <c r="F42" i="50"/>
  <c r="E42" i="50"/>
  <c r="D42" i="50"/>
  <c r="C42" i="50"/>
  <c r="B42" i="50"/>
  <c r="A42" i="50"/>
  <c r="F41" i="50"/>
  <c r="E41" i="50"/>
  <c r="D41" i="50"/>
  <c r="C41" i="50"/>
  <c r="B41" i="50"/>
  <c r="A41" i="50"/>
  <c r="F40" i="50"/>
  <c r="E40" i="50"/>
  <c r="D40" i="50"/>
  <c r="C40" i="50"/>
  <c r="B40" i="50"/>
  <c r="A40" i="50"/>
  <c r="F39" i="50"/>
  <c r="E39" i="50"/>
  <c r="D39" i="50"/>
  <c r="C39" i="50"/>
  <c r="B39" i="50"/>
  <c r="A39" i="50"/>
  <c r="F38" i="50"/>
  <c r="E38" i="50"/>
  <c r="D38" i="50"/>
  <c r="C38" i="50"/>
  <c r="B38" i="50"/>
  <c r="A38" i="50"/>
  <c r="F37" i="50"/>
  <c r="E37" i="50"/>
  <c r="D37" i="50"/>
  <c r="C37" i="50"/>
  <c r="B37" i="50"/>
  <c r="A37" i="50"/>
  <c r="F36" i="50"/>
  <c r="E36" i="50"/>
  <c r="D36" i="50"/>
  <c r="C36" i="50"/>
  <c r="B36" i="50"/>
  <c r="A36" i="50"/>
  <c r="F35" i="50"/>
  <c r="E35" i="50"/>
  <c r="D35" i="50"/>
  <c r="C35" i="50"/>
  <c r="C43" i="50" s="1"/>
  <c r="C44" i="50" s="1"/>
  <c r="B35" i="50"/>
  <c r="A35" i="50"/>
  <c r="A34" i="50"/>
  <c r="A32" i="50"/>
  <c r="F30" i="50"/>
  <c r="E30" i="50"/>
  <c r="D30" i="50"/>
  <c r="C30" i="50"/>
  <c r="B30" i="50"/>
  <c r="A30" i="50"/>
  <c r="F29" i="50"/>
  <c r="E29" i="50"/>
  <c r="D29" i="50"/>
  <c r="C29" i="50"/>
  <c r="B29" i="50"/>
  <c r="A29" i="50"/>
  <c r="F28" i="50"/>
  <c r="E28" i="50"/>
  <c r="D28" i="50"/>
  <c r="C28" i="50"/>
  <c r="B28" i="50"/>
  <c r="A28" i="50"/>
  <c r="F27" i="50"/>
  <c r="E27" i="50"/>
  <c r="D27" i="50"/>
  <c r="C27" i="50"/>
  <c r="B27" i="50"/>
  <c r="A27" i="50"/>
  <c r="F26" i="50"/>
  <c r="E26" i="50"/>
  <c r="D26" i="50"/>
  <c r="C26" i="50"/>
  <c r="B26" i="50"/>
  <c r="A26" i="50"/>
  <c r="F25" i="50"/>
  <c r="E25" i="50"/>
  <c r="D25" i="50"/>
  <c r="C25" i="50"/>
  <c r="B25" i="50"/>
  <c r="A25" i="50"/>
  <c r="F24" i="50"/>
  <c r="E24" i="50"/>
  <c r="D24" i="50"/>
  <c r="C24" i="50"/>
  <c r="B24" i="50"/>
  <c r="A24" i="50"/>
  <c r="F23" i="50"/>
  <c r="E23" i="50"/>
  <c r="D23" i="50"/>
  <c r="C23" i="50"/>
  <c r="B23" i="50"/>
  <c r="A23" i="50"/>
  <c r="F22" i="50"/>
  <c r="E22" i="50"/>
  <c r="D22" i="50"/>
  <c r="C22" i="50"/>
  <c r="B22" i="50"/>
  <c r="A22" i="50"/>
  <c r="F21" i="50"/>
  <c r="E21" i="50"/>
  <c r="D21" i="50"/>
  <c r="C21" i="50"/>
  <c r="B21" i="50"/>
  <c r="A21" i="50"/>
  <c r="F20" i="50"/>
  <c r="E20" i="50"/>
  <c r="D20" i="50"/>
  <c r="C20" i="50"/>
  <c r="B20" i="50"/>
  <c r="A20" i="50"/>
  <c r="F19" i="50"/>
  <c r="E19" i="50"/>
  <c r="D19" i="50"/>
  <c r="C19" i="50"/>
  <c r="B19" i="50"/>
  <c r="A19" i="50"/>
  <c r="F18" i="50"/>
  <c r="E18" i="50"/>
  <c r="D18" i="50"/>
  <c r="C18" i="50"/>
  <c r="B18" i="50"/>
  <c r="A18" i="50"/>
  <c r="F17" i="50"/>
  <c r="E17" i="50"/>
  <c r="D17" i="50"/>
  <c r="C17" i="50"/>
  <c r="B17" i="50"/>
  <c r="A17" i="50"/>
  <c r="F16" i="50"/>
  <c r="E16" i="50"/>
  <c r="D16" i="50"/>
  <c r="C16" i="50"/>
  <c r="B16" i="50"/>
  <c r="A16" i="50"/>
  <c r="F15" i="50"/>
  <c r="E15" i="50"/>
  <c r="D15" i="50"/>
  <c r="C15" i="50"/>
  <c r="B15" i="50"/>
  <c r="A15" i="50"/>
  <c r="F14" i="50"/>
  <c r="E14" i="50"/>
  <c r="D14" i="50"/>
  <c r="C14" i="50"/>
  <c r="B14" i="50"/>
  <c r="A14" i="50"/>
  <c r="F13" i="50"/>
  <c r="E13" i="50"/>
  <c r="D13" i="50"/>
  <c r="C13" i="50"/>
  <c r="B13" i="50"/>
  <c r="A13" i="50"/>
  <c r="F12" i="50"/>
  <c r="E12" i="50"/>
  <c r="D12" i="50"/>
  <c r="C12" i="50"/>
  <c r="B12" i="50"/>
  <c r="A12" i="50"/>
  <c r="F11" i="50"/>
  <c r="E11" i="50"/>
  <c r="D11" i="50"/>
  <c r="C11" i="50"/>
  <c r="B11" i="50"/>
  <c r="A11" i="50"/>
  <c r="F10" i="50"/>
  <c r="E10" i="50"/>
  <c r="D10" i="50"/>
  <c r="C10" i="50"/>
  <c r="B10" i="50"/>
  <c r="A10" i="50"/>
  <c r="F9" i="50"/>
  <c r="E9" i="50"/>
  <c r="D9" i="50"/>
  <c r="C9" i="50"/>
  <c r="A9" i="50"/>
  <c r="F8" i="50"/>
  <c r="E8" i="50"/>
  <c r="D8" i="50"/>
  <c r="C8" i="50"/>
  <c r="B8" i="50"/>
  <c r="A8" i="50"/>
  <c r="A7" i="50"/>
  <c r="A3" i="50"/>
  <c r="H2" i="50"/>
  <c r="I98" i="50" s="1"/>
  <c r="J98" i="50" s="1"/>
  <c r="E69" i="50" l="1"/>
  <c r="E31" i="50"/>
  <c r="E32" i="50" s="1"/>
  <c r="B138" i="50"/>
  <c r="E84" i="50"/>
  <c r="E85" i="50" s="1"/>
  <c r="H54" i="50"/>
  <c r="I54" i="50" s="1"/>
  <c r="J54" i="50" s="1"/>
  <c r="H56" i="50"/>
  <c r="D96" i="50"/>
  <c r="D97" i="50" s="1"/>
  <c r="H103" i="50"/>
  <c r="H142" i="50"/>
  <c r="H146" i="50"/>
  <c r="H148" i="50"/>
  <c r="I148" i="50" s="1"/>
  <c r="J148" i="50" s="1"/>
  <c r="H158" i="50"/>
  <c r="H160" i="50"/>
  <c r="H162" i="50"/>
  <c r="E138" i="50"/>
  <c r="E139" i="50" s="1"/>
  <c r="H12" i="50"/>
  <c r="H16" i="50"/>
  <c r="I16" i="50" s="1"/>
  <c r="J16" i="50" s="1"/>
  <c r="L16" i="50" s="1"/>
  <c r="H20" i="50"/>
  <c r="H24" i="50"/>
  <c r="H28" i="50"/>
  <c r="I28" i="50" s="1"/>
  <c r="J28" i="50" s="1"/>
  <c r="H74" i="50"/>
  <c r="H78" i="50"/>
  <c r="H121" i="50"/>
  <c r="F138" i="50"/>
  <c r="F139" i="50" s="1"/>
  <c r="H181" i="50"/>
  <c r="Y590" i="51"/>
  <c r="Y591" i="51" s="1"/>
  <c r="I72" i="50"/>
  <c r="J72" i="50" s="1"/>
  <c r="I78" i="50"/>
  <c r="J78" i="50" s="1"/>
  <c r="I92" i="50"/>
  <c r="J92" i="50" s="1"/>
  <c r="I94" i="50"/>
  <c r="J94" i="50" s="1"/>
  <c r="I103" i="50"/>
  <c r="J103" i="50" s="1"/>
  <c r="I142" i="50"/>
  <c r="J142" i="50" s="1"/>
  <c r="I181" i="50"/>
  <c r="J181" i="50" s="1"/>
  <c r="H13" i="50"/>
  <c r="I13" i="50" s="1"/>
  <c r="J13" i="50" s="1"/>
  <c r="H21" i="50"/>
  <c r="I21" i="50" s="1"/>
  <c r="J21" i="50" s="1"/>
  <c r="L21" i="50" s="1"/>
  <c r="H29" i="50"/>
  <c r="I29" i="50" s="1"/>
  <c r="J29" i="50" s="1"/>
  <c r="H36" i="50"/>
  <c r="I36" i="50" s="1"/>
  <c r="J36" i="50" s="1"/>
  <c r="H37" i="50"/>
  <c r="I37" i="50" s="1"/>
  <c r="J37" i="50" s="1"/>
  <c r="H41" i="50"/>
  <c r="I41" i="50" s="1"/>
  <c r="J41" i="50" s="1"/>
  <c r="D60" i="50"/>
  <c r="B60" i="50"/>
  <c r="F60" i="50"/>
  <c r="H55" i="50"/>
  <c r="I55" i="50" s="1"/>
  <c r="J55" i="50" s="1"/>
  <c r="H57" i="50"/>
  <c r="I57" i="50" s="1"/>
  <c r="J57" i="50" s="1"/>
  <c r="H59" i="50"/>
  <c r="I59" i="50" s="1"/>
  <c r="J59" i="50" s="1"/>
  <c r="D64" i="50"/>
  <c r="C69" i="50"/>
  <c r="H68" i="50"/>
  <c r="I68" i="50" s="1"/>
  <c r="J68" i="50" s="1"/>
  <c r="H76" i="50"/>
  <c r="I76" i="50" s="1"/>
  <c r="J76" i="50" s="1"/>
  <c r="H80" i="50"/>
  <c r="I87" i="50"/>
  <c r="J87" i="50" s="1"/>
  <c r="H95" i="50"/>
  <c r="I95" i="50" s="1"/>
  <c r="J95" i="50" s="1"/>
  <c r="E110" i="50"/>
  <c r="E111" i="50" s="1"/>
  <c r="H107" i="50"/>
  <c r="I107" i="50" s="1"/>
  <c r="J107" i="50" s="1"/>
  <c r="H118" i="50"/>
  <c r="I118" i="50" s="1"/>
  <c r="J118" i="50" s="1"/>
  <c r="F127" i="50"/>
  <c r="F128" i="50" s="1"/>
  <c r="H154" i="50"/>
  <c r="H171" i="50"/>
  <c r="D206" i="50"/>
  <c r="H190" i="50"/>
  <c r="F215" i="50"/>
  <c r="H220" i="50"/>
  <c r="I220" i="50" s="1"/>
  <c r="J220" i="50" s="1"/>
  <c r="I20" i="50"/>
  <c r="J20" i="50" s="1"/>
  <c r="I56" i="50"/>
  <c r="J56" i="50" s="1"/>
  <c r="I74" i="50"/>
  <c r="J74" i="50" s="1"/>
  <c r="I90" i="50"/>
  <c r="J90" i="50" s="1"/>
  <c r="L92" i="50" s="1"/>
  <c r="H9" i="50"/>
  <c r="I9" i="50" s="1"/>
  <c r="J9" i="50" s="1"/>
  <c r="H17" i="50"/>
  <c r="I17" i="50" s="1"/>
  <c r="J17" i="50" s="1"/>
  <c r="L17" i="50" s="1"/>
  <c r="H25" i="50"/>
  <c r="I25" i="50" s="1"/>
  <c r="J25" i="50" s="1"/>
  <c r="L25" i="50" s="1"/>
  <c r="H27" i="50"/>
  <c r="I27" i="50" s="1"/>
  <c r="J27" i="50" s="1"/>
  <c r="H38" i="50"/>
  <c r="H49" i="50"/>
  <c r="I49" i="50" s="1"/>
  <c r="J49" i="50" s="1"/>
  <c r="B84" i="50"/>
  <c r="H75" i="50"/>
  <c r="I75" i="50" s="1"/>
  <c r="J75" i="50" s="1"/>
  <c r="F84" i="50"/>
  <c r="F85" i="50" s="1"/>
  <c r="H77" i="50"/>
  <c r="C96" i="50"/>
  <c r="C97" i="50" s="1"/>
  <c r="H116" i="50"/>
  <c r="I116" i="50" s="1"/>
  <c r="J116" i="50" s="1"/>
  <c r="H136" i="50"/>
  <c r="H143" i="50"/>
  <c r="I143" i="50" s="1"/>
  <c r="J143" i="50" s="1"/>
  <c r="H159" i="50"/>
  <c r="I159" i="50" s="1"/>
  <c r="J159" i="50" s="1"/>
  <c r="H163" i="50"/>
  <c r="H172" i="50"/>
  <c r="H180" i="50"/>
  <c r="I180" i="50" s="1"/>
  <c r="J180" i="50" s="1"/>
  <c r="H184" i="50"/>
  <c r="H188" i="50"/>
  <c r="H192" i="50"/>
  <c r="I192" i="50" s="1"/>
  <c r="J192" i="50" s="1"/>
  <c r="C206" i="50"/>
  <c r="H200" i="50"/>
  <c r="I200" i="50" s="1"/>
  <c r="J200" i="50" s="1"/>
  <c r="H202" i="50"/>
  <c r="I202" i="50" s="1"/>
  <c r="J202" i="50" s="1"/>
  <c r="H204" i="50"/>
  <c r="I204" i="50" s="1"/>
  <c r="J204" i="50" s="1"/>
  <c r="H209" i="50"/>
  <c r="I209" i="50" s="1"/>
  <c r="J209" i="50" s="1"/>
  <c r="H211" i="50"/>
  <c r="I211" i="50" s="1"/>
  <c r="J211" i="50" s="1"/>
  <c r="H213" i="50"/>
  <c r="I213" i="50" s="1"/>
  <c r="J213" i="50" s="1"/>
  <c r="Y723" i="51"/>
  <c r="Y724" i="51" s="1"/>
  <c r="K146" i="50" s="1"/>
  <c r="I12" i="50"/>
  <c r="J12" i="50" s="1"/>
  <c r="H132" i="50"/>
  <c r="I132" i="50" s="1"/>
  <c r="M132" i="50"/>
  <c r="M133" i="50" s="1"/>
  <c r="J132" i="50" s="1"/>
  <c r="I137" i="50"/>
  <c r="J137" i="50" s="1"/>
  <c r="C215" i="50"/>
  <c r="D31" i="50"/>
  <c r="D32" i="50" s="1"/>
  <c r="H14" i="50"/>
  <c r="I14" i="50" s="1"/>
  <c r="J14" i="50" s="1"/>
  <c r="H22" i="50"/>
  <c r="I22" i="50" s="1"/>
  <c r="J22" i="50" s="1"/>
  <c r="H30" i="50"/>
  <c r="I30" i="50" s="1"/>
  <c r="J30" i="50" s="1"/>
  <c r="H35" i="50"/>
  <c r="I35" i="50" s="1"/>
  <c r="J35" i="50" s="1"/>
  <c r="F43" i="50"/>
  <c r="F44" i="50" s="1"/>
  <c r="H63" i="50"/>
  <c r="I63" i="50" s="1"/>
  <c r="J63" i="50" s="1"/>
  <c r="H67" i="50"/>
  <c r="I67" i="50" s="1"/>
  <c r="J67" i="50" s="1"/>
  <c r="H108" i="50"/>
  <c r="I108" i="50" s="1"/>
  <c r="J108" i="50" s="1"/>
  <c r="B127" i="50"/>
  <c r="H119" i="50"/>
  <c r="I119" i="50" s="1"/>
  <c r="J119" i="50" s="1"/>
  <c r="H120" i="50"/>
  <c r="I120" i="50" s="1"/>
  <c r="J120" i="50" s="1"/>
  <c r="H124" i="50"/>
  <c r="I124" i="50" s="1"/>
  <c r="J124" i="50" s="1"/>
  <c r="C138" i="50"/>
  <c r="C139" i="50" s="1"/>
  <c r="H149" i="50"/>
  <c r="I149" i="50" s="1"/>
  <c r="J149" i="50" s="1"/>
  <c r="E164" i="50"/>
  <c r="E165" i="50" s="1"/>
  <c r="H153" i="50"/>
  <c r="I153" i="50" s="1"/>
  <c r="J153" i="50" s="1"/>
  <c r="H155" i="50"/>
  <c r="I155" i="50" s="1"/>
  <c r="J155" i="50" s="1"/>
  <c r="H157" i="50"/>
  <c r="I157" i="50" s="1"/>
  <c r="J157" i="50" s="1"/>
  <c r="H161" i="50"/>
  <c r="I161" i="50" s="1"/>
  <c r="J161" i="50" s="1"/>
  <c r="H176" i="50"/>
  <c r="F206" i="50"/>
  <c r="H193" i="50"/>
  <c r="H195" i="50"/>
  <c r="H205" i="50"/>
  <c r="H208" i="50"/>
  <c r="H214" i="50"/>
  <c r="Y664" i="51"/>
  <c r="Y665" i="51" s="1"/>
  <c r="K144" i="50" s="1"/>
  <c r="I24" i="50"/>
  <c r="J24" i="50" s="1"/>
  <c r="L24" i="50" s="1"/>
  <c r="Y547" i="51"/>
  <c r="Y548" i="51" s="1"/>
  <c r="Y755" i="51" s="1"/>
  <c r="Y582" i="51"/>
  <c r="Y583" i="51" s="1"/>
  <c r="K143" i="50" s="1"/>
  <c r="Y711" i="51"/>
  <c r="Y712" i="51" s="1"/>
  <c r="K145" i="50" s="1"/>
  <c r="Y752" i="51"/>
  <c r="Y753" i="51" s="1"/>
  <c r="K147" i="50" s="1"/>
  <c r="Y60" i="51"/>
  <c r="Y61" i="51" s="1"/>
  <c r="B85" i="50"/>
  <c r="B128" i="50"/>
  <c r="E167" i="50"/>
  <c r="B43" i="50"/>
  <c r="H47" i="50"/>
  <c r="I47" i="50" s="1"/>
  <c r="J47" i="50" s="1"/>
  <c r="C216" i="50"/>
  <c r="H210" i="50"/>
  <c r="I210" i="50" s="1"/>
  <c r="J210" i="50" s="1"/>
  <c r="I169" i="50"/>
  <c r="J169" i="50" s="1"/>
  <c r="I223" i="50"/>
  <c r="J223" i="50" s="1"/>
  <c r="I140" i="50"/>
  <c r="J140" i="50" s="1"/>
  <c r="I129" i="50"/>
  <c r="J129" i="50" s="1"/>
  <c r="I112" i="50"/>
  <c r="J112" i="50" s="1"/>
  <c r="I99" i="50"/>
  <c r="J99" i="50" s="1"/>
  <c r="I86" i="50"/>
  <c r="J86" i="50" s="1"/>
  <c r="I33" i="50"/>
  <c r="J33" i="50" s="1"/>
  <c r="I224" i="50"/>
  <c r="J224" i="50" s="1"/>
  <c r="I219" i="50"/>
  <c r="J219" i="50" s="1"/>
  <c r="I141" i="50"/>
  <c r="J141" i="50" s="1"/>
  <c r="I100" i="50"/>
  <c r="J100" i="50" s="1"/>
  <c r="I71" i="50"/>
  <c r="J71" i="50" s="1"/>
  <c r="I130" i="50"/>
  <c r="J130" i="50" s="1"/>
  <c r="I101" i="50"/>
  <c r="J101" i="50" s="1"/>
  <c r="I45" i="50"/>
  <c r="J45" i="50" s="1"/>
  <c r="I34" i="50"/>
  <c r="J34" i="50" s="1"/>
  <c r="I168" i="50"/>
  <c r="J168" i="50" s="1"/>
  <c r="B31" i="50"/>
  <c r="F31" i="50"/>
  <c r="F32" i="50" s="1"/>
  <c r="H11" i="50"/>
  <c r="I11" i="50" s="1"/>
  <c r="J11" i="50" s="1"/>
  <c r="H19" i="50"/>
  <c r="I19" i="50" s="1"/>
  <c r="J19" i="50" s="1"/>
  <c r="L19" i="50" s="1"/>
  <c r="D43" i="50"/>
  <c r="D44" i="50" s="1"/>
  <c r="I38" i="50"/>
  <c r="J38" i="50" s="1"/>
  <c r="H40" i="50"/>
  <c r="I40" i="50" s="1"/>
  <c r="J40" i="50" s="1"/>
  <c r="I46" i="50"/>
  <c r="J46" i="50" s="1"/>
  <c r="C60" i="50"/>
  <c r="H52" i="50"/>
  <c r="I52" i="50" s="1"/>
  <c r="J52" i="50" s="1"/>
  <c r="H53" i="50"/>
  <c r="I53" i="50" s="1"/>
  <c r="J53" i="50" s="1"/>
  <c r="D69" i="50"/>
  <c r="D70" i="50" s="1"/>
  <c r="I80" i="50"/>
  <c r="J80" i="50" s="1"/>
  <c r="E96" i="50"/>
  <c r="E97" i="50" s="1"/>
  <c r="H91" i="50"/>
  <c r="I91" i="50" s="1"/>
  <c r="J91" i="50" s="1"/>
  <c r="I121" i="50"/>
  <c r="J121" i="50" s="1"/>
  <c r="H123" i="50"/>
  <c r="I123" i="50" s="1"/>
  <c r="J123" i="50" s="1"/>
  <c r="H126" i="50"/>
  <c r="I126" i="50" s="1"/>
  <c r="J126" i="50" s="1"/>
  <c r="H131" i="50"/>
  <c r="I131" i="50" s="1"/>
  <c r="J131" i="50" s="1"/>
  <c r="I146" i="50"/>
  <c r="J146" i="50" s="1"/>
  <c r="I158" i="50"/>
  <c r="J158" i="50" s="1"/>
  <c r="I160" i="50"/>
  <c r="J160" i="50" s="1"/>
  <c r="I162" i="50"/>
  <c r="J162" i="50" s="1"/>
  <c r="I176" i="50"/>
  <c r="J176" i="50" s="1"/>
  <c r="I184" i="50"/>
  <c r="J184" i="50" s="1"/>
  <c r="E206" i="50"/>
  <c r="I188" i="50"/>
  <c r="J188" i="50" s="1"/>
  <c r="H194" i="50"/>
  <c r="I194" i="50" s="1"/>
  <c r="J194" i="50" s="1"/>
  <c r="I205" i="50"/>
  <c r="J205" i="50" s="1"/>
  <c r="C31" i="50"/>
  <c r="C32" i="50" s="1"/>
  <c r="H8" i="50"/>
  <c r="I8" i="50" s="1"/>
  <c r="J8" i="50" s="1"/>
  <c r="H10" i="50"/>
  <c r="I10" i="50" s="1"/>
  <c r="J10" i="50" s="1"/>
  <c r="H18" i="50"/>
  <c r="I18" i="50" s="1"/>
  <c r="J18" i="50" s="1"/>
  <c r="L18" i="50" s="1"/>
  <c r="H42" i="50"/>
  <c r="I42" i="50" s="1"/>
  <c r="J42" i="50" s="1"/>
  <c r="I48" i="50"/>
  <c r="J48" i="50" s="1"/>
  <c r="F51" i="50"/>
  <c r="H50" i="50"/>
  <c r="I50" i="50" s="1"/>
  <c r="J50" i="50" s="1"/>
  <c r="H58" i="50"/>
  <c r="I58" i="50" s="1"/>
  <c r="J58" i="50" s="1"/>
  <c r="B64" i="50"/>
  <c r="F64" i="50"/>
  <c r="I77" i="50"/>
  <c r="J77" i="50" s="1"/>
  <c r="H79" i="50"/>
  <c r="I79" i="50" s="1"/>
  <c r="J79" i="50" s="1"/>
  <c r="H82" i="50"/>
  <c r="I82" i="50" s="1"/>
  <c r="J82" i="50" s="1"/>
  <c r="B96" i="50"/>
  <c r="F96" i="50"/>
  <c r="F97" i="50" s="1"/>
  <c r="H106" i="50"/>
  <c r="I106" i="50" s="1"/>
  <c r="J106" i="50" s="1"/>
  <c r="C127" i="50"/>
  <c r="C128" i="50" s="1"/>
  <c r="H114" i="50"/>
  <c r="I114" i="50" s="1"/>
  <c r="J114" i="50" s="1"/>
  <c r="H117" i="50"/>
  <c r="I117" i="50" s="1"/>
  <c r="J117" i="50" s="1"/>
  <c r="H125" i="50"/>
  <c r="I125" i="50" s="1"/>
  <c r="J125" i="50" s="1"/>
  <c r="I136" i="50"/>
  <c r="J136" i="50" s="1"/>
  <c r="C164" i="50"/>
  <c r="C165" i="50" s="1"/>
  <c r="I154" i="50"/>
  <c r="J154" i="50" s="1"/>
  <c r="E186" i="50"/>
  <c r="E216" i="50" s="1"/>
  <c r="I171" i="50"/>
  <c r="J171" i="50" s="1"/>
  <c r="I190" i="50"/>
  <c r="J190" i="50" s="1"/>
  <c r="H196" i="50"/>
  <c r="I196" i="50" s="1"/>
  <c r="J196" i="50" s="1"/>
  <c r="I201" i="50"/>
  <c r="J201" i="50" s="1"/>
  <c r="I208" i="50"/>
  <c r="J208" i="50" s="1"/>
  <c r="I222" i="50"/>
  <c r="J222" i="50" s="1"/>
  <c r="H15" i="50"/>
  <c r="I15" i="50" s="1"/>
  <c r="J15" i="50" s="1"/>
  <c r="L15" i="50" s="1"/>
  <c r="H23" i="50"/>
  <c r="I23" i="50" s="1"/>
  <c r="J23" i="50" s="1"/>
  <c r="H39" i="50"/>
  <c r="I39" i="50" s="1"/>
  <c r="J39" i="50" s="1"/>
  <c r="E51" i="50"/>
  <c r="B51" i="50"/>
  <c r="E60" i="50"/>
  <c r="H61" i="50"/>
  <c r="I61" i="50" s="1"/>
  <c r="J61" i="50" s="1"/>
  <c r="H62" i="50"/>
  <c r="I62" i="50" s="1"/>
  <c r="J62" i="50" s="1"/>
  <c r="C84" i="50"/>
  <c r="C85" i="50" s="1"/>
  <c r="H73" i="50"/>
  <c r="I73" i="50" s="1"/>
  <c r="J73" i="50" s="1"/>
  <c r="H81" i="50"/>
  <c r="I81" i="50" s="1"/>
  <c r="J81" i="50" s="1"/>
  <c r="D110" i="50"/>
  <c r="D111" i="50" s="1"/>
  <c r="H104" i="50"/>
  <c r="I104" i="50" s="1"/>
  <c r="J104" i="50" s="1"/>
  <c r="I113" i="50"/>
  <c r="J113" i="50" s="1"/>
  <c r="D127" i="50"/>
  <c r="D128" i="50" s="1"/>
  <c r="H122" i="50"/>
  <c r="I122" i="50" s="1"/>
  <c r="J122" i="50" s="1"/>
  <c r="B139" i="50"/>
  <c r="D164" i="50"/>
  <c r="D165" i="50" s="1"/>
  <c r="H145" i="50"/>
  <c r="I145" i="50" s="1"/>
  <c r="J145" i="50" s="1"/>
  <c r="H147" i="50"/>
  <c r="I147" i="50" s="1"/>
  <c r="J147" i="50" s="1"/>
  <c r="I163" i="50"/>
  <c r="J163" i="50" s="1"/>
  <c r="I166" i="50"/>
  <c r="J166" i="50" s="1"/>
  <c r="I172" i="50"/>
  <c r="J172" i="50" s="1"/>
  <c r="H177" i="50"/>
  <c r="I177" i="50" s="1"/>
  <c r="J177" i="50" s="1"/>
  <c r="H179" i="50"/>
  <c r="I179" i="50" s="1"/>
  <c r="J179" i="50" s="1"/>
  <c r="H183" i="50"/>
  <c r="I183" i="50" s="1"/>
  <c r="J183" i="50" s="1"/>
  <c r="H185" i="50"/>
  <c r="I185" i="50" s="1"/>
  <c r="J185" i="50" s="1"/>
  <c r="H189" i="50"/>
  <c r="I189" i="50" s="1"/>
  <c r="J189" i="50" s="1"/>
  <c r="I193" i="50"/>
  <c r="J193" i="50" s="1"/>
  <c r="I195" i="50"/>
  <c r="J195" i="50" s="1"/>
  <c r="I214" i="50"/>
  <c r="J214" i="50" s="1"/>
  <c r="I217" i="50"/>
  <c r="J217" i="50" s="1"/>
  <c r="H152" i="50"/>
  <c r="I152" i="50" s="1"/>
  <c r="J152" i="50" s="1"/>
  <c r="H170" i="50"/>
  <c r="I170" i="50" s="1"/>
  <c r="J170" i="50" s="1"/>
  <c r="F186" i="50"/>
  <c r="F216" i="50" s="1"/>
  <c r="H199" i="50"/>
  <c r="I199" i="50" s="1"/>
  <c r="J199" i="50" s="1"/>
  <c r="B215" i="50"/>
  <c r="H207" i="50"/>
  <c r="I207" i="50" s="1"/>
  <c r="J207" i="50" s="1"/>
  <c r="H65" i="50"/>
  <c r="I65" i="50" s="1"/>
  <c r="J65" i="50" s="1"/>
  <c r="B69" i="50"/>
  <c r="H83" i="50"/>
  <c r="I83" i="50" s="1"/>
  <c r="J83" i="50" s="1"/>
  <c r="H89" i="50"/>
  <c r="I89" i="50" s="1"/>
  <c r="J89" i="50" s="1"/>
  <c r="C110" i="50"/>
  <c r="C111" i="50" s="1"/>
  <c r="H102" i="50"/>
  <c r="I102" i="50" s="1"/>
  <c r="J102" i="50" s="1"/>
  <c r="H105" i="50"/>
  <c r="I105" i="50" s="1"/>
  <c r="J105" i="50" s="1"/>
  <c r="B110" i="50"/>
  <c r="H134" i="50"/>
  <c r="I134" i="50" s="1"/>
  <c r="J134" i="50" s="1"/>
  <c r="H135" i="50"/>
  <c r="I135" i="50" s="1"/>
  <c r="J135" i="50" s="1"/>
  <c r="F164" i="50"/>
  <c r="F165" i="50" s="1"/>
  <c r="F167" i="50" s="1"/>
  <c r="H144" i="50"/>
  <c r="I144" i="50" s="1"/>
  <c r="J144" i="50" s="1"/>
  <c r="H151" i="50"/>
  <c r="I151" i="50" s="1"/>
  <c r="J151" i="50" s="1"/>
  <c r="B164" i="50"/>
  <c r="H174" i="50"/>
  <c r="I174" i="50" s="1"/>
  <c r="J174" i="50" s="1"/>
  <c r="H175" i="50"/>
  <c r="I175" i="50" s="1"/>
  <c r="J175" i="50" s="1"/>
  <c r="H182" i="50"/>
  <c r="I182" i="50" s="1"/>
  <c r="J182" i="50" s="1"/>
  <c r="H191" i="50"/>
  <c r="I191" i="50" s="1"/>
  <c r="J191" i="50" s="1"/>
  <c r="H198" i="50"/>
  <c r="I198" i="50" s="1"/>
  <c r="J198" i="50" s="1"/>
  <c r="H221" i="50"/>
  <c r="I221" i="50" s="1"/>
  <c r="J221" i="50" s="1"/>
  <c r="H26" i="50"/>
  <c r="I26" i="50" s="1"/>
  <c r="J26" i="50" s="1"/>
  <c r="E43" i="50"/>
  <c r="E44" i="50" s="1"/>
  <c r="H66" i="50"/>
  <c r="I66" i="50" s="1"/>
  <c r="J66" i="50" s="1"/>
  <c r="H88" i="50"/>
  <c r="I88" i="50" s="1"/>
  <c r="J88" i="50" s="1"/>
  <c r="H93" i="50"/>
  <c r="I93" i="50" s="1"/>
  <c r="J93" i="50" s="1"/>
  <c r="H109" i="50"/>
  <c r="I109" i="50" s="1"/>
  <c r="J109" i="50" s="1"/>
  <c r="H115" i="50"/>
  <c r="I115" i="50" s="1"/>
  <c r="J115" i="50" s="1"/>
  <c r="H133" i="50"/>
  <c r="I133" i="50" s="1"/>
  <c r="J133" i="50" s="1"/>
  <c r="H150" i="50"/>
  <c r="I150" i="50" s="1"/>
  <c r="J150" i="50" s="1"/>
  <c r="H173" i="50"/>
  <c r="I173" i="50" s="1"/>
  <c r="J173" i="50" s="1"/>
  <c r="B186" i="50"/>
  <c r="H197" i="50"/>
  <c r="I197" i="50" s="1"/>
  <c r="J197" i="50" s="1"/>
  <c r="D138" i="50"/>
  <c r="D139" i="50" s="1"/>
  <c r="H156" i="50"/>
  <c r="I156" i="50" s="1"/>
  <c r="J156" i="50" s="1"/>
  <c r="D186" i="50"/>
  <c r="D216" i="50" s="1"/>
  <c r="H178" i="50"/>
  <c r="I178" i="50" s="1"/>
  <c r="J178" i="50" s="1"/>
  <c r="H187" i="50"/>
  <c r="I187" i="50" s="1"/>
  <c r="J187" i="50" s="1"/>
  <c r="H203" i="50"/>
  <c r="I203" i="50" s="1"/>
  <c r="J203" i="50" s="1"/>
  <c r="B206" i="50"/>
  <c r="H206" i="50" s="1"/>
  <c r="I206" i="50" s="1"/>
  <c r="J206" i="50" s="1"/>
  <c r="H212" i="50"/>
  <c r="I212" i="50" s="1"/>
  <c r="J212" i="50" s="1"/>
  <c r="L80" i="50" l="1"/>
  <c r="L26" i="50"/>
  <c r="L13" i="50"/>
  <c r="L31" i="50" s="1"/>
  <c r="K142" i="50"/>
  <c r="H127" i="50"/>
  <c r="I127" i="50" s="1"/>
  <c r="J127" i="50" s="1"/>
  <c r="C167" i="50"/>
  <c r="H84" i="50"/>
  <c r="I84" i="50" s="1"/>
  <c r="J84" i="50" s="1"/>
  <c r="E70" i="50"/>
  <c r="E218" i="50" s="1"/>
  <c r="E225" i="50" s="1"/>
  <c r="H60" i="50"/>
  <c r="I60" i="50" s="1"/>
  <c r="J60" i="50" s="1"/>
  <c r="D167" i="50"/>
  <c r="D218" i="50" s="1"/>
  <c r="D225" i="50" s="1"/>
  <c r="H96" i="50"/>
  <c r="I96" i="50" s="1"/>
  <c r="J96" i="50" s="1"/>
  <c r="B97" i="50"/>
  <c r="H97" i="50" s="1"/>
  <c r="I97" i="50" s="1"/>
  <c r="J97" i="50" s="1"/>
  <c r="F70" i="50"/>
  <c r="F218" i="50" s="1"/>
  <c r="F225" i="50" s="1"/>
  <c r="B32" i="50"/>
  <c r="H32" i="50" s="1"/>
  <c r="I32" i="50" s="1"/>
  <c r="J32" i="50" s="1"/>
  <c r="H31" i="50"/>
  <c r="I31" i="50" s="1"/>
  <c r="J31" i="50" s="1"/>
  <c r="L33" i="50" s="1"/>
  <c r="C70" i="50"/>
  <c r="B111" i="50"/>
  <c r="H111" i="50" s="1"/>
  <c r="I111" i="50" s="1"/>
  <c r="J111" i="50" s="1"/>
  <c r="H110" i="50"/>
  <c r="I110" i="50" s="1"/>
  <c r="J110" i="50" s="1"/>
  <c r="H64" i="50"/>
  <c r="I64" i="50" s="1"/>
  <c r="J64" i="50" s="1"/>
  <c r="H138" i="50"/>
  <c r="I138" i="50" s="1"/>
  <c r="J138" i="50" s="1"/>
  <c r="H43" i="50"/>
  <c r="I43" i="50" s="1"/>
  <c r="J43" i="50" s="1"/>
  <c r="B44" i="50"/>
  <c r="H44" i="50" s="1"/>
  <c r="I44" i="50" s="1"/>
  <c r="J44" i="50" s="1"/>
  <c r="H128" i="50"/>
  <c r="I128" i="50" s="1"/>
  <c r="J128" i="50" s="1"/>
  <c r="H186" i="50"/>
  <c r="I186" i="50" s="1"/>
  <c r="J186" i="50" s="1"/>
  <c r="H215" i="50"/>
  <c r="I215" i="50" s="1"/>
  <c r="J215" i="50" s="1"/>
  <c r="B216" i="50"/>
  <c r="B165" i="50"/>
  <c r="H164" i="50"/>
  <c r="I164" i="50" s="1"/>
  <c r="J164" i="50" s="1"/>
  <c r="H69" i="50"/>
  <c r="I69" i="50" s="1"/>
  <c r="J69" i="50" s="1"/>
  <c r="B70" i="50"/>
  <c r="H139" i="50"/>
  <c r="I139" i="50" s="1"/>
  <c r="J139" i="50" s="1"/>
  <c r="H51" i="50"/>
  <c r="I51" i="50" s="1"/>
  <c r="J51" i="50" s="1"/>
  <c r="H85" i="50"/>
  <c r="I85" i="50" s="1"/>
  <c r="J85" i="50" s="1"/>
  <c r="L83" i="50" s="1"/>
  <c r="C218" i="50" l="1"/>
  <c r="C225" i="50" s="1"/>
  <c r="H70" i="50"/>
  <c r="I70" i="50" s="1"/>
  <c r="J70" i="50" s="1"/>
  <c r="L69" i="50" s="1"/>
  <c r="M69" i="50" s="1"/>
  <c r="H216" i="50"/>
  <c r="I216" i="50" s="1"/>
  <c r="J216" i="50" s="1"/>
  <c r="H165" i="50"/>
  <c r="I165" i="50" s="1"/>
  <c r="J165" i="50" s="1"/>
  <c r="B167" i="50"/>
  <c r="H167" i="50" s="1"/>
  <c r="I167" i="50" s="1"/>
  <c r="J167" i="50" s="1"/>
  <c r="L70" i="50" l="1"/>
  <c r="L47" i="50"/>
  <c r="M47" i="50" s="1"/>
  <c r="L48" i="50"/>
  <c r="B218" i="50"/>
  <c r="B225" i="50" l="1"/>
  <c r="H225" i="50" s="1"/>
  <c r="I225" i="50" s="1"/>
  <c r="J225" i="50" s="1"/>
  <c r="H218" i="50"/>
  <c r="I218" i="50" s="1"/>
  <c r="J218" i="50" s="1"/>
  <c r="C11" i="49" l="1"/>
  <c r="F8" i="49"/>
  <c r="E21" i="49"/>
  <c r="D15" i="49"/>
  <c r="B6" i="49"/>
  <c r="H4" i="48" l="1"/>
  <c r="I4" i="48"/>
  <c r="H5" i="48"/>
  <c r="I5" i="48"/>
  <c r="H6" i="48"/>
  <c r="I6" i="48"/>
  <c r="H7" i="48"/>
  <c r="I7" i="48"/>
  <c r="H8" i="48"/>
  <c r="I8" i="48"/>
  <c r="H9" i="48"/>
  <c r="I9" i="48"/>
  <c r="H10" i="48"/>
  <c r="I10" i="48"/>
  <c r="H11" i="48"/>
  <c r="I11" i="48"/>
  <c r="H12" i="48"/>
  <c r="I12" i="48"/>
  <c r="H13" i="48"/>
  <c r="I13" i="48"/>
  <c r="H14" i="48"/>
  <c r="I14" i="48"/>
  <c r="H15" i="48"/>
  <c r="I15" i="48"/>
  <c r="H16" i="48"/>
  <c r="I16" i="48"/>
  <c r="H17" i="48"/>
  <c r="I17" i="48"/>
  <c r="H18" i="48"/>
  <c r="I18" i="48"/>
  <c r="H19" i="48"/>
  <c r="I19" i="48"/>
  <c r="H20" i="48"/>
  <c r="I20" i="48"/>
  <c r="H21" i="48"/>
  <c r="I21" i="48"/>
  <c r="H22" i="48"/>
  <c r="I22" i="48"/>
  <c r="H23" i="48"/>
  <c r="I23" i="48"/>
  <c r="H24" i="48"/>
  <c r="I24" i="48"/>
  <c r="H25" i="48"/>
  <c r="I25" i="48"/>
  <c r="H26" i="48"/>
  <c r="I26" i="48"/>
  <c r="H27" i="48"/>
  <c r="I27" i="48"/>
  <c r="H28" i="48"/>
  <c r="I28" i="48"/>
  <c r="H29" i="48"/>
  <c r="I29" i="48"/>
  <c r="H30" i="48"/>
  <c r="I30" i="48"/>
  <c r="H31" i="48"/>
  <c r="I31" i="48"/>
  <c r="H32" i="48"/>
  <c r="I32" i="48"/>
  <c r="H33" i="48"/>
  <c r="I33" i="48"/>
  <c r="H34" i="48"/>
  <c r="I34" i="48"/>
  <c r="H35" i="48"/>
  <c r="I35" i="48"/>
  <c r="H36" i="48"/>
  <c r="I36" i="48"/>
  <c r="H37" i="48"/>
  <c r="I37" i="48"/>
  <c r="H38" i="48"/>
  <c r="I38" i="48"/>
  <c r="H39" i="48"/>
  <c r="I39" i="48"/>
  <c r="H40" i="48"/>
  <c r="I40" i="48"/>
  <c r="H41" i="48"/>
  <c r="I41" i="48"/>
  <c r="I3" i="48"/>
  <c r="H3" i="48"/>
  <c r="F56" i="8" l="1"/>
  <c r="I33" i="8"/>
  <c r="J33" i="8" s="1"/>
  <c r="D56" i="8" l="1"/>
  <c r="F57" i="8" l="1"/>
  <c r="F51" i="8"/>
  <c r="F50" i="8"/>
  <c r="R91" i="45" l="1"/>
  <c r="R95" i="45"/>
  <c r="Q62" i="45"/>
  <c r="Q32" i="45"/>
  <c r="AE59" i="46"/>
  <c r="AE58" i="46"/>
  <c r="AE53" i="46"/>
  <c r="AE48" i="46"/>
  <c r="AE47" i="46"/>
  <c r="I20" i="8" l="1"/>
  <c r="I18" i="8"/>
  <c r="B56" i="8" s="1"/>
  <c r="U18" i="8"/>
  <c r="B57" i="8" l="1"/>
  <c r="E57" i="8" s="1"/>
  <c r="G57" i="8" s="1"/>
  <c r="J18" i="8"/>
  <c r="J20" i="8"/>
  <c r="N28" i="47"/>
  <c r="K18" i="8" l="1"/>
  <c r="Z18" i="8" s="1"/>
  <c r="B105" i="35" l="1"/>
  <c r="T14" i="35" l="1"/>
  <c r="U14" i="35" s="1"/>
  <c r="T15" i="35"/>
  <c r="U15" i="35" s="1"/>
  <c r="T18" i="35"/>
  <c r="U18" i="35" s="1"/>
  <c r="T20" i="35"/>
  <c r="U20" i="35" s="1"/>
  <c r="T21" i="35"/>
  <c r="U21" i="35" s="1"/>
  <c r="T22" i="35"/>
  <c r="U22" i="35" s="1"/>
  <c r="T23" i="35"/>
  <c r="U23" i="35" s="1"/>
  <c r="T24" i="35"/>
  <c r="U24" i="35" s="1"/>
  <c r="T25" i="35"/>
  <c r="U25" i="35" s="1"/>
  <c r="T26" i="35"/>
  <c r="U26" i="35" s="1"/>
  <c r="T27" i="35"/>
  <c r="U27" i="35" s="1"/>
  <c r="T28" i="35"/>
  <c r="U28" i="35" s="1"/>
  <c r="T29" i="35"/>
  <c r="U29" i="35" s="1"/>
  <c r="T30" i="35"/>
  <c r="U30" i="35" s="1"/>
  <c r="T31" i="35"/>
  <c r="U31" i="35" s="1"/>
  <c r="T32" i="35"/>
  <c r="U32" i="35" s="1"/>
  <c r="T33" i="35"/>
  <c r="U33" i="35" s="1"/>
  <c r="T34" i="35"/>
  <c r="U34" i="35" s="1"/>
  <c r="T35" i="35"/>
  <c r="U35" i="35" s="1"/>
  <c r="T36" i="35"/>
  <c r="U36" i="35" s="1"/>
  <c r="T37" i="35"/>
  <c r="U37" i="35" s="1"/>
  <c r="T38" i="35"/>
  <c r="U38" i="35" s="1"/>
  <c r="T39" i="35"/>
  <c r="U39" i="35" s="1"/>
  <c r="T40" i="35"/>
  <c r="U40" i="35" s="1"/>
  <c r="T41" i="35"/>
  <c r="U41" i="35" s="1"/>
  <c r="T42" i="35"/>
  <c r="U42" i="35" s="1"/>
  <c r="T43" i="35"/>
  <c r="U43" i="35" s="1"/>
  <c r="T44" i="35"/>
  <c r="U44" i="35" s="1"/>
  <c r="T45" i="35"/>
  <c r="U45" i="35" s="1"/>
  <c r="T46" i="35"/>
  <c r="U46" i="35" s="1"/>
  <c r="T47" i="35"/>
  <c r="U47" i="35" s="1"/>
  <c r="T48" i="35"/>
  <c r="U48" i="35" s="1"/>
  <c r="T49" i="35"/>
  <c r="U49" i="35" s="1"/>
  <c r="T50" i="35"/>
  <c r="U50" i="35" s="1"/>
  <c r="T51" i="35"/>
  <c r="U51" i="35" s="1"/>
  <c r="T52" i="35"/>
  <c r="U52" i="35" s="1"/>
  <c r="T53" i="35"/>
  <c r="U53" i="35" s="1"/>
  <c r="T54" i="35"/>
  <c r="U54" i="35" s="1"/>
  <c r="T55" i="35"/>
  <c r="U55" i="35" s="1"/>
  <c r="T56" i="35"/>
  <c r="U56" i="35" s="1"/>
  <c r="T57" i="35"/>
  <c r="U57" i="35" s="1"/>
  <c r="T58" i="35"/>
  <c r="U58" i="35" s="1"/>
  <c r="T59" i="35"/>
  <c r="U59" i="35" s="1"/>
  <c r="T60" i="35"/>
  <c r="U60" i="35" s="1"/>
  <c r="T61" i="35"/>
  <c r="U61" i="35" s="1"/>
  <c r="T62" i="35"/>
  <c r="U62" i="35" s="1"/>
  <c r="T63" i="35"/>
  <c r="U63" i="35" s="1"/>
  <c r="T64" i="35"/>
  <c r="U64" i="35" s="1"/>
  <c r="T65" i="35"/>
  <c r="U65" i="35" s="1"/>
  <c r="T66" i="35"/>
  <c r="U66" i="35" s="1"/>
  <c r="T67" i="35"/>
  <c r="U67" i="35" s="1"/>
  <c r="T68" i="35"/>
  <c r="U68" i="35" s="1"/>
  <c r="T69" i="35"/>
  <c r="U69" i="35" s="1"/>
  <c r="T70" i="35"/>
  <c r="U70" i="35" s="1"/>
  <c r="T71" i="35"/>
  <c r="U71" i="35" s="1"/>
  <c r="T72" i="35"/>
  <c r="U72" i="35" s="1"/>
  <c r="T73" i="35"/>
  <c r="U73" i="35" s="1"/>
  <c r="T74" i="35"/>
  <c r="U74" i="35" s="1"/>
  <c r="T75" i="35"/>
  <c r="U75" i="35" s="1"/>
  <c r="T76" i="35"/>
  <c r="U76" i="35" s="1"/>
  <c r="T77" i="35"/>
  <c r="U77" i="35" s="1"/>
  <c r="T78" i="35"/>
  <c r="U78" i="35" s="1"/>
  <c r="T79" i="35"/>
  <c r="U79" i="35" s="1"/>
  <c r="T80" i="35"/>
  <c r="U80" i="35" s="1"/>
  <c r="T81" i="35"/>
  <c r="U81" i="35" s="1"/>
  <c r="T82" i="35"/>
  <c r="U82" i="35" s="1"/>
  <c r="T83" i="35"/>
  <c r="U83" i="35" s="1"/>
  <c r="T84" i="35"/>
  <c r="U84" i="35" s="1"/>
  <c r="T86" i="35"/>
  <c r="U86" i="35" s="1"/>
  <c r="T87" i="35"/>
  <c r="U87" i="35" s="1"/>
  <c r="T88" i="35"/>
  <c r="U88" i="35" s="1"/>
  <c r="T89" i="35"/>
  <c r="U89" i="35" s="1"/>
  <c r="T90" i="35"/>
  <c r="U90" i="35" s="1"/>
  <c r="T91" i="35"/>
  <c r="U91" i="35" s="1"/>
  <c r="T93" i="35"/>
  <c r="U93" i="35" s="1"/>
  <c r="T94" i="35"/>
  <c r="U94" i="35" s="1"/>
  <c r="T95" i="35"/>
  <c r="U95" i="35" s="1"/>
  <c r="T96" i="35"/>
  <c r="U96" i="35" s="1"/>
  <c r="T97" i="35"/>
  <c r="U97" i="35" s="1"/>
  <c r="T98" i="35"/>
  <c r="U98" i="35" s="1"/>
  <c r="T99" i="35"/>
  <c r="U99" i="35" s="1"/>
  <c r="T100" i="35"/>
  <c r="U100" i="35" s="1"/>
  <c r="T101" i="35"/>
  <c r="U101" i="35" s="1"/>
  <c r="T102" i="35"/>
  <c r="U102" i="35" s="1"/>
  <c r="T103" i="35"/>
  <c r="U103" i="35" s="1"/>
  <c r="T104" i="35"/>
  <c r="U104" i="35" s="1"/>
  <c r="T107" i="35"/>
  <c r="U107" i="35" s="1"/>
  <c r="T108" i="35"/>
  <c r="U108" i="35" s="1"/>
  <c r="T109" i="35"/>
  <c r="U109" i="35" s="1"/>
  <c r="T110" i="35"/>
  <c r="U110" i="35" s="1"/>
  <c r="T111" i="35"/>
  <c r="U111" i="35" s="1"/>
  <c r="T113" i="35"/>
  <c r="U113" i="35" s="1"/>
  <c r="T114" i="35"/>
  <c r="U114" i="35" s="1"/>
  <c r="T115" i="35"/>
  <c r="U115" i="35" s="1"/>
  <c r="T116" i="35"/>
  <c r="U116" i="35" s="1"/>
  <c r="T117" i="35"/>
  <c r="U117" i="35" s="1"/>
  <c r="T118" i="35"/>
  <c r="U118" i="35" s="1"/>
  <c r="T119" i="35"/>
  <c r="U119" i="35" s="1"/>
  <c r="T120" i="35"/>
  <c r="U120" i="35" s="1"/>
  <c r="T121" i="35"/>
  <c r="U121" i="35" s="1"/>
  <c r="T122" i="35"/>
  <c r="U122" i="35" s="1"/>
  <c r="T123" i="35"/>
  <c r="U123" i="35" s="1"/>
  <c r="T124" i="35"/>
  <c r="U124" i="35" s="1"/>
  <c r="T125" i="35"/>
  <c r="U125" i="35" s="1"/>
  <c r="T126" i="35"/>
  <c r="U126" i="35" s="1"/>
  <c r="Q87" i="45" l="1"/>
  <c r="P51" i="45"/>
  <c r="O28" i="47"/>
  <c r="M27" i="47"/>
  <c r="N27" i="47" s="1"/>
  <c r="A40" i="47"/>
  <c r="A39" i="47"/>
  <c r="A38" i="47"/>
  <c r="A37" i="47"/>
  <c r="A36" i="47"/>
  <c r="A35" i="47"/>
  <c r="O27" i="47" l="1"/>
  <c r="A34" i="47"/>
  <c r="A33" i="47"/>
  <c r="A32" i="47"/>
  <c r="A31" i="47"/>
  <c r="A30" i="47"/>
  <c r="A29" i="47"/>
  <c r="Q28" i="45"/>
  <c r="O6" i="47"/>
  <c r="N8" i="47" s="1"/>
  <c r="N6" i="47"/>
  <c r="K14" i="47"/>
  <c r="J16" i="47" s="1"/>
  <c r="J14" i="47"/>
  <c r="I3" i="47"/>
  <c r="I4" i="47" s="1"/>
  <c r="I5" i="47" s="1"/>
  <c r="I6" i="47" s="1"/>
  <c r="I7" i="47" s="1"/>
  <c r="I8" i="47" s="1"/>
  <c r="I9" i="47" s="1"/>
  <c r="I10" i="47" s="1"/>
  <c r="I11" i="47" s="1"/>
  <c r="I12" i="47" s="1"/>
  <c r="F10" i="47"/>
  <c r="G10" i="47"/>
  <c r="F12" i="47" s="1"/>
  <c r="E3" i="47"/>
  <c r="E4" i="47" s="1"/>
  <c r="E5" i="47" s="1"/>
  <c r="E6" i="47" s="1"/>
  <c r="E7" i="47" s="1"/>
  <c r="E8" i="47" s="1"/>
  <c r="C6" i="47" l="1"/>
  <c r="B4" i="47"/>
  <c r="B3" i="47"/>
  <c r="B2" i="47"/>
  <c r="B6" i="47" l="1"/>
  <c r="B9" i="47"/>
  <c r="K26" i="8"/>
  <c r="W26" i="8"/>
  <c r="K33" i="8"/>
  <c r="W33" i="8"/>
  <c r="Z26" i="8" l="1"/>
  <c r="Z33" i="8"/>
  <c r="P61" i="45" l="1"/>
  <c r="P58" i="45"/>
  <c r="P57" i="45"/>
  <c r="P56" i="45"/>
  <c r="P59" i="45" l="1"/>
  <c r="P63" i="45"/>
  <c r="Q61" i="45"/>
  <c r="P53" i="45"/>
  <c r="P52" i="45"/>
  <c r="P50" i="45"/>
  <c r="P49" i="45"/>
  <c r="P48" i="45"/>
  <c r="Q99" i="45"/>
  <c r="P34" i="45"/>
  <c r="T40" i="45"/>
  <c r="X77" i="46"/>
  <c r="X78" i="46" s="1"/>
  <c r="Y73" i="46"/>
  <c r="AC66" i="46"/>
  <c r="AD66" i="46" s="1"/>
  <c r="AC65" i="46"/>
  <c r="AD65" i="46" s="1"/>
  <c r="AC64" i="46"/>
  <c r="AD64" i="46" s="1"/>
  <c r="AE61" i="46"/>
  <c r="Y61" i="46"/>
  <c r="X61" i="46"/>
  <c r="K61" i="46"/>
  <c r="Z59" i="46"/>
  <c r="AA59" i="46" s="1"/>
  <c r="J59" i="46"/>
  <c r="AC59" i="46" s="1"/>
  <c r="AD59" i="46" s="1"/>
  <c r="Z58" i="46"/>
  <c r="J58" i="46"/>
  <c r="AC58" i="46" s="1"/>
  <c r="AD58" i="46" s="1"/>
  <c r="AE55" i="46"/>
  <c r="Y55" i="46"/>
  <c r="X55" i="46"/>
  <c r="K55" i="46"/>
  <c r="J55" i="46"/>
  <c r="AC53" i="46"/>
  <c r="AD53" i="46" s="1"/>
  <c r="Z53" i="46"/>
  <c r="Z55" i="46" s="1"/>
  <c r="L53" i="46"/>
  <c r="M53" i="46" s="1"/>
  <c r="AE50" i="46"/>
  <c r="Y50" i="46"/>
  <c r="K50" i="46"/>
  <c r="AC48" i="46"/>
  <c r="AD48" i="46" s="1"/>
  <c r="Z48" i="46"/>
  <c r="AA48" i="46" s="1"/>
  <c r="L48" i="46"/>
  <c r="M48" i="46" s="1"/>
  <c r="X47" i="46"/>
  <c r="X50" i="46" s="1"/>
  <c r="J47" i="46"/>
  <c r="J50" i="46" s="1"/>
  <c r="O39" i="46"/>
  <c r="O41" i="46" s="1"/>
  <c r="K103" i="45"/>
  <c r="J103" i="45"/>
  <c r="I103" i="45"/>
  <c r="H103" i="45"/>
  <c r="G103" i="45"/>
  <c r="F103" i="45"/>
  <c r="E103" i="45"/>
  <c r="D103" i="45"/>
  <c r="C103" i="45"/>
  <c r="K98" i="45"/>
  <c r="J98" i="45"/>
  <c r="I98" i="45"/>
  <c r="H98" i="45"/>
  <c r="G98" i="45"/>
  <c r="F98" i="45"/>
  <c r="E98" i="45"/>
  <c r="D98" i="45"/>
  <c r="C98" i="45"/>
  <c r="A98" i="45"/>
  <c r="K97" i="45"/>
  <c r="J97" i="45"/>
  <c r="I97" i="45"/>
  <c r="H97" i="45"/>
  <c r="G97" i="45"/>
  <c r="F97" i="45"/>
  <c r="E97" i="45"/>
  <c r="D97" i="45"/>
  <c r="C97" i="45"/>
  <c r="A97" i="45"/>
  <c r="K96" i="45"/>
  <c r="J96" i="45"/>
  <c r="I96" i="45"/>
  <c r="H96" i="45"/>
  <c r="G96" i="45"/>
  <c r="F96" i="45"/>
  <c r="E96" i="45"/>
  <c r="D96" i="45"/>
  <c r="C96" i="45"/>
  <c r="A96" i="45"/>
  <c r="K95" i="45"/>
  <c r="J95" i="45"/>
  <c r="I95" i="45"/>
  <c r="H95" i="45"/>
  <c r="G95" i="45"/>
  <c r="F95" i="45"/>
  <c r="E95" i="45"/>
  <c r="D95" i="45"/>
  <c r="C95" i="45"/>
  <c r="A95" i="45"/>
  <c r="K94" i="45"/>
  <c r="J94" i="45"/>
  <c r="I94" i="45"/>
  <c r="H94" i="45"/>
  <c r="G94" i="45"/>
  <c r="F94" i="45"/>
  <c r="E94" i="45"/>
  <c r="D94" i="45"/>
  <c r="C94" i="45"/>
  <c r="A94" i="45"/>
  <c r="K93" i="45"/>
  <c r="J93" i="45"/>
  <c r="I93" i="45"/>
  <c r="H93" i="45"/>
  <c r="G93" i="45"/>
  <c r="F93" i="45"/>
  <c r="E93" i="45"/>
  <c r="D93" i="45"/>
  <c r="C93" i="45"/>
  <c r="A93" i="45"/>
  <c r="K92" i="45"/>
  <c r="J92" i="45"/>
  <c r="I92" i="45"/>
  <c r="H92" i="45"/>
  <c r="G92" i="45"/>
  <c r="F92" i="45"/>
  <c r="E92" i="45"/>
  <c r="D92" i="45"/>
  <c r="C92" i="45"/>
  <c r="A92" i="45"/>
  <c r="K91" i="45"/>
  <c r="J91" i="45"/>
  <c r="I91" i="45"/>
  <c r="H91" i="45"/>
  <c r="G91" i="45"/>
  <c r="F91" i="45"/>
  <c r="E91" i="45"/>
  <c r="D91" i="45"/>
  <c r="C91" i="45"/>
  <c r="A91" i="45"/>
  <c r="K90" i="45"/>
  <c r="J90" i="45"/>
  <c r="I90" i="45"/>
  <c r="H90" i="45"/>
  <c r="G90" i="45"/>
  <c r="F90" i="45"/>
  <c r="E90" i="45"/>
  <c r="D90" i="45"/>
  <c r="C90" i="45"/>
  <c r="A90" i="45"/>
  <c r="K89" i="45"/>
  <c r="J89" i="45"/>
  <c r="I89" i="45"/>
  <c r="H89" i="45"/>
  <c r="G89" i="45"/>
  <c r="F89" i="45"/>
  <c r="E89" i="45"/>
  <c r="D89" i="45"/>
  <c r="C89" i="45"/>
  <c r="A89" i="45"/>
  <c r="K88" i="45"/>
  <c r="J88" i="45"/>
  <c r="I88" i="45"/>
  <c r="H88" i="45"/>
  <c r="G88" i="45"/>
  <c r="F88" i="45"/>
  <c r="E88" i="45"/>
  <c r="D88" i="45"/>
  <c r="C88" i="45"/>
  <c r="A88" i="45"/>
  <c r="K87" i="45"/>
  <c r="J87" i="45"/>
  <c r="I87" i="45"/>
  <c r="H87" i="45"/>
  <c r="G87" i="45"/>
  <c r="F87" i="45"/>
  <c r="E87" i="45"/>
  <c r="D87" i="45"/>
  <c r="C87" i="45"/>
  <c r="A87" i="45"/>
  <c r="K86" i="45"/>
  <c r="J86" i="45"/>
  <c r="I86" i="45"/>
  <c r="H86" i="45"/>
  <c r="G86" i="45"/>
  <c r="F86" i="45"/>
  <c r="E86" i="45"/>
  <c r="D86" i="45"/>
  <c r="C86" i="45"/>
  <c r="A86" i="45"/>
  <c r="K85" i="45"/>
  <c r="J85" i="45"/>
  <c r="I85" i="45"/>
  <c r="H85" i="45"/>
  <c r="G85" i="45"/>
  <c r="F85" i="45"/>
  <c r="E85" i="45"/>
  <c r="D85" i="45"/>
  <c r="C85" i="45"/>
  <c r="A85" i="45"/>
  <c r="K84" i="45"/>
  <c r="J84" i="45"/>
  <c r="I84" i="45"/>
  <c r="H84" i="45"/>
  <c r="G84" i="45"/>
  <c r="F84" i="45"/>
  <c r="E84" i="45"/>
  <c r="D84" i="45"/>
  <c r="C84" i="45"/>
  <c r="A84" i="45"/>
  <c r="A78" i="45"/>
  <c r="K77" i="45"/>
  <c r="J77" i="45"/>
  <c r="I77" i="45"/>
  <c r="H77" i="45"/>
  <c r="G77" i="45"/>
  <c r="F77" i="45"/>
  <c r="E77" i="45"/>
  <c r="D77" i="45"/>
  <c r="C77" i="45"/>
  <c r="A77" i="45"/>
  <c r="K76" i="45"/>
  <c r="J76" i="45"/>
  <c r="I76" i="45"/>
  <c r="H76" i="45"/>
  <c r="G76" i="45"/>
  <c r="F76" i="45"/>
  <c r="E76" i="45"/>
  <c r="D76" i="45"/>
  <c r="C76" i="45"/>
  <c r="A76" i="45"/>
  <c r="A74" i="45"/>
  <c r="K73" i="45"/>
  <c r="J73" i="45"/>
  <c r="I73" i="45"/>
  <c r="H73" i="45"/>
  <c r="G73" i="45"/>
  <c r="F73" i="45"/>
  <c r="E73" i="45"/>
  <c r="D73" i="45"/>
  <c r="C73" i="45"/>
  <c r="A73" i="45"/>
  <c r="K72" i="45"/>
  <c r="J72" i="45"/>
  <c r="I72" i="45"/>
  <c r="H72" i="45"/>
  <c r="G72" i="45"/>
  <c r="F72" i="45"/>
  <c r="E72" i="45"/>
  <c r="D72" i="45"/>
  <c r="C72" i="45"/>
  <c r="A72" i="45"/>
  <c r="A70" i="45"/>
  <c r="K69" i="45"/>
  <c r="J69" i="45"/>
  <c r="I69" i="45"/>
  <c r="H69" i="45"/>
  <c r="G69" i="45"/>
  <c r="F69" i="45"/>
  <c r="E69" i="45"/>
  <c r="D69" i="45"/>
  <c r="C69" i="45"/>
  <c r="A69" i="45"/>
  <c r="K68" i="45"/>
  <c r="J68" i="45"/>
  <c r="I68" i="45"/>
  <c r="H68" i="45"/>
  <c r="G68" i="45"/>
  <c r="F68" i="45"/>
  <c r="E68" i="45"/>
  <c r="D68" i="45"/>
  <c r="C68" i="45"/>
  <c r="A68" i="45"/>
  <c r="A63" i="45"/>
  <c r="K62" i="45"/>
  <c r="J62" i="45"/>
  <c r="I62" i="45"/>
  <c r="H62" i="45"/>
  <c r="G62" i="45"/>
  <c r="F62" i="45"/>
  <c r="E62" i="45"/>
  <c r="D62" i="45"/>
  <c r="C62" i="45"/>
  <c r="A62" i="45"/>
  <c r="K61" i="45"/>
  <c r="J61" i="45"/>
  <c r="I61" i="45"/>
  <c r="H61" i="45"/>
  <c r="G61" i="45"/>
  <c r="F61" i="45"/>
  <c r="E61" i="45"/>
  <c r="D61" i="45"/>
  <c r="C61" i="45"/>
  <c r="A61" i="45"/>
  <c r="A59" i="45"/>
  <c r="K58" i="45"/>
  <c r="J58" i="45"/>
  <c r="I58" i="45"/>
  <c r="H58" i="45"/>
  <c r="G58" i="45"/>
  <c r="F58" i="45"/>
  <c r="E58" i="45"/>
  <c r="D58" i="45"/>
  <c r="C58" i="45"/>
  <c r="A58" i="45"/>
  <c r="K57" i="45"/>
  <c r="J57" i="45"/>
  <c r="I57" i="45"/>
  <c r="H57" i="45"/>
  <c r="G57" i="45"/>
  <c r="F57" i="45"/>
  <c r="E57" i="45"/>
  <c r="D57" i="45"/>
  <c r="C57" i="45"/>
  <c r="A57" i="45"/>
  <c r="K56" i="45"/>
  <c r="J56" i="45"/>
  <c r="I56" i="45"/>
  <c r="H56" i="45"/>
  <c r="G56" i="45"/>
  <c r="F56" i="45"/>
  <c r="E56" i="45"/>
  <c r="D56" i="45"/>
  <c r="C56" i="45"/>
  <c r="A56" i="45"/>
  <c r="A54" i="45"/>
  <c r="K53" i="45"/>
  <c r="J53" i="45"/>
  <c r="I53" i="45"/>
  <c r="H53" i="45"/>
  <c r="G53" i="45"/>
  <c r="F53" i="45"/>
  <c r="E53" i="45"/>
  <c r="D53" i="45"/>
  <c r="C53" i="45"/>
  <c r="A53" i="45"/>
  <c r="K52" i="45"/>
  <c r="J52" i="45"/>
  <c r="I52" i="45"/>
  <c r="H52" i="45"/>
  <c r="G52" i="45"/>
  <c r="F52" i="45"/>
  <c r="E52" i="45"/>
  <c r="D52" i="45"/>
  <c r="C52" i="45"/>
  <c r="A52" i="45"/>
  <c r="K51" i="45"/>
  <c r="J51" i="45"/>
  <c r="I51" i="45"/>
  <c r="H51" i="45"/>
  <c r="G51" i="45"/>
  <c r="F51" i="45"/>
  <c r="E51" i="45"/>
  <c r="D51" i="45"/>
  <c r="C51" i="45"/>
  <c r="A51" i="45"/>
  <c r="K50" i="45"/>
  <c r="J50" i="45"/>
  <c r="I50" i="45"/>
  <c r="H50" i="45"/>
  <c r="G50" i="45"/>
  <c r="F50" i="45"/>
  <c r="E50" i="45"/>
  <c r="D50" i="45"/>
  <c r="C50" i="45"/>
  <c r="A50" i="45"/>
  <c r="K49" i="45"/>
  <c r="J49" i="45"/>
  <c r="I49" i="45"/>
  <c r="H49" i="45"/>
  <c r="G49" i="45"/>
  <c r="F49" i="45"/>
  <c r="E49" i="45"/>
  <c r="D49" i="45"/>
  <c r="C49" i="45"/>
  <c r="A49" i="45"/>
  <c r="K48" i="45"/>
  <c r="J48" i="45"/>
  <c r="I48" i="45"/>
  <c r="H48" i="45"/>
  <c r="G48" i="45"/>
  <c r="F48" i="45"/>
  <c r="E48" i="45"/>
  <c r="D48" i="45"/>
  <c r="C48" i="45"/>
  <c r="A48" i="45"/>
  <c r="A46" i="45"/>
  <c r="K45" i="45"/>
  <c r="J45" i="45"/>
  <c r="I45" i="45"/>
  <c r="H45" i="45"/>
  <c r="G45" i="45"/>
  <c r="F45" i="45"/>
  <c r="E45" i="45"/>
  <c r="D45" i="45"/>
  <c r="C45" i="45"/>
  <c r="A45" i="45"/>
  <c r="K44" i="45"/>
  <c r="J44" i="45"/>
  <c r="I44" i="45"/>
  <c r="H44" i="45"/>
  <c r="G44" i="45"/>
  <c r="F44" i="45"/>
  <c r="E44" i="45"/>
  <c r="D44" i="45"/>
  <c r="C44" i="45"/>
  <c r="A44" i="45"/>
  <c r="K43" i="45"/>
  <c r="J43" i="45"/>
  <c r="I43" i="45"/>
  <c r="H43" i="45"/>
  <c r="G43" i="45"/>
  <c r="F43" i="45"/>
  <c r="E43" i="45"/>
  <c r="D43" i="45"/>
  <c r="C43" i="45"/>
  <c r="A43" i="45"/>
  <c r="A40" i="45"/>
  <c r="K39" i="45"/>
  <c r="J39" i="45"/>
  <c r="I39" i="45"/>
  <c r="H39" i="45"/>
  <c r="G39" i="45"/>
  <c r="F39" i="45"/>
  <c r="E39" i="45"/>
  <c r="D39" i="45"/>
  <c r="C39" i="45"/>
  <c r="A39" i="45"/>
  <c r="K38" i="45"/>
  <c r="J38" i="45"/>
  <c r="I38" i="45"/>
  <c r="H38" i="45"/>
  <c r="G38" i="45"/>
  <c r="F38" i="45"/>
  <c r="E38" i="45"/>
  <c r="D38" i="45"/>
  <c r="C38" i="45"/>
  <c r="A38" i="45"/>
  <c r="K37" i="45"/>
  <c r="J37" i="45"/>
  <c r="I37" i="45"/>
  <c r="H37" i="45"/>
  <c r="G37" i="45"/>
  <c r="F37" i="45"/>
  <c r="E37" i="45"/>
  <c r="D37" i="45"/>
  <c r="C37" i="45"/>
  <c r="A37" i="45"/>
  <c r="K36" i="45"/>
  <c r="J36" i="45"/>
  <c r="I36" i="45"/>
  <c r="H36" i="45"/>
  <c r="G36" i="45"/>
  <c r="F36" i="45"/>
  <c r="E36" i="45"/>
  <c r="D36" i="45"/>
  <c r="C36" i="45"/>
  <c r="A36" i="45"/>
  <c r="A34" i="45"/>
  <c r="K33" i="45"/>
  <c r="J33" i="45"/>
  <c r="I33" i="45"/>
  <c r="H33" i="45"/>
  <c r="G33" i="45"/>
  <c r="F33" i="45"/>
  <c r="E33" i="45"/>
  <c r="D33" i="45"/>
  <c r="C33" i="45"/>
  <c r="A33" i="45"/>
  <c r="K32" i="45"/>
  <c r="J32" i="45"/>
  <c r="I32" i="45"/>
  <c r="H32" i="45"/>
  <c r="G32" i="45"/>
  <c r="F32" i="45"/>
  <c r="E32" i="45"/>
  <c r="D32" i="45"/>
  <c r="C32" i="45"/>
  <c r="A32" i="45"/>
  <c r="A27" i="45"/>
  <c r="K26" i="45"/>
  <c r="J26" i="45"/>
  <c r="I26" i="45"/>
  <c r="H26" i="45"/>
  <c r="G26" i="45"/>
  <c r="F26" i="45"/>
  <c r="E26" i="45"/>
  <c r="D26" i="45"/>
  <c r="C26" i="45"/>
  <c r="A26" i="45"/>
  <c r="K25" i="45"/>
  <c r="J25" i="45"/>
  <c r="I25" i="45"/>
  <c r="H25" i="45"/>
  <c r="G25" i="45"/>
  <c r="F25" i="45"/>
  <c r="E25" i="45"/>
  <c r="D25" i="45"/>
  <c r="C25" i="45"/>
  <c r="A25" i="45"/>
  <c r="K24" i="45"/>
  <c r="J24" i="45"/>
  <c r="I24" i="45"/>
  <c r="H24" i="45"/>
  <c r="G24" i="45"/>
  <c r="F24" i="45"/>
  <c r="E24" i="45"/>
  <c r="D24" i="45"/>
  <c r="C24" i="45"/>
  <c r="A24" i="45"/>
  <c r="K23" i="45"/>
  <c r="J23" i="45"/>
  <c r="I23" i="45"/>
  <c r="H23" i="45"/>
  <c r="G23" i="45"/>
  <c r="F23" i="45"/>
  <c r="E23" i="45"/>
  <c r="D23" i="45"/>
  <c r="C23" i="45"/>
  <c r="A23" i="45"/>
  <c r="A21" i="45"/>
  <c r="K20" i="45"/>
  <c r="K21" i="45" s="1"/>
  <c r="J20" i="45"/>
  <c r="J21" i="45" s="1"/>
  <c r="I20" i="45"/>
  <c r="I21" i="45" s="1"/>
  <c r="H20" i="45"/>
  <c r="H21" i="45" s="1"/>
  <c r="G20" i="45"/>
  <c r="G21" i="45" s="1"/>
  <c r="F20" i="45"/>
  <c r="F21" i="45" s="1"/>
  <c r="E20" i="45"/>
  <c r="E21" i="45" s="1"/>
  <c r="D20" i="45"/>
  <c r="D21" i="45" s="1"/>
  <c r="C20" i="45"/>
  <c r="C21" i="45" s="1"/>
  <c r="A20" i="45"/>
  <c r="A18" i="45"/>
  <c r="K17" i="45"/>
  <c r="J17" i="45"/>
  <c r="I17" i="45"/>
  <c r="H17" i="45"/>
  <c r="G17" i="45"/>
  <c r="F17" i="45"/>
  <c r="E17" i="45"/>
  <c r="D17" i="45"/>
  <c r="C17" i="45"/>
  <c r="A17" i="45"/>
  <c r="K16" i="45"/>
  <c r="J16" i="45"/>
  <c r="I16" i="45"/>
  <c r="H16" i="45"/>
  <c r="G16" i="45"/>
  <c r="F16" i="45"/>
  <c r="E16" i="45"/>
  <c r="D16" i="45"/>
  <c r="C16" i="45"/>
  <c r="A16" i="45"/>
  <c r="K15" i="45"/>
  <c r="J15" i="45"/>
  <c r="I15" i="45"/>
  <c r="H15" i="45"/>
  <c r="G15" i="45"/>
  <c r="F15" i="45"/>
  <c r="E15" i="45"/>
  <c r="D15" i="45"/>
  <c r="C15" i="45"/>
  <c r="A15" i="45"/>
  <c r="K14" i="45"/>
  <c r="J14" i="45"/>
  <c r="I14" i="45"/>
  <c r="H14" i="45"/>
  <c r="G14" i="45"/>
  <c r="F14" i="45"/>
  <c r="E14" i="45"/>
  <c r="D14" i="45"/>
  <c r="C14" i="45"/>
  <c r="A14" i="45"/>
  <c r="K13" i="45"/>
  <c r="J13" i="45"/>
  <c r="I13" i="45"/>
  <c r="H13" i="45"/>
  <c r="G13" i="45"/>
  <c r="F13" i="45"/>
  <c r="E13" i="45"/>
  <c r="D13" i="45"/>
  <c r="C13" i="45"/>
  <c r="A13" i="45"/>
  <c r="K12" i="45"/>
  <c r="J12" i="45"/>
  <c r="I12" i="45"/>
  <c r="H12" i="45"/>
  <c r="G12" i="45"/>
  <c r="F12" i="45"/>
  <c r="E12" i="45"/>
  <c r="D12" i="45"/>
  <c r="C12" i="45"/>
  <c r="A12" i="45"/>
  <c r="K11" i="45"/>
  <c r="J11" i="45"/>
  <c r="I11" i="45"/>
  <c r="H11" i="45"/>
  <c r="G11" i="45"/>
  <c r="F11" i="45"/>
  <c r="E11" i="45"/>
  <c r="D11" i="45"/>
  <c r="C11" i="45"/>
  <c r="A11" i="45"/>
  <c r="K10" i="45"/>
  <c r="J10" i="45"/>
  <c r="I10" i="45"/>
  <c r="H10" i="45"/>
  <c r="G10" i="45"/>
  <c r="F10" i="45"/>
  <c r="E10" i="45"/>
  <c r="D10" i="45"/>
  <c r="C10" i="45"/>
  <c r="A10" i="45"/>
  <c r="K9" i="45"/>
  <c r="J9" i="45"/>
  <c r="I9" i="45"/>
  <c r="H9" i="45"/>
  <c r="G9" i="45"/>
  <c r="F9" i="45"/>
  <c r="E9" i="45"/>
  <c r="D9" i="45"/>
  <c r="C9" i="45"/>
  <c r="A9" i="45"/>
  <c r="M5" i="45"/>
  <c r="A3" i="45"/>
  <c r="X63" i="46" l="1"/>
  <c r="X72" i="46" s="1"/>
  <c r="AA55" i="46"/>
  <c r="H63" i="45"/>
  <c r="K70" i="45"/>
  <c r="D74" i="45"/>
  <c r="H99" i="45"/>
  <c r="M86" i="45"/>
  <c r="O86" i="45" s="1"/>
  <c r="P86" i="45" s="1"/>
  <c r="N88" i="45"/>
  <c r="M90" i="45"/>
  <c r="O90" i="45" s="1"/>
  <c r="P90" i="45" s="1"/>
  <c r="K63" i="46"/>
  <c r="L58" i="46"/>
  <c r="Y63" i="46"/>
  <c r="Z61" i="46"/>
  <c r="AA61" i="46" s="1"/>
  <c r="J61" i="46"/>
  <c r="AC61" i="46" s="1"/>
  <c r="AD61" i="46" s="1"/>
  <c r="AC55" i="46"/>
  <c r="AD55" i="46" s="1"/>
  <c r="D46" i="45"/>
  <c r="H46" i="45"/>
  <c r="J46" i="45"/>
  <c r="E54" i="45"/>
  <c r="I54" i="45"/>
  <c r="H59" i="45"/>
  <c r="N62" i="45"/>
  <c r="M15" i="45"/>
  <c r="O15" i="45" s="1"/>
  <c r="B34" i="47" s="1"/>
  <c r="E34" i="47" s="1"/>
  <c r="M17" i="45"/>
  <c r="O17" i="45" s="1"/>
  <c r="B36" i="47" s="1"/>
  <c r="E36" i="47" s="1"/>
  <c r="H27" i="45"/>
  <c r="C34" i="45"/>
  <c r="G34" i="45"/>
  <c r="K34" i="45"/>
  <c r="E34" i="45"/>
  <c r="F40" i="45"/>
  <c r="J40" i="45"/>
  <c r="Q38" i="45"/>
  <c r="R38" i="45" s="1"/>
  <c r="S38" i="45" s="1"/>
  <c r="Q39" i="45"/>
  <c r="R39" i="45" s="1"/>
  <c r="S39" i="45" s="1"/>
  <c r="G59" i="45"/>
  <c r="C78" i="45"/>
  <c r="G78" i="45"/>
  <c r="K78" i="45"/>
  <c r="N97" i="45"/>
  <c r="N25" i="45"/>
  <c r="N26" i="45"/>
  <c r="M33" i="45"/>
  <c r="O33" i="45" s="1"/>
  <c r="N49" i="45"/>
  <c r="F78" i="45"/>
  <c r="J78" i="45"/>
  <c r="J18" i="45"/>
  <c r="J28" i="45" s="1"/>
  <c r="N11" i="45"/>
  <c r="I40" i="45"/>
  <c r="N52" i="45"/>
  <c r="I70" i="45"/>
  <c r="E78" i="45"/>
  <c r="B182" i="35"/>
  <c r="E70" i="45"/>
  <c r="G70" i="45"/>
  <c r="I78" i="45"/>
  <c r="F27" i="45"/>
  <c r="J27" i="45"/>
  <c r="I34" i="45"/>
  <c r="C59" i="45"/>
  <c r="K59" i="45"/>
  <c r="E59" i="45"/>
  <c r="I59" i="45"/>
  <c r="H70" i="45"/>
  <c r="H74" i="45"/>
  <c r="N103" i="45"/>
  <c r="AE63" i="46"/>
  <c r="N43" i="45"/>
  <c r="M73" i="45"/>
  <c r="O73" i="45" s="1"/>
  <c r="N73" i="45"/>
  <c r="E18" i="45"/>
  <c r="I18" i="45"/>
  <c r="N10" i="45"/>
  <c r="N38" i="45"/>
  <c r="E46" i="45"/>
  <c r="I46" i="45"/>
  <c r="N58" i="45"/>
  <c r="P54" i="45"/>
  <c r="N23" i="45"/>
  <c r="M23" i="45"/>
  <c r="O23" i="45" s="1"/>
  <c r="Q37" i="45"/>
  <c r="R37" i="45" s="1"/>
  <c r="S37" i="45" s="1"/>
  <c r="F46" i="45"/>
  <c r="N53" i="45"/>
  <c r="F70" i="45"/>
  <c r="J70" i="45"/>
  <c r="N77" i="45"/>
  <c r="G18" i="45"/>
  <c r="K18" i="45"/>
  <c r="M11" i="45"/>
  <c r="O11" i="45" s="1"/>
  <c r="B29" i="47" s="1"/>
  <c r="N12" i="45"/>
  <c r="N16" i="45"/>
  <c r="E27" i="45"/>
  <c r="I27" i="45"/>
  <c r="M25" i="45"/>
  <c r="O25" i="45" s="1"/>
  <c r="N51" i="45"/>
  <c r="N61" i="45"/>
  <c r="N63" i="45" s="1"/>
  <c r="C70" i="45"/>
  <c r="M72" i="45"/>
  <c r="O72" i="45" s="1"/>
  <c r="N87" i="45"/>
  <c r="N90" i="45"/>
  <c r="N93" i="45"/>
  <c r="N96" i="45"/>
  <c r="Q36" i="45"/>
  <c r="R36" i="45" s="1"/>
  <c r="S36" i="45" s="1"/>
  <c r="M24" i="45"/>
  <c r="O24" i="45" s="1"/>
  <c r="M26" i="45"/>
  <c r="O26" i="45" s="1"/>
  <c r="D34" i="45"/>
  <c r="H34" i="45"/>
  <c r="F34" i="45"/>
  <c r="J34" i="45"/>
  <c r="N36" i="45"/>
  <c r="H40" i="45"/>
  <c r="N44" i="45"/>
  <c r="M48" i="45"/>
  <c r="O48" i="45" s="1"/>
  <c r="G54" i="45"/>
  <c r="K54" i="45"/>
  <c r="M50" i="45"/>
  <c r="O50" i="45" s="1"/>
  <c r="M53" i="45"/>
  <c r="O53" i="45" s="1"/>
  <c r="M57" i="45"/>
  <c r="M58" i="45"/>
  <c r="O58" i="45" s="1"/>
  <c r="E63" i="45"/>
  <c r="I63" i="45"/>
  <c r="G63" i="45"/>
  <c r="K63" i="45"/>
  <c r="F74" i="45"/>
  <c r="J74" i="45"/>
  <c r="M77" i="45"/>
  <c r="O77" i="45" s="1"/>
  <c r="N91" i="45"/>
  <c r="N94" i="45"/>
  <c r="N15" i="45"/>
  <c r="C27" i="45"/>
  <c r="G27" i="45"/>
  <c r="G28" i="45" s="1"/>
  <c r="E40" i="45"/>
  <c r="M37" i="45"/>
  <c r="O37" i="45" s="1"/>
  <c r="M39" i="45"/>
  <c r="O39" i="45" s="1"/>
  <c r="C46" i="45"/>
  <c r="G46" i="45"/>
  <c r="K46" i="45"/>
  <c r="F59" i="45"/>
  <c r="J59" i="45"/>
  <c r="N57" i="45"/>
  <c r="F63" i="45"/>
  <c r="J63" i="45"/>
  <c r="N68" i="45"/>
  <c r="C74" i="45"/>
  <c r="G74" i="45"/>
  <c r="K74" i="45"/>
  <c r="E74" i="45"/>
  <c r="I74" i="45"/>
  <c r="D78" i="45"/>
  <c r="H78" i="45"/>
  <c r="N76" i="45"/>
  <c r="N78" i="45" s="1"/>
  <c r="F99" i="45"/>
  <c r="J99" i="45"/>
  <c r="M93" i="45"/>
  <c r="O93" i="45" s="1"/>
  <c r="P93" i="45" s="1"/>
  <c r="M97" i="45"/>
  <c r="O97" i="45" s="1"/>
  <c r="P97" i="45" s="1"/>
  <c r="N98" i="45"/>
  <c r="O43" i="46"/>
  <c r="Q41" i="46"/>
  <c r="R41" i="46" s="1"/>
  <c r="AC50" i="46"/>
  <c r="AD50" i="46" s="1"/>
  <c r="Q39" i="46"/>
  <c r="R39" i="46" s="1"/>
  <c r="Z47" i="46"/>
  <c r="AA53" i="46"/>
  <c r="M58" i="46"/>
  <c r="L47" i="46"/>
  <c r="L55" i="46"/>
  <c r="M55" i="46" s="1"/>
  <c r="AC47" i="46"/>
  <c r="AD47" i="46" s="1"/>
  <c r="AA58" i="46"/>
  <c r="L59" i="46"/>
  <c r="M59" i="46" s="1"/>
  <c r="C18" i="45"/>
  <c r="M9" i="45"/>
  <c r="O9" i="45" s="1"/>
  <c r="B37" i="47" s="1"/>
  <c r="E37" i="47" s="1"/>
  <c r="N9" i="45"/>
  <c r="M14" i="45"/>
  <c r="O14" i="45" s="1"/>
  <c r="B33" i="47" s="1"/>
  <c r="E33" i="47" s="1"/>
  <c r="D18" i="45"/>
  <c r="H18" i="45"/>
  <c r="M13" i="45"/>
  <c r="O13" i="45" s="1"/>
  <c r="B32" i="47" s="1"/>
  <c r="E32" i="47" s="1"/>
  <c r="N13" i="45"/>
  <c r="F18" i="45"/>
  <c r="M12" i="45"/>
  <c r="O12" i="45" s="1"/>
  <c r="B30" i="47" s="1"/>
  <c r="E30" i="47" s="1"/>
  <c r="N14" i="45"/>
  <c r="M21" i="45"/>
  <c r="N20" i="45"/>
  <c r="N21" i="45" s="1"/>
  <c r="M36" i="45"/>
  <c r="O36" i="45" s="1"/>
  <c r="M51" i="45"/>
  <c r="O51" i="45" s="1"/>
  <c r="M61" i="45"/>
  <c r="O61" i="45" s="1"/>
  <c r="N89" i="45"/>
  <c r="M89" i="45"/>
  <c r="O89" i="45" s="1"/>
  <c r="P89" i="45" s="1"/>
  <c r="M94" i="45"/>
  <c r="O94" i="45" s="1"/>
  <c r="P94" i="45" s="1"/>
  <c r="D99" i="45"/>
  <c r="M10" i="45"/>
  <c r="O10" i="45" s="1"/>
  <c r="B31" i="47" s="1"/>
  <c r="E31" i="47" s="1"/>
  <c r="N17" i="45"/>
  <c r="N24" i="45"/>
  <c r="M32" i="45"/>
  <c r="O32" i="45" s="1"/>
  <c r="N37" i="45"/>
  <c r="M45" i="45"/>
  <c r="O45" i="45" s="1"/>
  <c r="B40" i="47" s="1"/>
  <c r="N48" i="45"/>
  <c r="C54" i="45"/>
  <c r="N56" i="45"/>
  <c r="D59" i="45"/>
  <c r="M56" i="45"/>
  <c r="O56" i="45" s="1"/>
  <c r="D63" i="45"/>
  <c r="N84" i="45"/>
  <c r="M84" i="45"/>
  <c r="O84" i="45" s="1"/>
  <c r="P84" i="45" s="1"/>
  <c r="M87" i="45"/>
  <c r="O87" i="45" s="1"/>
  <c r="P87" i="45" s="1"/>
  <c r="M88" i="45"/>
  <c r="O88" i="45" s="1"/>
  <c r="P88" i="45" s="1"/>
  <c r="N95" i="45"/>
  <c r="M95" i="45"/>
  <c r="O95" i="45" s="1"/>
  <c r="P95" i="45" s="1"/>
  <c r="M20" i="45"/>
  <c r="O20" i="45" s="1"/>
  <c r="K27" i="45"/>
  <c r="N32" i="45"/>
  <c r="C40" i="45"/>
  <c r="G40" i="45"/>
  <c r="K40" i="45"/>
  <c r="M43" i="45"/>
  <c r="O43" i="45" s="1"/>
  <c r="B38" i="47" s="1"/>
  <c r="M44" i="45"/>
  <c r="O44" i="45" s="1"/>
  <c r="B39" i="47" s="1"/>
  <c r="N45" i="45"/>
  <c r="F54" i="45"/>
  <c r="J54" i="45"/>
  <c r="M52" i="45"/>
  <c r="O52" i="45" s="1"/>
  <c r="C63" i="45"/>
  <c r="M62" i="45"/>
  <c r="O62" i="45" s="1"/>
  <c r="M68" i="45"/>
  <c r="O68" i="45" s="1"/>
  <c r="D70" i="45"/>
  <c r="N69" i="45"/>
  <c r="M69" i="45"/>
  <c r="O69" i="45" s="1"/>
  <c r="M76" i="45"/>
  <c r="O76" i="45" s="1"/>
  <c r="O78" i="45" s="1"/>
  <c r="E99" i="45"/>
  <c r="I99" i="45"/>
  <c r="N86" i="45"/>
  <c r="N92" i="45"/>
  <c r="M92" i="45"/>
  <c r="O92" i="45" s="1"/>
  <c r="P92" i="45" s="1"/>
  <c r="M98" i="45"/>
  <c r="O98" i="45" s="1"/>
  <c r="P98" i="45" s="1"/>
  <c r="M103" i="45"/>
  <c r="O103" i="45" s="1"/>
  <c r="R103" i="45" s="1"/>
  <c r="M16" i="45"/>
  <c r="O16" i="45" s="1"/>
  <c r="B35" i="47" s="1"/>
  <c r="E35" i="47" s="1"/>
  <c r="D27" i="45"/>
  <c r="D40" i="45"/>
  <c r="N33" i="45"/>
  <c r="M38" i="45"/>
  <c r="O38" i="45" s="1"/>
  <c r="N39" i="45"/>
  <c r="D54" i="45"/>
  <c r="H54" i="45"/>
  <c r="M49" i="45"/>
  <c r="O49" i="45" s="1"/>
  <c r="N50" i="45"/>
  <c r="O57" i="45"/>
  <c r="C99" i="45"/>
  <c r="G99" i="45"/>
  <c r="K99" i="45"/>
  <c r="N85" i="45"/>
  <c r="M85" i="45"/>
  <c r="O85" i="45" s="1"/>
  <c r="P85" i="45" s="1"/>
  <c r="M91" i="45"/>
  <c r="O91" i="45" s="1"/>
  <c r="P91" i="45" s="1"/>
  <c r="M96" i="45"/>
  <c r="O96" i="45" s="1"/>
  <c r="P96" i="45" s="1"/>
  <c r="N72" i="45"/>
  <c r="G65" i="45" l="1"/>
  <c r="M59" i="45"/>
  <c r="E80" i="45"/>
  <c r="H80" i="45"/>
  <c r="F30" i="45"/>
  <c r="E30" i="45"/>
  <c r="O74" i="45"/>
  <c r="C30" i="45"/>
  <c r="J30" i="45"/>
  <c r="J63" i="46"/>
  <c r="AC63" i="46" s="1"/>
  <c r="AD63" i="46" s="1"/>
  <c r="AF63" i="46"/>
  <c r="AF47" i="46" s="1"/>
  <c r="G30" i="45"/>
  <c r="M78" i="45"/>
  <c r="G80" i="45"/>
  <c r="K65" i="45"/>
  <c r="I65" i="45"/>
  <c r="M34" i="45"/>
  <c r="C80" i="45"/>
  <c r="I30" i="45"/>
  <c r="K28" i="45"/>
  <c r="O34" i="45"/>
  <c r="N46" i="45"/>
  <c r="E65" i="45"/>
  <c r="H65" i="45"/>
  <c r="K80" i="45"/>
  <c r="P99" i="45"/>
  <c r="N18" i="45"/>
  <c r="M46" i="45"/>
  <c r="J65" i="45"/>
  <c r="B43" i="47"/>
  <c r="N27" i="45"/>
  <c r="E28" i="45"/>
  <c r="O54" i="45"/>
  <c r="B41" i="47"/>
  <c r="E29" i="47"/>
  <c r="E41" i="47" s="1"/>
  <c r="J80" i="45"/>
  <c r="E101" i="45"/>
  <c r="E105" i="45" s="1"/>
  <c r="N70" i="45"/>
  <c r="N40" i="45"/>
  <c r="C28" i="45"/>
  <c r="H101" i="45"/>
  <c r="H105" i="45" s="1"/>
  <c r="I80" i="45"/>
  <c r="F80" i="45"/>
  <c r="D80" i="45"/>
  <c r="M74" i="45"/>
  <c r="N59" i="45"/>
  <c r="I28" i="45"/>
  <c r="O27" i="45"/>
  <c r="N74" i="45"/>
  <c r="I101" i="45"/>
  <c r="I105" i="45" s="1"/>
  <c r="F65" i="45"/>
  <c r="N99" i="45"/>
  <c r="C65" i="45"/>
  <c r="O40" i="45"/>
  <c r="D101" i="45"/>
  <c r="D105" i="45" s="1"/>
  <c r="G101" i="45"/>
  <c r="G105" i="45" s="1"/>
  <c r="Q43" i="46"/>
  <c r="R43" i="46" s="1"/>
  <c r="O65" i="46"/>
  <c r="Q65" i="46" s="1"/>
  <c r="R65" i="46" s="1"/>
  <c r="H28" i="45"/>
  <c r="AA47" i="46"/>
  <c r="Z50" i="46"/>
  <c r="M47" i="46"/>
  <c r="L50" i="46"/>
  <c r="M50" i="46" s="1"/>
  <c r="X71" i="46"/>
  <c r="X73" i="46" s="1"/>
  <c r="X74" i="46" s="1"/>
  <c r="X75" i="46" s="1"/>
  <c r="L61" i="46"/>
  <c r="K30" i="45"/>
  <c r="F101" i="45"/>
  <c r="F105" i="45" s="1"/>
  <c r="M40" i="45"/>
  <c r="F28" i="45"/>
  <c r="D65" i="45"/>
  <c r="O70" i="45"/>
  <c r="O46" i="45"/>
  <c r="N34" i="45"/>
  <c r="O99" i="45"/>
  <c r="M70" i="45"/>
  <c r="O59" i="45"/>
  <c r="N54" i="45"/>
  <c r="J101" i="45"/>
  <c r="J105" i="45" s="1"/>
  <c r="H30" i="45"/>
  <c r="C101" i="45"/>
  <c r="M27" i="45"/>
  <c r="O63" i="45"/>
  <c r="M99" i="45"/>
  <c r="M63" i="45"/>
  <c r="K101" i="45"/>
  <c r="K105" i="45" s="1"/>
  <c r="O18" i="45"/>
  <c r="D30" i="45"/>
  <c r="D28" i="45"/>
  <c r="M54" i="45"/>
  <c r="M18" i="45"/>
  <c r="G82" i="45" l="1"/>
  <c r="N28" i="45"/>
  <c r="O80" i="45"/>
  <c r="AF48" i="46"/>
  <c r="AF50" i="46" s="1"/>
  <c r="E82" i="45"/>
  <c r="AF59" i="46"/>
  <c r="H82" i="45"/>
  <c r="C82" i="45"/>
  <c r="N80" i="45"/>
  <c r="N65" i="45"/>
  <c r="AF53" i="46"/>
  <c r="AF55" i="46" s="1"/>
  <c r="I82" i="45"/>
  <c r="AF58" i="46"/>
  <c r="K82" i="45"/>
  <c r="J82" i="45"/>
  <c r="N30" i="45"/>
  <c r="F82" i="45"/>
  <c r="M80" i="45"/>
  <c r="O30" i="45"/>
  <c r="B45" i="47"/>
  <c r="B47" i="47" s="1"/>
  <c r="B49" i="47" s="1"/>
  <c r="D82" i="45"/>
  <c r="P23" i="45"/>
  <c r="P24" i="45"/>
  <c r="O65" i="45"/>
  <c r="P28" i="45"/>
  <c r="P25" i="45"/>
  <c r="P26" i="45"/>
  <c r="M65" i="45"/>
  <c r="L63" i="46"/>
  <c r="M63" i="46" s="1"/>
  <c r="M61" i="46"/>
  <c r="M30" i="45"/>
  <c r="Z63" i="46"/>
  <c r="AA63" i="46" s="1"/>
  <c r="AA50" i="46"/>
  <c r="C105" i="45"/>
  <c r="M105" i="45" s="1"/>
  <c r="M101" i="45"/>
  <c r="O28" i="45"/>
  <c r="M28" i="45"/>
  <c r="O82" i="45" l="1"/>
  <c r="O101" i="45" s="1"/>
  <c r="O105" i="45" s="1"/>
  <c r="AF61" i="46"/>
  <c r="AF67" i="46" s="1"/>
  <c r="N82" i="45"/>
  <c r="N101" i="45"/>
  <c r="N105" i="45" s="1"/>
  <c r="M82" i="45"/>
  <c r="E8" i="35"/>
  <c r="F8" i="35"/>
  <c r="G8" i="35"/>
  <c r="H8" i="35"/>
  <c r="I8" i="35"/>
  <c r="J8" i="35"/>
  <c r="K8" i="35"/>
  <c r="L8" i="35"/>
  <c r="M8" i="35"/>
  <c r="N8" i="35"/>
  <c r="O8" i="35"/>
  <c r="E9" i="35"/>
  <c r="F9" i="35"/>
  <c r="G9" i="35"/>
  <c r="H9" i="35"/>
  <c r="I9" i="35"/>
  <c r="J9" i="35"/>
  <c r="K9" i="35"/>
  <c r="L9" i="35"/>
  <c r="M9" i="35"/>
  <c r="N9" i="35"/>
  <c r="O9" i="35"/>
  <c r="P9" i="35"/>
  <c r="D9" i="35"/>
  <c r="D8" i="35"/>
  <c r="A4" i="35"/>
  <c r="W9" i="35"/>
  <c r="X9" i="35"/>
  <c r="Y9" i="35"/>
  <c r="Z9" i="35"/>
  <c r="AA9" i="35"/>
  <c r="AB9" i="35"/>
  <c r="AC9" i="35"/>
  <c r="AD9" i="35"/>
  <c r="AE9" i="35"/>
  <c r="AF9" i="35"/>
  <c r="AG9" i="35"/>
  <c r="AH9" i="35"/>
  <c r="V9" i="35"/>
  <c r="W8" i="35"/>
  <c r="X8" i="35"/>
  <c r="Y8" i="35"/>
  <c r="Z8" i="35"/>
  <c r="AA8" i="35"/>
  <c r="AB8" i="35"/>
  <c r="AC8" i="35"/>
  <c r="AD8" i="35"/>
  <c r="AE8" i="35"/>
  <c r="AF8" i="35"/>
  <c r="AG8" i="35"/>
  <c r="V8" i="35"/>
  <c r="B206" i="35" l="1"/>
  <c r="B168" i="35"/>
  <c r="B169" i="35"/>
  <c r="B170" i="35"/>
  <c r="B171" i="35"/>
  <c r="B172" i="35"/>
  <c r="B173" i="35"/>
  <c r="B174" i="35"/>
  <c r="B175" i="35"/>
  <c r="B176" i="35"/>
  <c r="B177" i="35"/>
  <c r="B178" i="35"/>
  <c r="B179" i="35"/>
  <c r="B180" i="35"/>
  <c r="B181" i="35"/>
  <c r="B183" i="35"/>
  <c r="B185" i="35"/>
  <c r="B186" i="35"/>
  <c r="B187" i="35"/>
  <c r="B188" i="35"/>
  <c r="B189" i="35"/>
  <c r="B190" i="35"/>
  <c r="B191" i="35"/>
  <c r="B192" i="35"/>
  <c r="B193" i="35"/>
  <c r="B167" i="35"/>
  <c r="B162" i="35"/>
  <c r="B147" i="35"/>
  <c r="B148" i="35"/>
  <c r="B149" i="35"/>
  <c r="B150" i="35"/>
  <c r="B151" i="35"/>
  <c r="B146" i="35"/>
  <c r="B141" i="35"/>
  <c r="B140" i="35"/>
  <c r="B133" i="35"/>
  <c r="B135" i="35"/>
  <c r="B121" i="35"/>
  <c r="B122" i="35"/>
  <c r="B123" i="35"/>
  <c r="B120" i="35"/>
  <c r="B114" i="35"/>
  <c r="B115" i="35"/>
  <c r="B113" i="35"/>
  <c r="B108" i="35"/>
  <c r="B102" i="35"/>
  <c r="B97" i="35"/>
  <c r="B79" i="35"/>
  <c r="B80" i="35"/>
  <c r="B81" i="35"/>
  <c r="B82" i="35"/>
  <c r="B83" i="35"/>
  <c r="B84" i="35"/>
  <c r="B85" i="35"/>
  <c r="B78" i="35"/>
  <c r="B71" i="35"/>
  <c r="B72" i="35"/>
  <c r="B70" i="35"/>
  <c r="B60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28" i="35"/>
  <c r="E44" i="42" l="1"/>
  <c r="E42" i="42"/>
  <c r="E41" i="42"/>
  <c r="E40" i="42"/>
  <c r="E39" i="42"/>
  <c r="E38" i="42"/>
  <c r="E37" i="42"/>
  <c r="E36" i="42"/>
  <c r="E35" i="42"/>
  <c r="E34" i="42"/>
  <c r="E33" i="42"/>
  <c r="E29" i="42"/>
  <c r="E28" i="42"/>
  <c r="E27" i="42"/>
  <c r="E26" i="42"/>
  <c r="E22" i="42"/>
  <c r="E21" i="42"/>
  <c r="E20" i="42"/>
  <c r="E19" i="42"/>
  <c r="E18" i="42"/>
  <c r="E17" i="42"/>
  <c r="G50" i="42"/>
  <c r="E13" i="42"/>
  <c r="E12" i="42"/>
  <c r="E11" i="42"/>
  <c r="E10" i="42"/>
  <c r="E9" i="42"/>
  <c r="G6" i="42"/>
  <c r="B134" i="35"/>
  <c r="B132" i="35"/>
  <c r="B133" i="31"/>
  <c r="B131" i="31"/>
  <c r="Q211" i="31"/>
  <c r="B184" i="35"/>
  <c r="B107" i="35"/>
  <c r="B104" i="35"/>
  <c r="Q67" i="31"/>
  <c r="B105" i="31"/>
  <c r="B104" i="31"/>
  <c r="B103" i="31"/>
  <c r="E229" i="31"/>
  <c r="F229" i="31"/>
  <c r="I229" i="31"/>
  <c r="J229" i="31"/>
  <c r="K229" i="31"/>
  <c r="L229" i="31"/>
  <c r="M229" i="31"/>
  <c r="N229" i="31"/>
  <c r="O229" i="31"/>
  <c r="D229" i="31"/>
  <c r="AH8" i="35" l="1"/>
  <c r="B103" i="35"/>
  <c r="B106" i="35"/>
  <c r="G45" i="42"/>
  <c r="G23" i="42"/>
  <c r="G30" i="42"/>
  <c r="G14" i="42"/>
  <c r="P20" i="39"/>
  <c r="P24" i="39" s="1"/>
  <c r="P8" i="35" l="1"/>
  <c r="L182" i="35" s="1"/>
  <c r="AD122" i="35" s="1"/>
  <c r="G48" i="42"/>
  <c r="G52" i="42" s="1"/>
  <c r="B182" i="31"/>
  <c r="B106" i="31"/>
  <c r="H182" i="35" l="1"/>
  <c r="Z122" i="35" s="1"/>
  <c r="K182" i="35"/>
  <c r="AC122" i="35" s="1"/>
  <c r="G182" i="35"/>
  <c r="Y122" i="35" s="1"/>
  <c r="M182" i="35"/>
  <c r="AE122" i="35" s="1"/>
  <c r="E182" i="35"/>
  <c r="W122" i="35" s="1"/>
  <c r="I182" i="35"/>
  <c r="AA122" i="35" s="1"/>
  <c r="J182" i="35"/>
  <c r="AB122" i="35" s="1"/>
  <c r="D182" i="35"/>
  <c r="V122" i="35" s="1"/>
  <c r="N182" i="35"/>
  <c r="AF122" i="35" s="1"/>
  <c r="O182" i="35"/>
  <c r="AG122" i="35" s="1"/>
  <c r="F182" i="35"/>
  <c r="X122" i="35" s="1"/>
  <c r="H48" i="42"/>
  <c r="H23" i="42"/>
  <c r="H52" i="42"/>
  <c r="H45" i="42"/>
  <c r="H30" i="42"/>
  <c r="H50" i="42"/>
  <c r="H6" i="42"/>
  <c r="H14" i="42"/>
  <c r="P182" i="35" l="1"/>
  <c r="F47" i="8" l="1"/>
  <c r="F52" i="8"/>
  <c r="F58" i="8"/>
  <c r="G62" i="8"/>
  <c r="G63" i="8"/>
  <c r="G64" i="8"/>
  <c r="W27" i="8"/>
  <c r="W31" i="8"/>
  <c r="W32" i="8"/>
  <c r="F59" i="8" l="1"/>
  <c r="F60" i="8"/>
  <c r="P13" i="31" l="1"/>
  <c r="P14" i="31"/>
  <c r="P15" i="31"/>
  <c r="P16" i="31"/>
  <c r="P17" i="31"/>
  <c r="P18" i="31"/>
  <c r="P19" i="31"/>
  <c r="P20" i="31"/>
  <c r="P21" i="31"/>
  <c r="B74" i="35" l="1"/>
  <c r="B143" i="35"/>
  <c r="B125" i="35"/>
  <c r="P217" i="35"/>
  <c r="P216" i="35"/>
  <c r="B164" i="35"/>
  <c r="AG125" i="35"/>
  <c r="AF125" i="35"/>
  <c r="AE125" i="35"/>
  <c r="AD125" i="35"/>
  <c r="AC125" i="35"/>
  <c r="AB125" i="35"/>
  <c r="AA125" i="35"/>
  <c r="Z125" i="35"/>
  <c r="Y125" i="35"/>
  <c r="X125" i="35"/>
  <c r="W125" i="35"/>
  <c r="V125" i="35"/>
  <c r="AG124" i="35"/>
  <c r="AF124" i="35"/>
  <c r="AE124" i="35"/>
  <c r="AD124" i="35"/>
  <c r="AC124" i="35"/>
  <c r="AB124" i="35"/>
  <c r="AA124" i="35"/>
  <c r="Z124" i="35"/>
  <c r="Y124" i="35"/>
  <c r="X124" i="35"/>
  <c r="W124" i="35"/>
  <c r="V124" i="35"/>
  <c r="B23" i="35"/>
  <c r="P21" i="35"/>
  <c r="P20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P19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P18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P17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P16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P15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P14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P13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T12" i="35"/>
  <c r="U12" i="35" s="1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T11" i="35"/>
  <c r="U11" i="35" s="1"/>
  <c r="U10" i="35"/>
  <c r="B163" i="31"/>
  <c r="AH18" i="35" l="1"/>
  <c r="B153" i="35"/>
  <c r="B195" i="35"/>
  <c r="B87" i="35"/>
  <c r="B88" i="35" s="1"/>
  <c r="B137" i="35"/>
  <c r="AH13" i="35"/>
  <c r="AH17" i="35"/>
  <c r="AH124" i="35"/>
  <c r="B75" i="35"/>
  <c r="AH11" i="35"/>
  <c r="AH14" i="35"/>
  <c r="AH16" i="35"/>
  <c r="B117" i="35"/>
  <c r="I108" i="35"/>
  <c r="AA65" i="35" s="1"/>
  <c r="E106" i="35"/>
  <c r="W68" i="35" s="1"/>
  <c r="L107" i="35"/>
  <c r="AD64" i="35" s="1"/>
  <c r="O211" i="35"/>
  <c r="AG123" i="35" s="1"/>
  <c r="K211" i="35"/>
  <c r="AC123" i="35" s="1"/>
  <c r="G211" i="35"/>
  <c r="Y123" i="35" s="1"/>
  <c r="L210" i="35"/>
  <c r="H210" i="35"/>
  <c r="D210" i="35"/>
  <c r="M209" i="35"/>
  <c r="AE121" i="35" s="1"/>
  <c r="I209" i="35"/>
  <c r="AA121" i="35" s="1"/>
  <c r="E209" i="35"/>
  <c r="W121" i="35" s="1"/>
  <c r="N208" i="35"/>
  <c r="AF120" i="35" s="1"/>
  <c r="J208" i="35"/>
  <c r="AB120" i="35" s="1"/>
  <c r="F208" i="35"/>
  <c r="X120" i="35" s="1"/>
  <c r="O207" i="35"/>
  <c r="AG119" i="35" s="1"/>
  <c r="K207" i="35"/>
  <c r="AC119" i="35" s="1"/>
  <c r="G207" i="35"/>
  <c r="Y119" i="35" s="1"/>
  <c r="L206" i="35"/>
  <c r="AD118" i="35" s="1"/>
  <c r="H206" i="35"/>
  <c r="Z118" i="35" s="1"/>
  <c r="D206" i="35"/>
  <c r="M205" i="35"/>
  <c r="AE117" i="35" s="1"/>
  <c r="I205" i="35"/>
  <c r="AA117" i="35" s="1"/>
  <c r="E205" i="35"/>
  <c r="W117" i="35" s="1"/>
  <c r="N204" i="35"/>
  <c r="AF116" i="35" s="1"/>
  <c r="J204" i="35"/>
  <c r="AB116" i="35" s="1"/>
  <c r="F204" i="35"/>
  <c r="X116" i="35" s="1"/>
  <c r="M193" i="35"/>
  <c r="AE115" i="35" s="1"/>
  <c r="I193" i="35"/>
  <c r="AA115" i="35" s="1"/>
  <c r="E193" i="35"/>
  <c r="W115" i="35" s="1"/>
  <c r="N192" i="35"/>
  <c r="AF114" i="35" s="1"/>
  <c r="J192" i="35"/>
  <c r="AB114" i="35" s="1"/>
  <c r="F192" i="35"/>
  <c r="X114" i="35" s="1"/>
  <c r="O191" i="35"/>
  <c r="AG113" i="35" s="1"/>
  <c r="K191" i="35"/>
  <c r="AC113" i="35" s="1"/>
  <c r="G191" i="35"/>
  <c r="Y113" i="35" s="1"/>
  <c r="L190" i="35"/>
  <c r="AD112" i="35" s="1"/>
  <c r="H190" i="35"/>
  <c r="Z112" i="35" s="1"/>
  <c r="D190" i="35"/>
  <c r="M189" i="35"/>
  <c r="AE111" i="35" s="1"/>
  <c r="I189" i="35"/>
  <c r="AA111" i="35" s="1"/>
  <c r="E189" i="35"/>
  <c r="W111" i="35" s="1"/>
  <c r="N188" i="35"/>
  <c r="AF110" i="35" s="1"/>
  <c r="J188" i="35"/>
  <c r="AB110" i="35" s="1"/>
  <c r="F188" i="35"/>
  <c r="X110" i="35" s="1"/>
  <c r="O187" i="35"/>
  <c r="AG109" i="35" s="1"/>
  <c r="K187" i="35"/>
  <c r="AC109" i="35" s="1"/>
  <c r="G187" i="35"/>
  <c r="Y109" i="35" s="1"/>
  <c r="L186" i="35"/>
  <c r="AD108" i="35" s="1"/>
  <c r="H186" i="35"/>
  <c r="Z108" i="35" s="1"/>
  <c r="D186" i="35"/>
  <c r="M185" i="35"/>
  <c r="AE107" i="35" s="1"/>
  <c r="I185" i="35"/>
  <c r="AA107" i="35" s="1"/>
  <c r="E185" i="35"/>
  <c r="W107" i="35" s="1"/>
  <c r="N184" i="35"/>
  <c r="AF106" i="35" s="1"/>
  <c r="J184" i="35"/>
  <c r="AB106" i="35" s="1"/>
  <c r="J211" i="35"/>
  <c r="AB123" i="35" s="1"/>
  <c r="E211" i="35"/>
  <c r="W123" i="35" s="1"/>
  <c r="M210" i="35"/>
  <c r="G210" i="35"/>
  <c r="O209" i="35"/>
  <c r="AG121" i="35" s="1"/>
  <c r="J209" i="35"/>
  <c r="AB121" i="35" s="1"/>
  <c r="D209" i="35"/>
  <c r="L208" i="35"/>
  <c r="AD120" i="35" s="1"/>
  <c r="G208" i="35"/>
  <c r="Y120" i="35" s="1"/>
  <c r="N207" i="35"/>
  <c r="AF119" i="35" s="1"/>
  <c r="I207" i="35"/>
  <c r="AA119" i="35" s="1"/>
  <c r="D207" i="35"/>
  <c r="K206" i="35"/>
  <c r="AC118" i="35" s="1"/>
  <c r="F206" i="35"/>
  <c r="X118" i="35" s="1"/>
  <c r="N205" i="35"/>
  <c r="AF117" i="35" s="1"/>
  <c r="H205" i="35"/>
  <c r="Z117" i="35" s="1"/>
  <c r="K204" i="35"/>
  <c r="AC116" i="35" s="1"/>
  <c r="E204" i="35"/>
  <c r="W116" i="35" s="1"/>
  <c r="O193" i="35"/>
  <c r="AG115" i="35" s="1"/>
  <c r="J193" i="35"/>
  <c r="AB115" i="35" s="1"/>
  <c r="D193" i="35"/>
  <c r="L192" i="35"/>
  <c r="AD114" i="35" s="1"/>
  <c r="G192" i="35"/>
  <c r="Y114" i="35" s="1"/>
  <c r="N191" i="35"/>
  <c r="AF113" i="35" s="1"/>
  <c r="I191" i="35"/>
  <c r="AA113" i="35" s="1"/>
  <c r="D191" i="35"/>
  <c r="K190" i="35"/>
  <c r="AC112" i="35" s="1"/>
  <c r="F190" i="35"/>
  <c r="X112" i="35" s="1"/>
  <c r="N189" i="35"/>
  <c r="AF111" i="35" s="1"/>
  <c r="H189" i="35"/>
  <c r="Z111" i="35" s="1"/>
  <c r="K188" i="35"/>
  <c r="AC110" i="35" s="1"/>
  <c r="E188" i="35"/>
  <c r="W110" i="35" s="1"/>
  <c r="M187" i="35"/>
  <c r="AE109" i="35" s="1"/>
  <c r="H187" i="35"/>
  <c r="Z109" i="35" s="1"/>
  <c r="O186" i="35"/>
  <c r="AG108" i="35" s="1"/>
  <c r="J186" i="35"/>
  <c r="AB108" i="35" s="1"/>
  <c r="E186" i="35"/>
  <c r="W108" i="35" s="1"/>
  <c r="L185" i="35"/>
  <c r="AD107" i="35" s="1"/>
  <c r="G185" i="35"/>
  <c r="Y107" i="35" s="1"/>
  <c r="O184" i="35"/>
  <c r="AG106" i="35" s="1"/>
  <c r="I184" i="35"/>
  <c r="AA106" i="35" s="1"/>
  <c r="E184" i="35"/>
  <c r="W106" i="35" s="1"/>
  <c r="N183" i="35"/>
  <c r="AF104" i="35" s="1"/>
  <c r="J183" i="35"/>
  <c r="AB104" i="35" s="1"/>
  <c r="F183" i="35"/>
  <c r="X104" i="35" s="1"/>
  <c r="O181" i="35"/>
  <c r="AG103" i="35" s="1"/>
  <c r="K181" i="35"/>
  <c r="AC103" i="35" s="1"/>
  <c r="G181" i="35"/>
  <c r="Y103" i="35" s="1"/>
  <c r="L180" i="35"/>
  <c r="AD102" i="35" s="1"/>
  <c r="H180" i="35"/>
  <c r="Z102" i="35" s="1"/>
  <c r="D180" i="35"/>
  <c r="M179" i="35"/>
  <c r="I179" i="35"/>
  <c r="E179" i="35"/>
  <c r="O177" i="35"/>
  <c r="AG99" i="35" s="1"/>
  <c r="K177" i="35"/>
  <c r="AC99" i="35" s="1"/>
  <c r="G177" i="35"/>
  <c r="Y99" i="35" s="1"/>
  <c r="L176" i="35"/>
  <c r="AD98" i="35" s="1"/>
  <c r="H176" i="35"/>
  <c r="Z98" i="35" s="1"/>
  <c r="D176" i="35"/>
  <c r="M175" i="35"/>
  <c r="AE97" i="35" s="1"/>
  <c r="I175" i="35"/>
  <c r="AA97" i="35" s="1"/>
  <c r="E175" i="35"/>
  <c r="W97" i="35" s="1"/>
  <c r="N174" i="35"/>
  <c r="AF96" i="35" s="1"/>
  <c r="J174" i="35"/>
  <c r="AB96" i="35" s="1"/>
  <c r="F174" i="35"/>
  <c r="X96" i="35" s="1"/>
  <c r="O173" i="35"/>
  <c r="AG95" i="35" s="1"/>
  <c r="K173" i="35"/>
  <c r="AC95" i="35" s="1"/>
  <c r="G173" i="35"/>
  <c r="Y95" i="35" s="1"/>
  <c r="L172" i="35"/>
  <c r="AD94" i="35" s="1"/>
  <c r="H172" i="35"/>
  <c r="Z94" i="35" s="1"/>
  <c r="D172" i="35"/>
  <c r="M171" i="35"/>
  <c r="AE93" i="35" s="1"/>
  <c r="I171" i="35"/>
  <c r="AA93" i="35" s="1"/>
  <c r="E171" i="35"/>
  <c r="W93" i="35" s="1"/>
  <c r="N170" i="35"/>
  <c r="AF92" i="35" s="1"/>
  <c r="J170" i="35"/>
  <c r="AB92" i="35" s="1"/>
  <c r="F170" i="35"/>
  <c r="X92" i="35" s="1"/>
  <c r="O169" i="35"/>
  <c r="AG91" i="35" s="1"/>
  <c r="K169" i="35"/>
  <c r="AC91" i="35" s="1"/>
  <c r="G169" i="35"/>
  <c r="Y91" i="35" s="1"/>
  <c r="L168" i="35"/>
  <c r="AD90" i="35" s="1"/>
  <c r="H168" i="35"/>
  <c r="Z90" i="35" s="1"/>
  <c r="D168" i="35"/>
  <c r="M167" i="35"/>
  <c r="I167" i="35"/>
  <c r="E167" i="35"/>
  <c r="L162" i="35"/>
  <c r="AD88" i="35" s="1"/>
  <c r="H162" i="35"/>
  <c r="Z88" i="35" s="1"/>
  <c r="D162" i="35"/>
  <c r="M161" i="35"/>
  <c r="I161" i="35"/>
  <c r="E161" i="35"/>
  <c r="N151" i="35"/>
  <c r="AF87" i="35" s="1"/>
  <c r="J151" i="35"/>
  <c r="AB87" i="35" s="1"/>
  <c r="F151" i="35"/>
  <c r="X87" i="35" s="1"/>
  <c r="O150" i="35"/>
  <c r="AG86" i="35" s="1"/>
  <c r="K150" i="35"/>
  <c r="AC86" i="35" s="1"/>
  <c r="G150" i="35"/>
  <c r="Y86" i="35" s="1"/>
  <c r="L149" i="35"/>
  <c r="AD85" i="35" s="1"/>
  <c r="H149" i="35"/>
  <c r="Z85" i="35" s="1"/>
  <c r="D149" i="35"/>
  <c r="M148" i="35"/>
  <c r="AE84" i="35" s="1"/>
  <c r="I148" i="35"/>
  <c r="AA84" i="35" s="1"/>
  <c r="E148" i="35"/>
  <c r="W84" i="35" s="1"/>
  <c r="N147" i="35"/>
  <c r="AF83" i="35" s="1"/>
  <c r="J147" i="35"/>
  <c r="AB83" i="35" s="1"/>
  <c r="F147" i="35"/>
  <c r="X83" i="35" s="1"/>
  <c r="O146" i="35"/>
  <c r="K146" i="35"/>
  <c r="G146" i="35"/>
  <c r="N141" i="35"/>
  <c r="AF81" i="35" s="1"/>
  <c r="J141" i="35"/>
  <c r="AB81" i="35" s="1"/>
  <c r="F141" i="35"/>
  <c r="X81" i="35" s="1"/>
  <c r="O140" i="35"/>
  <c r="K140" i="35"/>
  <c r="N211" i="35"/>
  <c r="AF123" i="35" s="1"/>
  <c r="H211" i="35"/>
  <c r="Z123" i="35" s="1"/>
  <c r="N210" i="35"/>
  <c r="F210" i="35"/>
  <c r="L209" i="35"/>
  <c r="AD121" i="35" s="1"/>
  <c r="F209" i="35"/>
  <c r="X121" i="35" s="1"/>
  <c r="K208" i="35"/>
  <c r="AC120" i="35" s="1"/>
  <c r="D208" i="35"/>
  <c r="J207" i="35"/>
  <c r="AB119" i="35" s="1"/>
  <c r="O206" i="35"/>
  <c r="AG118" i="35" s="1"/>
  <c r="I206" i="35"/>
  <c r="AA118" i="35" s="1"/>
  <c r="O205" i="35"/>
  <c r="AG117" i="35" s="1"/>
  <c r="G205" i="35"/>
  <c r="Y117" i="35" s="1"/>
  <c r="M204" i="35"/>
  <c r="AE116" i="35" s="1"/>
  <c r="G204" i="35"/>
  <c r="Y116" i="35" s="1"/>
  <c r="L193" i="35"/>
  <c r="AD115" i="35" s="1"/>
  <c r="F193" i="35"/>
  <c r="X115" i="35" s="1"/>
  <c r="K192" i="35"/>
  <c r="AC114" i="35" s="1"/>
  <c r="D192" i="35"/>
  <c r="J191" i="35"/>
  <c r="AB113" i="35" s="1"/>
  <c r="O190" i="35"/>
  <c r="AG112" i="35" s="1"/>
  <c r="I190" i="35"/>
  <c r="AA112" i="35" s="1"/>
  <c r="O189" i="35"/>
  <c r="AG111" i="35" s="1"/>
  <c r="G189" i="35"/>
  <c r="Y111" i="35" s="1"/>
  <c r="M188" i="35"/>
  <c r="AE110" i="35" s="1"/>
  <c r="G188" i="35"/>
  <c r="Y110" i="35" s="1"/>
  <c r="L187" i="35"/>
  <c r="AD109" i="35" s="1"/>
  <c r="E187" i="35"/>
  <c r="W109" i="35" s="1"/>
  <c r="K186" i="35"/>
  <c r="AC108" i="35" s="1"/>
  <c r="J185" i="35"/>
  <c r="AB107" i="35" s="1"/>
  <c r="H184" i="35"/>
  <c r="Z106" i="35" s="1"/>
  <c r="K183" i="35"/>
  <c r="AC104" i="35" s="1"/>
  <c r="E183" i="35"/>
  <c r="W104" i="35" s="1"/>
  <c r="M181" i="35"/>
  <c r="AE103" i="35" s="1"/>
  <c r="H181" i="35"/>
  <c r="Z103" i="35" s="1"/>
  <c r="O180" i="35"/>
  <c r="AG102" i="35" s="1"/>
  <c r="J180" i="35"/>
  <c r="AB102" i="35" s="1"/>
  <c r="E180" i="35"/>
  <c r="W102" i="35" s="1"/>
  <c r="L179" i="35"/>
  <c r="G179" i="35"/>
  <c r="L177" i="35"/>
  <c r="AD99" i="35" s="1"/>
  <c r="F177" i="35"/>
  <c r="X99" i="35" s="1"/>
  <c r="N176" i="35"/>
  <c r="AF98" i="35" s="1"/>
  <c r="I176" i="35"/>
  <c r="AA98" i="35" s="1"/>
  <c r="K175" i="35"/>
  <c r="AC97" i="35" s="1"/>
  <c r="F175" i="35"/>
  <c r="X97" i="35" s="1"/>
  <c r="M174" i="35"/>
  <c r="AE96" i="35" s="1"/>
  <c r="H174" i="35"/>
  <c r="Z96" i="35" s="1"/>
  <c r="J173" i="35"/>
  <c r="AB95" i="35" s="1"/>
  <c r="E173" i="35"/>
  <c r="W95" i="35" s="1"/>
  <c r="M172" i="35"/>
  <c r="AE94" i="35" s="1"/>
  <c r="G172" i="35"/>
  <c r="Y94" i="35" s="1"/>
  <c r="O171" i="35"/>
  <c r="AG93" i="35" s="1"/>
  <c r="J171" i="35"/>
  <c r="AB93" i="35" s="1"/>
  <c r="D171" i="35"/>
  <c r="L170" i="35"/>
  <c r="AD92" i="35" s="1"/>
  <c r="G170" i="35"/>
  <c r="Y92" i="35" s="1"/>
  <c r="N169" i="35"/>
  <c r="AF91" i="35" s="1"/>
  <c r="I169" i="35"/>
  <c r="AA91" i="35" s="1"/>
  <c r="D169" i="35"/>
  <c r="K168" i="35"/>
  <c r="AC90" i="35" s="1"/>
  <c r="F168" i="35"/>
  <c r="X90" i="35" s="1"/>
  <c r="N167" i="35"/>
  <c r="H167" i="35"/>
  <c r="N162" i="35"/>
  <c r="AF88" i="35" s="1"/>
  <c r="I162" i="35"/>
  <c r="AA88" i="35" s="1"/>
  <c r="K161" i="35"/>
  <c r="F161" i="35"/>
  <c r="K151" i="35"/>
  <c r="AC87" i="35" s="1"/>
  <c r="E151" i="35"/>
  <c r="W87" i="35" s="1"/>
  <c r="M150" i="35"/>
  <c r="AE86" i="35" s="1"/>
  <c r="H150" i="35"/>
  <c r="Z86" i="35" s="1"/>
  <c r="O149" i="35"/>
  <c r="AG85" i="35" s="1"/>
  <c r="J149" i="35"/>
  <c r="AB85" i="35" s="1"/>
  <c r="E149" i="35"/>
  <c r="W85" i="35" s="1"/>
  <c r="L148" i="35"/>
  <c r="AD84" i="35" s="1"/>
  <c r="G148" i="35"/>
  <c r="Y84" i="35" s="1"/>
  <c r="O147" i="35"/>
  <c r="AG83" i="35" s="1"/>
  <c r="I147" i="35"/>
  <c r="AA83" i="35" s="1"/>
  <c r="D147" i="35"/>
  <c r="L146" i="35"/>
  <c r="F146" i="35"/>
  <c r="L141" i="35"/>
  <c r="AD81" i="35" s="1"/>
  <c r="G141" i="35"/>
  <c r="Y81" i="35" s="1"/>
  <c r="N140" i="35"/>
  <c r="I140" i="35"/>
  <c r="E140" i="35"/>
  <c r="L135" i="35"/>
  <c r="AD79" i="35" s="1"/>
  <c r="H135" i="35"/>
  <c r="Z79" i="35" s="1"/>
  <c r="D135" i="35"/>
  <c r="M134" i="35"/>
  <c r="AE78" i="35" s="1"/>
  <c r="I134" i="35"/>
  <c r="AA78" i="35" s="1"/>
  <c r="E134" i="35"/>
  <c r="W78" i="35" s="1"/>
  <c r="N133" i="35"/>
  <c r="AF77" i="35" s="1"/>
  <c r="J133" i="35"/>
  <c r="AB77" i="35" s="1"/>
  <c r="F133" i="35"/>
  <c r="X77" i="35" s="1"/>
  <c r="O132" i="35"/>
  <c r="K132" i="35"/>
  <c r="G132" i="35"/>
  <c r="M123" i="35"/>
  <c r="AE75" i="35" s="1"/>
  <c r="I123" i="35"/>
  <c r="AA75" i="35" s="1"/>
  <c r="E123" i="35"/>
  <c r="W75" i="35" s="1"/>
  <c r="M122" i="35"/>
  <c r="AE74" i="35" s="1"/>
  <c r="I122" i="35"/>
  <c r="AA74" i="35" s="1"/>
  <c r="E122" i="35"/>
  <c r="W74" i="35" s="1"/>
  <c r="M121" i="35"/>
  <c r="AE73" i="35" s="1"/>
  <c r="I121" i="35"/>
  <c r="AA73" i="35" s="1"/>
  <c r="E121" i="35"/>
  <c r="W73" i="35" s="1"/>
  <c r="M120" i="35"/>
  <c r="I120" i="35"/>
  <c r="E120" i="35"/>
  <c r="O115" i="35"/>
  <c r="AG71" i="35" s="1"/>
  <c r="K115" i="35"/>
  <c r="AC71" i="35" s="1"/>
  <c r="G115" i="35"/>
  <c r="Y71" i="35" s="1"/>
  <c r="O114" i="35"/>
  <c r="AG70" i="35" s="1"/>
  <c r="K114" i="35"/>
  <c r="AC70" i="35" s="1"/>
  <c r="G114" i="35"/>
  <c r="Y70" i="35" s="1"/>
  <c r="O113" i="35"/>
  <c r="K113" i="35"/>
  <c r="G113" i="35"/>
  <c r="M104" i="35"/>
  <c r="AE67" i="35" s="1"/>
  <c r="I104" i="35"/>
  <c r="AA67" i="35" s="1"/>
  <c r="E104" i="35"/>
  <c r="W67" i="35" s="1"/>
  <c r="M103" i="35"/>
  <c r="AE66" i="35" s="1"/>
  <c r="I103" i="35"/>
  <c r="AA66" i="35" s="1"/>
  <c r="E103" i="35"/>
  <c r="W66" i="35" s="1"/>
  <c r="O97" i="35"/>
  <c r="AG62" i="35" s="1"/>
  <c r="K97" i="35"/>
  <c r="AC62" i="35" s="1"/>
  <c r="G97" i="35"/>
  <c r="Y62" i="35" s="1"/>
  <c r="I211" i="35"/>
  <c r="AA123" i="35" s="1"/>
  <c r="K210" i="35"/>
  <c r="G209" i="35"/>
  <c r="Y121" i="35" s="1"/>
  <c r="I208" i="35"/>
  <c r="AA120" i="35" s="1"/>
  <c r="M207" i="35"/>
  <c r="AE119" i="35" s="1"/>
  <c r="E207" i="35"/>
  <c r="W119" i="35" s="1"/>
  <c r="G206" i="35"/>
  <c r="Y118" i="35" s="1"/>
  <c r="K205" i="35"/>
  <c r="AC117" i="35" s="1"/>
  <c r="O204" i="35"/>
  <c r="AG116" i="35" s="1"/>
  <c r="D204" i="35"/>
  <c r="N193" i="35"/>
  <c r="AF115" i="35" s="1"/>
  <c r="H192" i="35"/>
  <c r="Z114" i="35" s="1"/>
  <c r="L191" i="35"/>
  <c r="AD113" i="35" s="1"/>
  <c r="N190" i="35"/>
  <c r="AF112" i="35" s="1"/>
  <c r="E190" i="35"/>
  <c r="W112" i="35" s="1"/>
  <c r="J189" i="35"/>
  <c r="AB111" i="35" s="1"/>
  <c r="L188" i="35"/>
  <c r="AD110" i="35" s="1"/>
  <c r="F187" i="35"/>
  <c r="X109" i="35" s="1"/>
  <c r="I186" i="35"/>
  <c r="AA108" i="35" s="1"/>
  <c r="N185" i="35"/>
  <c r="AF107" i="35" s="1"/>
  <c r="D185" i="35"/>
  <c r="G184" i="35"/>
  <c r="Y106" i="35" s="1"/>
  <c r="M183" i="35"/>
  <c r="AE104" i="35" s="1"/>
  <c r="G183" i="35"/>
  <c r="Y104" i="35" s="1"/>
  <c r="L181" i="35"/>
  <c r="AD103" i="35" s="1"/>
  <c r="E181" i="35"/>
  <c r="W103" i="35" s="1"/>
  <c r="K180" i="35"/>
  <c r="AC102" i="35" s="1"/>
  <c r="J179" i="35"/>
  <c r="N177" i="35"/>
  <c r="AF99" i="35" s="1"/>
  <c r="H177" i="35"/>
  <c r="Z99" i="35" s="1"/>
  <c r="M176" i="35"/>
  <c r="AE98" i="35" s="1"/>
  <c r="F176" i="35"/>
  <c r="X98" i="35" s="1"/>
  <c r="L175" i="35"/>
  <c r="AD97" i="35" s="1"/>
  <c r="D175" i="35"/>
  <c r="K174" i="35"/>
  <c r="AC96" i="35" s="1"/>
  <c r="D174" i="35"/>
  <c r="I173" i="35"/>
  <c r="AA95" i="35" s="1"/>
  <c r="O172" i="35"/>
  <c r="AG94" i="35" s="1"/>
  <c r="I172" i="35"/>
  <c r="AA94" i="35" s="1"/>
  <c r="N171" i="35"/>
  <c r="AF93" i="35" s="1"/>
  <c r="G171" i="35"/>
  <c r="Y93" i="35" s="1"/>
  <c r="M170" i="35"/>
  <c r="AE92" i="35" s="1"/>
  <c r="E170" i="35"/>
  <c r="W92" i="35" s="1"/>
  <c r="L169" i="35"/>
  <c r="AD91" i="35" s="1"/>
  <c r="E169" i="35"/>
  <c r="W91" i="35" s="1"/>
  <c r="J168" i="35"/>
  <c r="AB90" i="35" s="1"/>
  <c r="J167" i="35"/>
  <c r="O162" i="35"/>
  <c r="AG88" i="35" s="1"/>
  <c r="G162" i="35"/>
  <c r="Y88" i="35" s="1"/>
  <c r="N161" i="35"/>
  <c r="G161" i="35"/>
  <c r="L151" i="35"/>
  <c r="AD87" i="35" s="1"/>
  <c r="D151" i="35"/>
  <c r="J150" i="35"/>
  <c r="AB86" i="35" s="1"/>
  <c r="D150" i="35"/>
  <c r="I149" i="35"/>
  <c r="AA85" i="35" s="1"/>
  <c r="O148" i="35"/>
  <c r="AG84" i="35" s="1"/>
  <c r="H148" i="35"/>
  <c r="Z84" i="35" s="1"/>
  <c r="M147" i="35"/>
  <c r="AE83" i="35" s="1"/>
  <c r="G147" i="35"/>
  <c r="Y83" i="35" s="1"/>
  <c r="M146" i="35"/>
  <c r="E146" i="35"/>
  <c r="M141" i="35"/>
  <c r="AE81" i="35" s="1"/>
  <c r="E141" i="35"/>
  <c r="W81" i="35" s="1"/>
  <c r="L140" i="35"/>
  <c r="F140" i="35"/>
  <c r="K135" i="35"/>
  <c r="AC79" i="35" s="1"/>
  <c r="F135" i="35"/>
  <c r="X79" i="35" s="1"/>
  <c r="N134" i="35"/>
  <c r="AF78" i="35" s="1"/>
  <c r="H134" i="35"/>
  <c r="Z78" i="35" s="1"/>
  <c r="K133" i="35"/>
  <c r="AC77" i="35" s="1"/>
  <c r="E133" i="35"/>
  <c r="W77" i="35" s="1"/>
  <c r="M132" i="35"/>
  <c r="H132" i="35"/>
  <c r="K123" i="35"/>
  <c r="AC75" i="35" s="1"/>
  <c r="F123" i="35"/>
  <c r="X75" i="35" s="1"/>
  <c r="N122" i="35"/>
  <c r="AF74" i="35" s="1"/>
  <c r="H122" i="35"/>
  <c r="Z74" i="35" s="1"/>
  <c r="K121" i="35"/>
  <c r="AC73" i="35" s="1"/>
  <c r="F121" i="35"/>
  <c r="X73" i="35" s="1"/>
  <c r="N120" i="35"/>
  <c r="H120" i="35"/>
  <c r="L115" i="35"/>
  <c r="AD71" i="35" s="1"/>
  <c r="F115" i="35"/>
  <c r="X71" i="35" s="1"/>
  <c r="M114" i="35"/>
  <c r="AE70" i="35" s="1"/>
  <c r="H114" i="35"/>
  <c r="Z70" i="35" s="1"/>
  <c r="N113" i="35"/>
  <c r="I113" i="35"/>
  <c r="D113" i="35"/>
  <c r="L104" i="35"/>
  <c r="AD67" i="35" s="1"/>
  <c r="G104" i="35"/>
  <c r="Y67" i="35" s="1"/>
  <c r="O103" i="35"/>
  <c r="AG66" i="35" s="1"/>
  <c r="J103" i="35"/>
  <c r="AB66" i="35" s="1"/>
  <c r="D103" i="35"/>
  <c r="J97" i="35"/>
  <c r="AB62" i="35" s="1"/>
  <c r="E97" i="35"/>
  <c r="W62" i="35" s="1"/>
  <c r="N85" i="35"/>
  <c r="AF58" i="35" s="1"/>
  <c r="J85" i="35"/>
  <c r="AB58" i="35" s="1"/>
  <c r="F85" i="35"/>
  <c r="X58" i="35" s="1"/>
  <c r="N84" i="35"/>
  <c r="AF57" i="35" s="1"/>
  <c r="J84" i="35"/>
  <c r="AB57" i="35" s="1"/>
  <c r="F84" i="35"/>
  <c r="X57" i="35" s="1"/>
  <c r="N83" i="35"/>
  <c r="AF56" i="35" s="1"/>
  <c r="J83" i="35"/>
  <c r="AB56" i="35" s="1"/>
  <c r="F83" i="35"/>
  <c r="X56" i="35" s="1"/>
  <c r="N82" i="35"/>
  <c r="AF55" i="35" s="1"/>
  <c r="J82" i="35"/>
  <c r="AB55" i="35" s="1"/>
  <c r="F82" i="35"/>
  <c r="X55" i="35" s="1"/>
  <c r="N81" i="35"/>
  <c r="AF54" i="35" s="1"/>
  <c r="J81" i="35"/>
  <c r="AB54" i="35" s="1"/>
  <c r="F81" i="35"/>
  <c r="X54" i="35" s="1"/>
  <c r="N80" i="35"/>
  <c r="AF101" i="35" s="1"/>
  <c r="J80" i="35"/>
  <c r="AB101" i="35" s="1"/>
  <c r="F80" i="35"/>
  <c r="X101" i="35" s="1"/>
  <c r="N79" i="35"/>
  <c r="AF53" i="35" s="1"/>
  <c r="J79" i="35"/>
  <c r="AB53" i="35" s="1"/>
  <c r="F79" i="35"/>
  <c r="X53" i="35" s="1"/>
  <c r="N78" i="35"/>
  <c r="J78" i="35"/>
  <c r="F78" i="35"/>
  <c r="M72" i="35"/>
  <c r="AE51" i="35" s="1"/>
  <c r="I72" i="35"/>
  <c r="AA51" i="35" s="1"/>
  <c r="E72" i="35"/>
  <c r="W51" i="35" s="1"/>
  <c r="M71" i="35"/>
  <c r="AE50" i="35" s="1"/>
  <c r="I71" i="35"/>
  <c r="AA50" i="35" s="1"/>
  <c r="E71" i="35"/>
  <c r="W50" i="35" s="1"/>
  <c r="M70" i="35"/>
  <c r="I70" i="35"/>
  <c r="E70" i="35"/>
  <c r="O60" i="35"/>
  <c r="AG48" i="35" s="1"/>
  <c r="K60" i="35"/>
  <c r="AC48" i="35" s="1"/>
  <c r="G60" i="35"/>
  <c r="Y48" i="35" s="1"/>
  <c r="L54" i="35"/>
  <c r="AD43" i="35" s="1"/>
  <c r="H54" i="35"/>
  <c r="Z43" i="35" s="1"/>
  <c r="D54" i="35"/>
  <c r="O50" i="35"/>
  <c r="AG42" i="35" s="1"/>
  <c r="K50" i="35"/>
  <c r="AC42" i="35" s="1"/>
  <c r="G50" i="35"/>
  <c r="Y42" i="35" s="1"/>
  <c r="O49" i="35"/>
  <c r="AG41" i="35" s="1"/>
  <c r="K49" i="35"/>
  <c r="AC41" i="35" s="1"/>
  <c r="G49" i="35"/>
  <c r="Y41" i="35" s="1"/>
  <c r="O48" i="35"/>
  <c r="AG40" i="35" s="1"/>
  <c r="K48" i="35"/>
  <c r="AC40" i="35" s="1"/>
  <c r="G48" i="35"/>
  <c r="Y40" i="35" s="1"/>
  <c r="O47" i="35"/>
  <c r="AG39" i="35" s="1"/>
  <c r="K47" i="35"/>
  <c r="AC39" i="35" s="1"/>
  <c r="G47" i="35"/>
  <c r="Y39" i="35" s="1"/>
  <c r="O46" i="35"/>
  <c r="AG38" i="35" s="1"/>
  <c r="K46" i="35"/>
  <c r="AC38" i="35" s="1"/>
  <c r="G46" i="35"/>
  <c r="Y38" i="35" s="1"/>
  <c r="O45" i="35"/>
  <c r="AG37" i="35" s="1"/>
  <c r="K45" i="35"/>
  <c r="AC37" i="35" s="1"/>
  <c r="G45" i="35"/>
  <c r="Y37" i="35" s="1"/>
  <c r="O44" i="35"/>
  <c r="AG36" i="35" s="1"/>
  <c r="K44" i="35"/>
  <c r="AC36" i="35" s="1"/>
  <c r="G44" i="35"/>
  <c r="Y36" i="35" s="1"/>
  <c r="O43" i="35"/>
  <c r="AG35" i="35" s="1"/>
  <c r="K43" i="35"/>
  <c r="AC35" i="35" s="1"/>
  <c r="G43" i="35"/>
  <c r="Y35" i="35" s="1"/>
  <c r="O42" i="35"/>
  <c r="AG34" i="35" s="1"/>
  <c r="K42" i="35"/>
  <c r="AC34" i="35" s="1"/>
  <c r="G42" i="35"/>
  <c r="Y34" i="35" s="1"/>
  <c r="O41" i="35"/>
  <c r="AG33" i="35" s="1"/>
  <c r="K41" i="35"/>
  <c r="AC33" i="35" s="1"/>
  <c r="G41" i="35"/>
  <c r="Y33" i="35" s="1"/>
  <c r="O40" i="35"/>
  <c r="AG32" i="35" s="1"/>
  <c r="K40" i="35"/>
  <c r="AC32" i="35" s="1"/>
  <c r="G40" i="35"/>
  <c r="Y32" i="35" s="1"/>
  <c r="O39" i="35"/>
  <c r="AG31" i="35" s="1"/>
  <c r="K39" i="35"/>
  <c r="AC31" i="35" s="1"/>
  <c r="G39" i="35"/>
  <c r="Y31" i="35" s="1"/>
  <c r="O38" i="35"/>
  <c r="AG30" i="35" s="1"/>
  <c r="K38" i="35"/>
  <c r="AC30" i="35" s="1"/>
  <c r="G38" i="35"/>
  <c r="Y30" i="35" s="1"/>
  <c r="O28" i="35"/>
  <c r="K28" i="35"/>
  <c r="G28" i="35"/>
  <c r="N12" i="35"/>
  <c r="J12" i="35"/>
  <c r="F12" i="35"/>
  <c r="F211" i="35"/>
  <c r="X123" i="35" s="1"/>
  <c r="I210" i="35"/>
  <c r="H209" i="35"/>
  <c r="Z121" i="35" s="1"/>
  <c r="H208" i="35"/>
  <c r="Z120" i="35" s="1"/>
  <c r="H207" i="35"/>
  <c r="Z119" i="35" s="1"/>
  <c r="J206" i="35"/>
  <c r="AB118" i="35" s="1"/>
  <c r="J205" i="35"/>
  <c r="AB117" i="35" s="1"/>
  <c r="I204" i="35"/>
  <c r="AA116" i="35" s="1"/>
  <c r="G193" i="35"/>
  <c r="Y115" i="35" s="1"/>
  <c r="E192" i="35"/>
  <c r="W114" i="35" s="1"/>
  <c r="F191" i="35"/>
  <c r="X113" i="35" s="1"/>
  <c r="G190" i="35"/>
  <c r="Y112" i="35" s="1"/>
  <c r="F189" i="35"/>
  <c r="X111" i="35" s="1"/>
  <c r="H188" i="35"/>
  <c r="Z110" i="35" s="1"/>
  <c r="I187" i="35"/>
  <c r="AA109" i="35" s="1"/>
  <c r="G186" i="35"/>
  <c r="Y108" i="35" s="1"/>
  <c r="H185" i="35"/>
  <c r="Z107" i="35" s="1"/>
  <c r="K184" i="35"/>
  <c r="AC106" i="35" s="1"/>
  <c r="L183" i="35"/>
  <c r="AD104" i="35" s="1"/>
  <c r="F181" i="35"/>
  <c r="X103" i="35" s="1"/>
  <c r="I180" i="35"/>
  <c r="AA102" i="35" s="1"/>
  <c r="N179" i="35"/>
  <c r="D179" i="35"/>
  <c r="J177" i="35"/>
  <c r="AB99" i="35" s="1"/>
  <c r="O176" i="35"/>
  <c r="AG98" i="35" s="1"/>
  <c r="E176" i="35"/>
  <c r="W98" i="35" s="1"/>
  <c r="H175" i="35"/>
  <c r="Z97" i="35" s="1"/>
  <c r="L174" i="35"/>
  <c r="AD96" i="35" s="1"/>
  <c r="N173" i="35"/>
  <c r="AF95" i="35" s="1"/>
  <c r="F173" i="35"/>
  <c r="X95" i="35" s="1"/>
  <c r="J172" i="35"/>
  <c r="AB94" i="35" s="1"/>
  <c r="L171" i="35"/>
  <c r="AD93" i="35" s="1"/>
  <c r="H170" i="35"/>
  <c r="Z92" i="35" s="1"/>
  <c r="J169" i="35"/>
  <c r="AB91" i="35" s="1"/>
  <c r="N168" i="35"/>
  <c r="AF90" i="35" s="1"/>
  <c r="E168" i="35"/>
  <c r="W90" i="35" s="1"/>
  <c r="G167" i="35"/>
  <c r="F162" i="35"/>
  <c r="X88" i="35" s="1"/>
  <c r="J161" i="35"/>
  <c r="M151" i="35"/>
  <c r="AE87" i="35" s="1"/>
  <c r="F150" i="35"/>
  <c r="X86" i="35" s="1"/>
  <c r="K149" i="35"/>
  <c r="AC85" i="35" s="1"/>
  <c r="N148" i="35"/>
  <c r="AF84" i="35" s="1"/>
  <c r="D148" i="35"/>
  <c r="H147" i="35"/>
  <c r="Z83" i="35" s="1"/>
  <c r="J146" i="35"/>
  <c r="K141" i="35"/>
  <c r="AC81" i="35" s="1"/>
  <c r="G140" i="35"/>
  <c r="N135" i="35"/>
  <c r="AF79" i="35" s="1"/>
  <c r="G135" i="35"/>
  <c r="Y79" i="35" s="1"/>
  <c r="L134" i="35"/>
  <c r="AD78" i="35" s="1"/>
  <c r="F134" i="35"/>
  <c r="X78" i="35" s="1"/>
  <c r="L133" i="35"/>
  <c r="AD77" i="35" s="1"/>
  <c r="D133" i="35"/>
  <c r="J132" i="35"/>
  <c r="D132" i="35"/>
  <c r="O123" i="35"/>
  <c r="AG75" i="35" s="1"/>
  <c r="H123" i="35"/>
  <c r="Z75" i="35" s="1"/>
  <c r="K122" i="35"/>
  <c r="AC74" i="35" s="1"/>
  <c r="D122" i="35"/>
  <c r="L121" i="35"/>
  <c r="AD73" i="35" s="1"/>
  <c r="D121" i="35"/>
  <c r="O120" i="35"/>
  <c r="G120" i="35"/>
  <c r="N115" i="35"/>
  <c r="AF71" i="35" s="1"/>
  <c r="H115" i="35"/>
  <c r="Z71" i="35" s="1"/>
  <c r="N114" i="35"/>
  <c r="AF70" i="35" s="1"/>
  <c r="F114" i="35"/>
  <c r="X70" i="35" s="1"/>
  <c r="M113" i="35"/>
  <c r="F113" i="35"/>
  <c r="K104" i="35"/>
  <c r="AC67" i="35" s="1"/>
  <c r="D104" i="35"/>
  <c r="L103" i="35"/>
  <c r="AD66" i="35" s="1"/>
  <c r="F103" i="35"/>
  <c r="X66" i="35" s="1"/>
  <c r="I97" i="35"/>
  <c r="AA62" i="35" s="1"/>
  <c r="K85" i="35"/>
  <c r="AC58" i="35" s="1"/>
  <c r="E85" i="35"/>
  <c r="W58" i="35" s="1"/>
  <c r="L84" i="35"/>
  <c r="AD57" i="35" s="1"/>
  <c r="G84" i="35"/>
  <c r="Y57" i="35" s="1"/>
  <c r="M83" i="35"/>
  <c r="AE56" i="35" s="1"/>
  <c r="H83" i="35"/>
  <c r="Z56" i="35" s="1"/>
  <c r="O82" i="35"/>
  <c r="AG55" i="35" s="1"/>
  <c r="I82" i="35"/>
  <c r="AA55" i="35" s="1"/>
  <c r="D82" i="35"/>
  <c r="K81" i="35"/>
  <c r="AC54" i="35" s="1"/>
  <c r="E81" i="35"/>
  <c r="W54" i="35" s="1"/>
  <c r="L80" i="35"/>
  <c r="AD101" i="35" s="1"/>
  <c r="G80" i="35"/>
  <c r="Y101" i="35" s="1"/>
  <c r="M79" i="35"/>
  <c r="AE53" i="35" s="1"/>
  <c r="H79" i="35"/>
  <c r="Z53" i="35" s="1"/>
  <c r="O78" i="35"/>
  <c r="I78" i="35"/>
  <c r="D78" i="35"/>
  <c r="K72" i="35"/>
  <c r="AC51" i="35" s="1"/>
  <c r="F72" i="35"/>
  <c r="X51" i="35" s="1"/>
  <c r="N71" i="35"/>
  <c r="AF50" i="35" s="1"/>
  <c r="H71" i="35"/>
  <c r="Z50" i="35" s="1"/>
  <c r="K70" i="35"/>
  <c r="F70" i="35"/>
  <c r="L60" i="35"/>
  <c r="AD48" i="35" s="1"/>
  <c r="F60" i="35"/>
  <c r="X48" i="35" s="1"/>
  <c r="O54" i="35"/>
  <c r="AG43" i="35" s="1"/>
  <c r="J54" i="35"/>
  <c r="AB43" i="35" s="1"/>
  <c r="E54" i="35"/>
  <c r="W43" i="35" s="1"/>
  <c r="M50" i="35"/>
  <c r="AE42" i="35" s="1"/>
  <c r="H50" i="35"/>
  <c r="Z42" i="35" s="1"/>
  <c r="N49" i="35"/>
  <c r="AF41" i="35" s="1"/>
  <c r="I49" i="35"/>
  <c r="AA41" i="35" s="1"/>
  <c r="D49" i="35"/>
  <c r="J48" i="35"/>
  <c r="AB40" i="35" s="1"/>
  <c r="E48" i="35"/>
  <c r="W40" i="35" s="1"/>
  <c r="L47" i="35"/>
  <c r="AD39" i="35" s="1"/>
  <c r="F47" i="35"/>
  <c r="X39" i="35" s="1"/>
  <c r="M46" i="35"/>
  <c r="AE38" i="35" s="1"/>
  <c r="H46" i="35"/>
  <c r="Z38" i="35" s="1"/>
  <c r="N45" i="35"/>
  <c r="AF37" i="35" s="1"/>
  <c r="I45" i="35"/>
  <c r="AA37" i="35" s="1"/>
  <c r="D45" i="35"/>
  <c r="J44" i="35"/>
  <c r="AB36" i="35" s="1"/>
  <c r="E44" i="35"/>
  <c r="W36" i="35" s="1"/>
  <c r="L43" i="35"/>
  <c r="AD35" i="35" s="1"/>
  <c r="F43" i="35"/>
  <c r="X35" i="35" s="1"/>
  <c r="M42" i="35"/>
  <c r="AE34" i="35" s="1"/>
  <c r="H42" i="35"/>
  <c r="Z34" i="35" s="1"/>
  <c r="N41" i="35"/>
  <c r="AF33" i="35" s="1"/>
  <c r="I41" i="35"/>
  <c r="AA33" i="35" s="1"/>
  <c r="D41" i="35"/>
  <c r="J40" i="35"/>
  <c r="AB32" i="35" s="1"/>
  <c r="E40" i="35"/>
  <c r="W32" i="35" s="1"/>
  <c r="L39" i="35"/>
  <c r="AD31" i="35" s="1"/>
  <c r="F39" i="35"/>
  <c r="X31" i="35" s="1"/>
  <c r="M38" i="35"/>
  <c r="AE30" i="35" s="1"/>
  <c r="H38" i="35"/>
  <c r="Z30" i="35" s="1"/>
  <c r="J28" i="35"/>
  <c r="E28" i="35"/>
  <c r="O12" i="35"/>
  <c r="I12" i="35"/>
  <c r="D12" i="35"/>
  <c r="D211" i="35"/>
  <c r="E210" i="35"/>
  <c r="E208" i="35"/>
  <c r="W120" i="35" s="1"/>
  <c r="F207" i="35"/>
  <c r="X119" i="35" s="1"/>
  <c r="E206" i="35"/>
  <c r="W118" i="35" s="1"/>
  <c r="F205" i="35"/>
  <c r="X117" i="35" s="1"/>
  <c r="H204" i="35"/>
  <c r="Z116" i="35" s="1"/>
  <c r="O192" i="35"/>
  <c r="AG114" i="35" s="1"/>
  <c r="E191" i="35"/>
  <c r="W113" i="35" s="1"/>
  <c r="D189" i="35"/>
  <c r="D188" i="35"/>
  <c r="D187" i="35"/>
  <c r="F186" i="35"/>
  <c r="X108" i="35" s="1"/>
  <c r="F185" i="35"/>
  <c r="X107" i="35" s="1"/>
  <c r="F184" i="35"/>
  <c r="X106" i="35" s="1"/>
  <c r="I183" i="35"/>
  <c r="AA104" i="35" s="1"/>
  <c r="N181" i="35"/>
  <c r="AF103" i="35" s="1"/>
  <c r="D181" i="35"/>
  <c r="G180" i="35"/>
  <c r="Y102" i="35" s="1"/>
  <c r="K179" i="35"/>
  <c r="I177" i="35"/>
  <c r="AA99" i="35" s="1"/>
  <c r="K176" i="35"/>
  <c r="AC98" i="35" s="1"/>
  <c r="O175" i="35"/>
  <c r="AG97" i="35" s="1"/>
  <c r="G175" i="35"/>
  <c r="Y97" i="35" s="1"/>
  <c r="I174" i="35"/>
  <c r="AA96" i="35" s="1"/>
  <c r="M173" i="35"/>
  <c r="AE95" i="35" s="1"/>
  <c r="D173" i="35"/>
  <c r="F172" i="35"/>
  <c r="X94" i="35" s="1"/>
  <c r="K171" i="35"/>
  <c r="AC93" i="35" s="1"/>
  <c r="O170" i="35"/>
  <c r="AG92" i="35" s="1"/>
  <c r="D170" i="35"/>
  <c r="H169" i="35"/>
  <c r="Z91" i="35" s="1"/>
  <c r="M168" i="35"/>
  <c r="AE90" i="35" s="1"/>
  <c r="O167" i="35"/>
  <c r="F167" i="35"/>
  <c r="M162" i="35"/>
  <c r="AE88" i="35" s="1"/>
  <c r="E162" i="35"/>
  <c r="W88" i="35" s="1"/>
  <c r="H161" i="35"/>
  <c r="I151" i="35"/>
  <c r="AA87" i="35" s="1"/>
  <c r="N150" i="35"/>
  <c r="AF86" i="35" s="1"/>
  <c r="E150" i="35"/>
  <c r="W86" i="35" s="1"/>
  <c r="G149" i="35"/>
  <c r="Y85" i="35" s="1"/>
  <c r="K148" i="35"/>
  <c r="AC84" i="35" s="1"/>
  <c r="E147" i="35"/>
  <c r="W83" i="35" s="1"/>
  <c r="I146" i="35"/>
  <c r="I141" i="35"/>
  <c r="AA81" i="35" s="1"/>
  <c r="M140" i="35"/>
  <c r="D140" i="35"/>
  <c r="M135" i="35"/>
  <c r="AE79" i="35" s="1"/>
  <c r="E135" i="35"/>
  <c r="W79" i="35" s="1"/>
  <c r="K134" i="35"/>
  <c r="AC78" i="35" s="1"/>
  <c r="D134" i="35"/>
  <c r="I133" i="35"/>
  <c r="AA77" i="35" s="1"/>
  <c r="I132" i="35"/>
  <c r="N123" i="35"/>
  <c r="AF75" i="35" s="1"/>
  <c r="G123" i="35"/>
  <c r="Y75" i="35" s="1"/>
  <c r="J122" i="35"/>
  <c r="AB74" i="35" s="1"/>
  <c r="J121" i="35"/>
  <c r="AB73" i="35" s="1"/>
  <c r="L120" i="35"/>
  <c r="F120" i="35"/>
  <c r="M115" i="35"/>
  <c r="AE71" i="35" s="1"/>
  <c r="E115" i="35"/>
  <c r="W71" i="35" s="1"/>
  <c r="L114" i="35"/>
  <c r="AD70" i="35" s="1"/>
  <c r="E114" i="35"/>
  <c r="W70" i="35" s="1"/>
  <c r="L113" i="35"/>
  <c r="E113" i="35"/>
  <c r="J104" i="35"/>
  <c r="AB67" i="35" s="1"/>
  <c r="K103" i="35"/>
  <c r="AC66" i="35" s="1"/>
  <c r="N97" i="35"/>
  <c r="AF62" i="35" s="1"/>
  <c r="H97" i="35"/>
  <c r="Z62" i="35" s="1"/>
  <c r="O85" i="35"/>
  <c r="AG58" i="35" s="1"/>
  <c r="I85" i="35"/>
  <c r="AA58" i="35" s="1"/>
  <c r="D85" i="35"/>
  <c r="K84" i="35"/>
  <c r="AC57" i="35" s="1"/>
  <c r="E84" i="35"/>
  <c r="W57" i="35" s="1"/>
  <c r="L83" i="35"/>
  <c r="AD56" i="35" s="1"/>
  <c r="G83" i="35"/>
  <c r="Y56" i="35" s="1"/>
  <c r="M82" i="35"/>
  <c r="AE55" i="35" s="1"/>
  <c r="H82" i="35"/>
  <c r="Z55" i="35" s="1"/>
  <c r="O81" i="35"/>
  <c r="AG54" i="35" s="1"/>
  <c r="I81" i="35"/>
  <c r="AA54" i="35" s="1"/>
  <c r="D81" i="35"/>
  <c r="K80" i="35"/>
  <c r="AC101" i="35" s="1"/>
  <c r="E80" i="35"/>
  <c r="W101" i="35" s="1"/>
  <c r="L79" i="35"/>
  <c r="AD53" i="35" s="1"/>
  <c r="G79" i="35"/>
  <c r="Y53" i="35" s="1"/>
  <c r="M78" i="35"/>
  <c r="H78" i="35"/>
  <c r="O72" i="35"/>
  <c r="AG51" i="35" s="1"/>
  <c r="J72" i="35"/>
  <c r="AB51" i="35" s="1"/>
  <c r="D72" i="35"/>
  <c r="L71" i="35"/>
  <c r="AD50" i="35" s="1"/>
  <c r="G71" i="35"/>
  <c r="Y50" i="35" s="1"/>
  <c r="O70" i="35"/>
  <c r="J70" i="35"/>
  <c r="D70" i="35"/>
  <c r="J60" i="35"/>
  <c r="AB48" i="35" s="1"/>
  <c r="E60" i="35"/>
  <c r="W48" i="35" s="1"/>
  <c r="N54" i="35"/>
  <c r="AF43" i="35" s="1"/>
  <c r="I54" i="35"/>
  <c r="AA43" i="35" s="1"/>
  <c r="L50" i="35"/>
  <c r="AD42" i="35" s="1"/>
  <c r="F50" i="35"/>
  <c r="X42" i="35" s="1"/>
  <c r="M49" i="35"/>
  <c r="AE41" i="35" s="1"/>
  <c r="H49" i="35"/>
  <c r="Z41" i="35" s="1"/>
  <c r="N48" i="35"/>
  <c r="AF40" i="35" s="1"/>
  <c r="I48" i="35"/>
  <c r="AA40" i="35" s="1"/>
  <c r="D48" i="35"/>
  <c r="J47" i="35"/>
  <c r="AB39" i="35" s="1"/>
  <c r="E47" i="35"/>
  <c r="W39" i="35" s="1"/>
  <c r="L46" i="35"/>
  <c r="AD38" i="35" s="1"/>
  <c r="F46" i="35"/>
  <c r="X38" i="35" s="1"/>
  <c r="M45" i="35"/>
  <c r="AE37" i="35" s="1"/>
  <c r="H45" i="35"/>
  <c r="Z37" i="35" s="1"/>
  <c r="N44" i="35"/>
  <c r="AF36" i="35" s="1"/>
  <c r="I44" i="35"/>
  <c r="AA36" i="35" s="1"/>
  <c r="D44" i="35"/>
  <c r="J43" i="35"/>
  <c r="AB35" i="35" s="1"/>
  <c r="E43" i="35"/>
  <c r="W35" i="35" s="1"/>
  <c r="L42" i="35"/>
  <c r="AD34" i="35" s="1"/>
  <c r="F42" i="35"/>
  <c r="X34" i="35" s="1"/>
  <c r="M41" i="35"/>
  <c r="AE33" i="35" s="1"/>
  <c r="H41" i="35"/>
  <c r="Z33" i="35" s="1"/>
  <c r="N40" i="35"/>
  <c r="AF32" i="35" s="1"/>
  <c r="I40" i="35"/>
  <c r="AA32" i="35" s="1"/>
  <c r="D40" i="35"/>
  <c r="J39" i="35"/>
  <c r="AB31" i="35" s="1"/>
  <c r="E39" i="35"/>
  <c r="W31" i="35" s="1"/>
  <c r="L38" i="35"/>
  <c r="AD30" i="35" s="1"/>
  <c r="F38" i="35"/>
  <c r="X30" i="35" s="1"/>
  <c r="N28" i="35"/>
  <c r="I28" i="35"/>
  <c r="D28" i="35"/>
  <c r="M12" i="35"/>
  <c r="H12" i="35"/>
  <c r="M211" i="35"/>
  <c r="AE123" i="35" s="1"/>
  <c r="O210" i="35"/>
  <c r="N209" i="35"/>
  <c r="AF121" i="35" s="1"/>
  <c r="O208" i="35"/>
  <c r="AG120" i="35" s="1"/>
  <c r="N206" i="35"/>
  <c r="AF118" i="35" s="1"/>
  <c r="D205" i="35"/>
  <c r="K193" i="35"/>
  <c r="AC115" i="35" s="1"/>
  <c r="M192" i="35"/>
  <c r="AE114" i="35" s="1"/>
  <c r="M191" i="35"/>
  <c r="AE113" i="35" s="1"/>
  <c r="M190" i="35"/>
  <c r="AE112" i="35" s="1"/>
  <c r="L189" i="35"/>
  <c r="AD111" i="35" s="1"/>
  <c r="O188" i="35"/>
  <c r="AG110" i="35" s="1"/>
  <c r="N187" i="35"/>
  <c r="AF109" i="35" s="1"/>
  <c r="N186" i="35"/>
  <c r="AF108" i="35" s="1"/>
  <c r="O185" i="35"/>
  <c r="AG107" i="35" s="1"/>
  <c r="M184" i="35"/>
  <c r="AE106" i="35" s="1"/>
  <c r="D184" i="35"/>
  <c r="H183" i="35"/>
  <c r="Z104" i="35" s="1"/>
  <c r="J181" i="35"/>
  <c r="AB103" i="35" s="1"/>
  <c r="N180" i="35"/>
  <c r="AF102" i="35" s="1"/>
  <c r="F180" i="35"/>
  <c r="X102" i="35" s="1"/>
  <c r="H179" i="35"/>
  <c r="E177" i="35"/>
  <c r="W99" i="35" s="1"/>
  <c r="J176" i="35"/>
  <c r="AB98" i="35" s="1"/>
  <c r="N175" i="35"/>
  <c r="AF97" i="35" s="1"/>
  <c r="G174" i="35"/>
  <c r="Y96" i="35" s="1"/>
  <c r="L173" i="35"/>
  <c r="AD95" i="35" s="1"/>
  <c r="N172" i="35"/>
  <c r="AF94" i="35" s="1"/>
  <c r="E172" i="35"/>
  <c r="W94" i="35" s="1"/>
  <c r="H171" i="35"/>
  <c r="Z93" i="35" s="1"/>
  <c r="K170" i="35"/>
  <c r="AC92" i="35" s="1"/>
  <c r="F169" i="35"/>
  <c r="X91" i="35" s="1"/>
  <c r="I168" i="35"/>
  <c r="AA90" i="35" s="1"/>
  <c r="L167" i="35"/>
  <c r="D167" i="35"/>
  <c r="K162" i="35"/>
  <c r="AC88" i="35" s="1"/>
  <c r="O161" i="35"/>
  <c r="D161" i="35"/>
  <c r="H151" i="35"/>
  <c r="Z87" i="35" s="1"/>
  <c r="L150" i="35"/>
  <c r="AD86" i="35" s="1"/>
  <c r="N149" i="35"/>
  <c r="AF85" i="35" s="1"/>
  <c r="F149" i="35"/>
  <c r="X85" i="35" s="1"/>
  <c r="J148" i="35"/>
  <c r="AB84" i="35" s="1"/>
  <c r="L147" i="35"/>
  <c r="AD83" i="35" s="1"/>
  <c r="H146" i="35"/>
  <c r="H141" i="35"/>
  <c r="Z81" i="35" s="1"/>
  <c r="J140" i="35"/>
  <c r="J135" i="35"/>
  <c r="AB79" i="35" s="1"/>
  <c r="J134" i="35"/>
  <c r="AB78" i="35" s="1"/>
  <c r="O133" i="35"/>
  <c r="AG77" i="35" s="1"/>
  <c r="H133" i="35"/>
  <c r="Z77" i="35" s="1"/>
  <c r="N132" i="35"/>
  <c r="F132" i="35"/>
  <c r="L123" i="35"/>
  <c r="AD75" i="35" s="1"/>
  <c r="D123" i="35"/>
  <c r="O122" i="35"/>
  <c r="AG74" i="35" s="1"/>
  <c r="G122" i="35"/>
  <c r="Y74" i="35" s="1"/>
  <c r="O121" i="35"/>
  <c r="AG73" i="35" s="1"/>
  <c r="H121" i="35"/>
  <c r="K120" i="35"/>
  <c r="D120" i="35"/>
  <c r="J115" i="35"/>
  <c r="AB71" i="35" s="1"/>
  <c r="D115" i="35"/>
  <c r="J114" i="35"/>
  <c r="AB70" i="35" s="1"/>
  <c r="D114" i="35"/>
  <c r="J113" i="35"/>
  <c r="O104" i="35"/>
  <c r="AG67" i="35" s="1"/>
  <c r="H104" i="35"/>
  <c r="Z67" i="35" s="1"/>
  <c r="H103" i="35"/>
  <c r="Z66" i="35" s="1"/>
  <c r="M97" i="35"/>
  <c r="AE62" i="35" s="1"/>
  <c r="F97" i="35"/>
  <c r="X62" i="35" s="1"/>
  <c r="M85" i="35"/>
  <c r="AE58" i="35" s="1"/>
  <c r="H85" i="35"/>
  <c r="Z58" i="35" s="1"/>
  <c r="O84" i="35"/>
  <c r="AG57" i="35" s="1"/>
  <c r="I84" i="35"/>
  <c r="AA57" i="35" s="1"/>
  <c r="D84" i="35"/>
  <c r="K83" i="35"/>
  <c r="AC56" i="35" s="1"/>
  <c r="E83" i="35"/>
  <c r="W56" i="35" s="1"/>
  <c r="L82" i="35"/>
  <c r="AD55" i="35" s="1"/>
  <c r="G82" i="35"/>
  <c r="Y55" i="35" s="1"/>
  <c r="M81" i="35"/>
  <c r="AE54" i="35" s="1"/>
  <c r="H81" i="35"/>
  <c r="Z54" i="35" s="1"/>
  <c r="O80" i="35"/>
  <c r="AG101" i="35" s="1"/>
  <c r="I80" i="35"/>
  <c r="AA101" i="35" s="1"/>
  <c r="D80" i="35"/>
  <c r="K79" i="35"/>
  <c r="AC53" i="35" s="1"/>
  <c r="E79" i="35"/>
  <c r="W53" i="35" s="1"/>
  <c r="L78" i="35"/>
  <c r="G78" i="35"/>
  <c r="N72" i="35"/>
  <c r="AF51" i="35" s="1"/>
  <c r="H72" i="35"/>
  <c r="Z51" i="35" s="1"/>
  <c r="K71" i="35"/>
  <c r="AC50" i="35" s="1"/>
  <c r="F71" i="35"/>
  <c r="X50" i="35" s="1"/>
  <c r="N70" i="35"/>
  <c r="H70" i="35"/>
  <c r="N60" i="35"/>
  <c r="AF48" i="35" s="1"/>
  <c r="I60" i="35"/>
  <c r="AA48" i="35" s="1"/>
  <c r="D60" i="35"/>
  <c r="M54" i="35"/>
  <c r="AE43" i="35" s="1"/>
  <c r="G54" i="35"/>
  <c r="Y43" i="35" s="1"/>
  <c r="J50" i="35"/>
  <c r="AB42" i="35" s="1"/>
  <c r="E50" i="35"/>
  <c r="W42" i="35" s="1"/>
  <c r="L49" i="35"/>
  <c r="AD41" i="35" s="1"/>
  <c r="F49" i="35"/>
  <c r="X41" i="35" s="1"/>
  <c r="E12" i="35"/>
  <c r="L28" i="35"/>
  <c r="I38" i="35"/>
  <c r="AA30" i="35" s="1"/>
  <c r="I39" i="35"/>
  <c r="AA31" i="35" s="1"/>
  <c r="L40" i="35"/>
  <c r="AD32" i="35" s="1"/>
  <c r="E41" i="35"/>
  <c r="W33" i="35" s="1"/>
  <c r="I42" i="35"/>
  <c r="AA34" i="35" s="1"/>
  <c r="I43" i="35"/>
  <c r="AA35" i="35" s="1"/>
  <c r="L44" i="35"/>
  <c r="AD36" i="35" s="1"/>
  <c r="E45" i="35"/>
  <c r="W37" i="35" s="1"/>
  <c r="I46" i="35"/>
  <c r="AA38" i="35" s="1"/>
  <c r="I47" i="35"/>
  <c r="AA39" i="35" s="1"/>
  <c r="L48" i="35"/>
  <c r="AD40" i="35" s="1"/>
  <c r="I50" i="35"/>
  <c r="AA42" i="35" s="1"/>
  <c r="F54" i="35"/>
  <c r="X43" i="35" s="1"/>
  <c r="M60" i="35"/>
  <c r="AE48" i="35" s="1"/>
  <c r="J71" i="35"/>
  <c r="AB50" i="35" s="1"/>
  <c r="L72" i="35"/>
  <c r="AD51" i="35" s="1"/>
  <c r="D79" i="35"/>
  <c r="M80" i="35"/>
  <c r="AE101" i="35" s="1"/>
  <c r="D83" i="35"/>
  <c r="M84" i="35"/>
  <c r="AE57" i="35" s="1"/>
  <c r="N104" i="35"/>
  <c r="AF67" i="35" s="1"/>
  <c r="O107" i="35"/>
  <c r="AG64" i="35" s="1"/>
  <c r="H113" i="35"/>
  <c r="J120" i="35"/>
  <c r="F122" i="35"/>
  <c r="X74" i="35" s="1"/>
  <c r="E132" i="35"/>
  <c r="G134" i="35"/>
  <c r="Y78" i="35" s="1"/>
  <c r="D141" i="35"/>
  <c r="D146" i="35"/>
  <c r="O151" i="35"/>
  <c r="AG87" i="35" s="1"/>
  <c r="L161" i="35"/>
  <c r="M169" i="35"/>
  <c r="AE91" i="35" s="1"/>
  <c r="K172" i="35"/>
  <c r="AC94" i="35" s="1"/>
  <c r="J175" i="35"/>
  <c r="AB97" i="35" s="1"/>
  <c r="I181" i="35"/>
  <c r="AA103" i="35" s="1"/>
  <c r="K185" i="35"/>
  <c r="AC107" i="35" s="1"/>
  <c r="K189" i="35"/>
  <c r="AC111" i="35" s="1"/>
  <c r="H193" i="35"/>
  <c r="Z115" i="35" s="1"/>
  <c r="L204" i="35"/>
  <c r="AD116" i="35" s="1"/>
  <c r="M208" i="35"/>
  <c r="AE120" i="35" s="1"/>
  <c r="G12" i="35"/>
  <c r="M28" i="35"/>
  <c r="J38" i="35"/>
  <c r="AB30" i="35" s="1"/>
  <c r="M39" i="35"/>
  <c r="AE31" i="35" s="1"/>
  <c r="M40" i="35"/>
  <c r="AE32" i="35" s="1"/>
  <c r="F41" i="35"/>
  <c r="X33" i="35" s="1"/>
  <c r="J42" i="35"/>
  <c r="AB34" i="35" s="1"/>
  <c r="M43" i="35"/>
  <c r="AE35" i="35" s="1"/>
  <c r="M44" i="35"/>
  <c r="AE36" i="35" s="1"/>
  <c r="F45" i="35"/>
  <c r="X37" i="35" s="1"/>
  <c r="J46" i="35"/>
  <c r="AB38" i="35" s="1"/>
  <c r="M47" i="35"/>
  <c r="AE39" i="35" s="1"/>
  <c r="M48" i="35"/>
  <c r="AE40" i="35" s="1"/>
  <c r="E49" i="35"/>
  <c r="W41" i="35" s="1"/>
  <c r="N50" i="35"/>
  <c r="AF42" i="35" s="1"/>
  <c r="K54" i="35"/>
  <c r="AC43" i="35" s="1"/>
  <c r="G70" i="35"/>
  <c r="O71" i="35"/>
  <c r="AG50" i="35" s="1"/>
  <c r="I79" i="35"/>
  <c r="AA53" i="35" s="1"/>
  <c r="G81" i="35"/>
  <c r="Y54" i="35" s="1"/>
  <c r="I83" i="35"/>
  <c r="AA56" i="35" s="1"/>
  <c r="G85" i="35"/>
  <c r="Y58" i="35" s="1"/>
  <c r="D97" i="35"/>
  <c r="G103" i="35"/>
  <c r="Y66" i="35" s="1"/>
  <c r="I114" i="35"/>
  <c r="AA70" i="35" s="1"/>
  <c r="L122" i="35"/>
  <c r="AD74" i="35" s="1"/>
  <c r="L132" i="35"/>
  <c r="O134" i="35"/>
  <c r="AG78" i="35" s="1"/>
  <c r="O141" i="35"/>
  <c r="AG81" i="35" s="1"/>
  <c r="N146" i="35"/>
  <c r="M149" i="35"/>
  <c r="AE85" i="35" s="1"/>
  <c r="J162" i="35"/>
  <c r="AB88" i="35" s="1"/>
  <c r="K167" i="35"/>
  <c r="I170" i="35"/>
  <c r="AA92" i="35" s="1"/>
  <c r="H173" i="35"/>
  <c r="Z95" i="35" s="1"/>
  <c r="G176" i="35"/>
  <c r="Y98" i="35" s="1"/>
  <c r="F179" i="35"/>
  <c r="D183" i="35"/>
  <c r="M186" i="35"/>
  <c r="AE108" i="35" s="1"/>
  <c r="J190" i="35"/>
  <c r="AB112" i="35" s="1"/>
  <c r="L205" i="35"/>
  <c r="AD117" i="35" s="1"/>
  <c r="K209" i="35"/>
  <c r="AC121" i="35" s="1"/>
  <c r="K12" i="35"/>
  <c r="AH12" i="35"/>
  <c r="F28" i="35"/>
  <c r="D38" i="35"/>
  <c r="N38" i="35"/>
  <c r="AF30" i="35" s="1"/>
  <c r="D39" i="35"/>
  <c r="N39" i="35"/>
  <c r="AF31" i="35" s="1"/>
  <c r="F40" i="35"/>
  <c r="X32" i="35" s="1"/>
  <c r="J41" i="35"/>
  <c r="AB33" i="35" s="1"/>
  <c r="D42" i="35"/>
  <c r="N42" i="35"/>
  <c r="AF34" i="35" s="1"/>
  <c r="D43" i="35"/>
  <c r="N43" i="35"/>
  <c r="AF35" i="35" s="1"/>
  <c r="F44" i="35"/>
  <c r="X36" i="35" s="1"/>
  <c r="J45" i="35"/>
  <c r="AB37" i="35" s="1"/>
  <c r="D46" i="35"/>
  <c r="N46" i="35"/>
  <c r="AF38" i="35" s="1"/>
  <c r="D47" i="35"/>
  <c r="N47" i="35"/>
  <c r="AF39" i="35" s="1"/>
  <c r="F48" i="35"/>
  <c r="X40" i="35" s="1"/>
  <c r="J49" i="35"/>
  <c r="AB41" i="35" s="1"/>
  <c r="L70" i="35"/>
  <c r="E78" i="35"/>
  <c r="O79" i="35"/>
  <c r="AG53" i="35" s="1"/>
  <c r="L81" i="35"/>
  <c r="AD54" i="35" s="1"/>
  <c r="E82" i="35"/>
  <c r="W55" i="35" s="1"/>
  <c r="O83" i="35"/>
  <c r="AG56" i="35" s="1"/>
  <c r="L85" i="35"/>
  <c r="AD58" i="35" s="1"/>
  <c r="L97" i="35"/>
  <c r="AD62" i="35" s="1"/>
  <c r="N103" i="35"/>
  <c r="AF66" i="35" s="1"/>
  <c r="I115" i="35"/>
  <c r="AA71" i="35" s="1"/>
  <c r="G121" i="35"/>
  <c r="Y73" i="35" s="1"/>
  <c r="J123" i="35"/>
  <c r="AB75" i="35" s="1"/>
  <c r="G133" i="35"/>
  <c r="Y77" i="35" s="1"/>
  <c r="I135" i="35"/>
  <c r="AA79" i="35" s="1"/>
  <c r="K147" i="35"/>
  <c r="AC83" i="35" s="1"/>
  <c r="I150" i="35"/>
  <c r="AA86" i="35" s="1"/>
  <c r="G168" i="35"/>
  <c r="Y90" i="35" s="1"/>
  <c r="F171" i="35"/>
  <c r="X93" i="35" s="1"/>
  <c r="E174" i="35"/>
  <c r="W96" i="35" s="1"/>
  <c r="D177" i="35"/>
  <c r="O179" i="35"/>
  <c r="O183" i="35"/>
  <c r="AG104" i="35" s="1"/>
  <c r="J187" i="35"/>
  <c r="AB109" i="35" s="1"/>
  <c r="H191" i="35"/>
  <c r="Z113" i="35" s="1"/>
  <c r="M206" i="35"/>
  <c r="AE118" i="35" s="1"/>
  <c r="J210" i="35"/>
  <c r="L12" i="35"/>
  <c r="H28" i="35"/>
  <c r="E38" i="35"/>
  <c r="W30" i="35" s="1"/>
  <c r="H39" i="35"/>
  <c r="Z31" i="35" s="1"/>
  <c r="H40" i="35"/>
  <c r="Z32" i="35" s="1"/>
  <c r="L41" i="35"/>
  <c r="AD33" i="35" s="1"/>
  <c r="E42" i="35"/>
  <c r="W34" i="35" s="1"/>
  <c r="H43" i="35"/>
  <c r="Z35" i="35" s="1"/>
  <c r="H44" i="35"/>
  <c r="Z36" i="35" s="1"/>
  <c r="L45" i="35"/>
  <c r="AD37" i="35" s="1"/>
  <c r="E46" i="35"/>
  <c r="W38" i="35" s="1"/>
  <c r="H47" i="35"/>
  <c r="Z39" i="35" s="1"/>
  <c r="H48" i="35"/>
  <c r="Z40" i="35" s="1"/>
  <c r="D50" i="35"/>
  <c r="H60" i="35"/>
  <c r="Z48" i="35" s="1"/>
  <c r="D71" i="35"/>
  <c r="G72" i="35"/>
  <c r="Y51" i="35" s="1"/>
  <c r="K78" i="35"/>
  <c r="H80" i="35"/>
  <c r="Z101" i="35" s="1"/>
  <c r="K82" i="35"/>
  <c r="AC55" i="35" s="1"/>
  <c r="H84" i="35"/>
  <c r="Z57" i="35" s="1"/>
  <c r="F104" i="35"/>
  <c r="X67" i="35" s="1"/>
  <c r="I107" i="35"/>
  <c r="AA64" i="35" s="1"/>
  <c r="N121" i="35"/>
  <c r="AF73" i="35" s="1"/>
  <c r="M133" i="35"/>
  <c r="AE77" i="35" s="1"/>
  <c r="O135" i="35"/>
  <c r="AG79" i="35" s="1"/>
  <c r="H140" i="35"/>
  <c r="F148" i="35"/>
  <c r="X84" i="35" s="1"/>
  <c r="G151" i="35"/>
  <c r="Y87" i="35" s="1"/>
  <c r="O168" i="35"/>
  <c r="AG90" i="35" s="1"/>
  <c r="O174" i="35"/>
  <c r="AG96" i="35" s="1"/>
  <c r="M177" i="35"/>
  <c r="AE99" i="35" s="1"/>
  <c r="M180" i="35"/>
  <c r="AE102" i="35" s="1"/>
  <c r="L184" i="35"/>
  <c r="AD106" i="35" s="1"/>
  <c r="I188" i="35"/>
  <c r="AA110" i="35" s="1"/>
  <c r="I192" i="35"/>
  <c r="AA114" i="35" s="1"/>
  <c r="L207" i="35"/>
  <c r="AD119" i="35" s="1"/>
  <c r="L211" i="35"/>
  <c r="AD123" i="35" s="1"/>
  <c r="H107" i="35"/>
  <c r="Z64" i="35" s="1"/>
  <c r="J107" i="35"/>
  <c r="AB64" i="35" s="1"/>
  <c r="AH125" i="35"/>
  <c r="AH19" i="35"/>
  <c r="AH15" i="35"/>
  <c r="G107" i="35"/>
  <c r="Y64" i="35" s="1"/>
  <c r="J22" i="39" l="1"/>
  <c r="E22" i="39"/>
  <c r="G178" i="35"/>
  <c r="Y100" i="35" s="1"/>
  <c r="K22" i="39"/>
  <c r="F22" i="39"/>
  <c r="L22" i="39"/>
  <c r="G22" i="39"/>
  <c r="M22" i="39"/>
  <c r="H22" i="39"/>
  <c r="N22" i="39"/>
  <c r="I22" i="39"/>
  <c r="D22" i="39"/>
  <c r="D178" i="35"/>
  <c r="V100" i="35" s="1"/>
  <c r="K178" i="35"/>
  <c r="AC100" i="35" s="1"/>
  <c r="E178" i="35"/>
  <c r="W100" i="35" s="1"/>
  <c r="H178" i="35"/>
  <c r="Z100" i="35" s="1"/>
  <c r="O178" i="35"/>
  <c r="AG100" i="35" s="1"/>
  <c r="J178" i="35"/>
  <c r="AB100" i="35" s="1"/>
  <c r="M178" i="35"/>
  <c r="AE100" i="35" s="1"/>
  <c r="N178" i="35"/>
  <c r="AF100" i="35" s="1"/>
  <c r="L178" i="35"/>
  <c r="AD100" i="35" s="1"/>
  <c r="I178" i="35"/>
  <c r="AA100" i="35" s="1"/>
  <c r="F178" i="35"/>
  <c r="X100" i="35" s="1"/>
  <c r="D108" i="35"/>
  <c r="V65" i="35" s="1"/>
  <c r="M107" i="35"/>
  <c r="AE64" i="35" s="1"/>
  <c r="K107" i="35"/>
  <c r="AC64" i="35" s="1"/>
  <c r="D107" i="35"/>
  <c r="K108" i="35"/>
  <c r="AC65" i="35" s="1"/>
  <c r="N107" i="35"/>
  <c r="AF64" i="35" s="1"/>
  <c r="E107" i="35"/>
  <c r="W64" i="35" s="1"/>
  <c r="F107" i="35"/>
  <c r="X64" i="35" s="1"/>
  <c r="J108" i="35"/>
  <c r="AB65" i="35" s="1"/>
  <c r="L108" i="35"/>
  <c r="AD65" i="35" s="1"/>
  <c r="B155" i="35"/>
  <c r="B156" i="35" s="1"/>
  <c r="L106" i="35"/>
  <c r="AD68" i="35" s="1"/>
  <c r="K106" i="35"/>
  <c r="AC68" i="35" s="1"/>
  <c r="H87" i="35"/>
  <c r="I106" i="35"/>
  <c r="AA68" i="35" s="1"/>
  <c r="D106" i="35"/>
  <c r="G153" i="35"/>
  <c r="Z82" i="35"/>
  <c r="H153" i="35"/>
  <c r="Z80" i="35"/>
  <c r="H143" i="35"/>
  <c r="Z73" i="35"/>
  <c r="H125" i="35"/>
  <c r="H117" i="35"/>
  <c r="G106" i="35"/>
  <c r="Y68" i="35" s="1"/>
  <c r="J106" i="35"/>
  <c r="AB68" i="35" s="1"/>
  <c r="G164" i="35"/>
  <c r="M106" i="35"/>
  <c r="AE68" i="35" s="1"/>
  <c r="N106" i="35"/>
  <c r="AF68" i="35" s="1"/>
  <c r="H106" i="35"/>
  <c r="Z68" i="35" s="1"/>
  <c r="O106" i="35"/>
  <c r="AG68" i="35" s="1"/>
  <c r="B110" i="35"/>
  <c r="F106" i="35"/>
  <c r="X68" i="35" s="1"/>
  <c r="H164" i="35"/>
  <c r="G108" i="35"/>
  <c r="Y65" i="35" s="1"/>
  <c r="H108" i="35"/>
  <c r="Z65" i="35" s="1"/>
  <c r="F108" i="35"/>
  <c r="X65" i="35" s="1"/>
  <c r="M108" i="35"/>
  <c r="AE65" i="35" s="1"/>
  <c r="O108" i="35"/>
  <c r="AG65" i="35" s="1"/>
  <c r="E108" i="35"/>
  <c r="W65" i="35" s="1"/>
  <c r="N108" i="35"/>
  <c r="AF65" i="35" s="1"/>
  <c r="E164" i="35"/>
  <c r="AC52" i="35"/>
  <c r="K87" i="35"/>
  <c r="V42" i="35"/>
  <c r="AH42" i="35" s="1"/>
  <c r="P50" i="35"/>
  <c r="V101" i="35"/>
  <c r="AH101" i="35" s="1"/>
  <c r="P80" i="35"/>
  <c r="P123" i="35"/>
  <c r="V75" i="35"/>
  <c r="AH75" i="35" s="1"/>
  <c r="J143" i="35"/>
  <c r="AB80" i="35"/>
  <c r="H23" i="35"/>
  <c r="Z10" i="35"/>
  <c r="AB49" i="35"/>
  <c r="J74" i="35"/>
  <c r="AA76" i="35"/>
  <c r="I137" i="35"/>
  <c r="AG89" i="35"/>
  <c r="D23" i="35"/>
  <c r="V10" i="35"/>
  <c r="P12" i="35"/>
  <c r="P23" i="35" s="1"/>
  <c r="X69" i="35"/>
  <c r="F117" i="35"/>
  <c r="AG20" i="35"/>
  <c r="X52" i="35"/>
  <c r="F87" i="35"/>
  <c r="O117" i="35"/>
  <c r="AG69" i="35"/>
  <c r="I125" i="35"/>
  <c r="AA72" i="35"/>
  <c r="I143" i="35"/>
  <c r="AA80" i="35"/>
  <c r="V119" i="35"/>
  <c r="AH119" i="35" s="1"/>
  <c r="P207" i="35"/>
  <c r="Z20" i="35"/>
  <c r="G74" i="35"/>
  <c r="Y49" i="35"/>
  <c r="AB69" i="35"/>
  <c r="J117" i="35"/>
  <c r="AD89" i="35"/>
  <c r="M23" i="35"/>
  <c r="AE10" i="35"/>
  <c r="P81" i="35"/>
  <c r="V54" i="35"/>
  <c r="AH54" i="35" s="1"/>
  <c r="AD69" i="35"/>
  <c r="L117" i="35"/>
  <c r="P188" i="35"/>
  <c r="V110" i="35"/>
  <c r="AH110" i="35" s="1"/>
  <c r="V37" i="35"/>
  <c r="AH37" i="35" s="1"/>
  <c r="P45" i="35"/>
  <c r="AE69" i="35"/>
  <c r="M117" i="35"/>
  <c r="M74" i="35"/>
  <c r="AE49" i="35"/>
  <c r="J87" i="35"/>
  <c r="AB52" i="35"/>
  <c r="V66" i="35"/>
  <c r="AH66" i="35" s="1"/>
  <c r="P103" i="35"/>
  <c r="N117" i="35"/>
  <c r="AF69" i="35"/>
  <c r="M125" i="35"/>
  <c r="AE72" i="35"/>
  <c r="L153" i="35"/>
  <c r="AD82" i="35"/>
  <c r="P168" i="35"/>
  <c r="V90" i="35"/>
  <c r="AH90" i="35" s="1"/>
  <c r="P172" i="35"/>
  <c r="V94" i="35"/>
  <c r="AH94" i="35" s="1"/>
  <c r="P176" i="35"/>
  <c r="V98" i="35"/>
  <c r="AH98" i="35" s="1"/>
  <c r="P180" i="35"/>
  <c r="V102" i="35"/>
  <c r="AH102" i="35" s="1"/>
  <c r="P209" i="35"/>
  <c r="V121" i="35"/>
  <c r="AH121" i="35" s="1"/>
  <c r="P186" i="35"/>
  <c r="V108" i="35"/>
  <c r="AH108" i="35" s="1"/>
  <c r="P190" i="35"/>
  <c r="V112" i="35"/>
  <c r="AH112" i="35" s="1"/>
  <c r="V50" i="35"/>
  <c r="AH50" i="35" s="1"/>
  <c r="P71" i="35"/>
  <c r="L23" i="35"/>
  <c r="AD10" i="35"/>
  <c r="AD49" i="35"/>
  <c r="L74" i="35"/>
  <c r="P183" i="35"/>
  <c r="V104" i="35"/>
  <c r="AH104" i="35" s="1"/>
  <c r="AF82" i="35"/>
  <c r="N153" i="35"/>
  <c r="P97" i="35"/>
  <c r="V62" i="35"/>
  <c r="AH62" i="35" s="1"/>
  <c r="P141" i="35"/>
  <c r="V81" i="35"/>
  <c r="AH81" i="35" s="1"/>
  <c r="J125" i="35"/>
  <c r="AB72" i="35"/>
  <c r="Z49" i="35"/>
  <c r="H74" i="35"/>
  <c r="V70" i="35"/>
  <c r="AH70" i="35" s="1"/>
  <c r="P114" i="35"/>
  <c r="D125" i="35"/>
  <c r="V72" i="35"/>
  <c r="P120" i="35"/>
  <c r="F137" i="35"/>
  <c r="X76" i="35"/>
  <c r="O164" i="35"/>
  <c r="V117" i="35"/>
  <c r="AH117" i="35" s="1"/>
  <c r="P205" i="35"/>
  <c r="V20" i="35"/>
  <c r="P28" i="35"/>
  <c r="V36" i="35"/>
  <c r="AH36" i="35" s="1"/>
  <c r="P44" i="35"/>
  <c r="V58" i="35"/>
  <c r="AH58" i="35" s="1"/>
  <c r="P85" i="35"/>
  <c r="X72" i="35"/>
  <c r="F125" i="35"/>
  <c r="V78" i="35"/>
  <c r="AH78" i="35" s="1"/>
  <c r="P134" i="35"/>
  <c r="D143" i="35"/>
  <c r="P140" i="35"/>
  <c r="V80" i="35"/>
  <c r="V103" i="35"/>
  <c r="AH103" i="35" s="1"/>
  <c r="P181" i="35"/>
  <c r="P189" i="35"/>
  <c r="V111" i="35"/>
  <c r="AH111" i="35" s="1"/>
  <c r="O23" i="35"/>
  <c r="AG10" i="35"/>
  <c r="V41" i="35"/>
  <c r="AH41" i="35" s="1"/>
  <c r="P49" i="35"/>
  <c r="D87" i="35"/>
  <c r="V52" i="35"/>
  <c r="P78" i="35"/>
  <c r="G125" i="35"/>
  <c r="Y72" i="35"/>
  <c r="P122" i="35"/>
  <c r="V74" i="35"/>
  <c r="AH74" i="35" s="1"/>
  <c r="D137" i="35"/>
  <c r="P132" i="35"/>
  <c r="V76" i="35"/>
  <c r="Y80" i="35"/>
  <c r="G143" i="35"/>
  <c r="V84" i="35"/>
  <c r="AH84" i="35" s="1"/>
  <c r="P148" i="35"/>
  <c r="Y20" i="35"/>
  <c r="N87" i="35"/>
  <c r="AF52" i="35"/>
  <c r="Z72" i="35"/>
  <c r="H137" i="35"/>
  <c r="Z76" i="35"/>
  <c r="F143" i="35"/>
  <c r="X80" i="35"/>
  <c r="E153" i="35"/>
  <c r="W82" i="35"/>
  <c r="N164" i="35"/>
  <c r="P175" i="35"/>
  <c r="V97" i="35"/>
  <c r="AH97" i="35" s="1"/>
  <c r="G117" i="35"/>
  <c r="Y69" i="35"/>
  <c r="V83" i="35"/>
  <c r="AH83" i="35" s="1"/>
  <c r="P147" i="35"/>
  <c r="F164" i="35"/>
  <c r="Z89" i="35"/>
  <c r="V91" i="35"/>
  <c r="AH91" i="35" s="1"/>
  <c r="P169" i="35"/>
  <c r="V114" i="35"/>
  <c r="AH114" i="35" s="1"/>
  <c r="P192" i="35"/>
  <c r="AG80" i="35"/>
  <c r="O143" i="35"/>
  <c r="Y82" i="35"/>
  <c r="M164" i="35"/>
  <c r="W89" i="35"/>
  <c r="V113" i="35"/>
  <c r="AH113" i="35" s="1"/>
  <c r="P191" i="35"/>
  <c r="G23" i="35"/>
  <c r="Y10" i="35"/>
  <c r="E137" i="35"/>
  <c r="W76" i="35"/>
  <c r="W10" i="35"/>
  <c r="E23" i="35"/>
  <c r="G87" i="35"/>
  <c r="Y52" i="35"/>
  <c r="P115" i="35"/>
  <c r="V71" i="35"/>
  <c r="AH71" i="35" s="1"/>
  <c r="P167" i="35"/>
  <c r="V89" i="35"/>
  <c r="AF20" i="35"/>
  <c r="P72" i="35"/>
  <c r="V51" i="35"/>
  <c r="AH51" i="35" s="1"/>
  <c r="M87" i="35"/>
  <c r="AE52" i="35"/>
  <c r="W69" i="35"/>
  <c r="E117" i="35"/>
  <c r="P187" i="35"/>
  <c r="V109" i="35"/>
  <c r="AH109" i="35" s="1"/>
  <c r="AB20" i="35"/>
  <c r="V33" i="35"/>
  <c r="AH33" i="35" s="1"/>
  <c r="P41" i="35"/>
  <c r="F74" i="35"/>
  <c r="X49" i="35"/>
  <c r="O87" i="35"/>
  <c r="AG52" i="35"/>
  <c r="V67" i="35"/>
  <c r="AH67" i="35" s="1"/>
  <c r="P104" i="35"/>
  <c r="P121" i="35"/>
  <c r="V73" i="35"/>
  <c r="P133" i="35"/>
  <c r="V77" i="35"/>
  <c r="AH77" i="35" s="1"/>
  <c r="AB82" i="35"/>
  <c r="J153" i="35"/>
  <c r="P179" i="35"/>
  <c r="AB10" i="35"/>
  <c r="J23" i="35"/>
  <c r="I74" i="35"/>
  <c r="AA49" i="35"/>
  <c r="I117" i="35"/>
  <c r="AA69" i="35"/>
  <c r="V96" i="35"/>
  <c r="AH96" i="35" s="1"/>
  <c r="P174" i="35"/>
  <c r="P185" i="35"/>
  <c r="V107" i="35"/>
  <c r="AH107" i="35" s="1"/>
  <c r="AC76" i="35"/>
  <c r="K137" i="35"/>
  <c r="P135" i="35"/>
  <c r="V79" i="35"/>
  <c r="AH79" i="35" s="1"/>
  <c r="F153" i="35"/>
  <c r="X82" i="35"/>
  <c r="AG82" i="35"/>
  <c r="O153" i="35"/>
  <c r="AE89" i="35"/>
  <c r="V99" i="35"/>
  <c r="AH99" i="35" s="1"/>
  <c r="P177" i="35"/>
  <c r="E87" i="35"/>
  <c r="W52" i="35"/>
  <c r="V38" i="35"/>
  <c r="AH38" i="35" s="1"/>
  <c r="P46" i="35"/>
  <c r="V35" i="35"/>
  <c r="AH35" i="35" s="1"/>
  <c r="P43" i="35"/>
  <c r="V30" i="35"/>
  <c r="AH30" i="35" s="1"/>
  <c r="P38" i="35"/>
  <c r="K23" i="35"/>
  <c r="AC10" i="35"/>
  <c r="L137" i="35"/>
  <c r="AD76" i="35"/>
  <c r="D153" i="35"/>
  <c r="V82" i="35"/>
  <c r="P146" i="35"/>
  <c r="P83" i="35"/>
  <c r="V56" i="35"/>
  <c r="AH56" i="35" s="1"/>
  <c r="L87" i="35"/>
  <c r="AD52" i="35"/>
  <c r="P84" i="35"/>
  <c r="V57" i="35"/>
  <c r="AH57" i="35" s="1"/>
  <c r="P161" i="35"/>
  <c r="D164" i="35"/>
  <c r="V32" i="35"/>
  <c r="AH32" i="35" s="1"/>
  <c r="P40" i="35"/>
  <c r="AG49" i="35"/>
  <c r="O74" i="35"/>
  <c r="I153" i="35"/>
  <c r="AA82" i="35"/>
  <c r="I23" i="35"/>
  <c r="AA10" i="35"/>
  <c r="K74" i="35"/>
  <c r="AC49" i="35"/>
  <c r="Y89" i="35"/>
  <c r="AF10" i="35"/>
  <c r="N23" i="35"/>
  <c r="P150" i="35"/>
  <c r="V86" i="35"/>
  <c r="AH86" i="35" s="1"/>
  <c r="AB89" i="35"/>
  <c r="AG76" i="35"/>
  <c r="O137" i="35"/>
  <c r="N143" i="35"/>
  <c r="AF80" i="35"/>
  <c r="V120" i="35"/>
  <c r="AH120" i="35" s="1"/>
  <c r="P208" i="35"/>
  <c r="K143" i="35"/>
  <c r="AC80" i="35"/>
  <c r="I164" i="35"/>
  <c r="V39" i="35"/>
  <c r="AH39" i="35" s="1"/>
  <c r="P47" i="35"/>
  <c r="V34" i="35"/>
  <c r="AH34" i="35" s="1"/>
  <c r="P42" i="35"/>
  <c r="V31" i="35"/>
  <c r="AH31" i="35" s="1"/>
  <c r="P39" i="35"/>
  <c r="X20" i="35"/>
  <c r="AC89" i="35"/>
  <c r="AE20" i="35"/>
  <c r="L164" i="35"/>
  <c r="Z69" i="35"/>
  <c r="P79" i="35"/>
  <c r="V53" i="35"/>
  <c r="AH53" i="35" s="1"/>
  <c r="AD20" i="35"/>
  <c r="V48" i="35"/>
  <c r="AH48" i="35" s="1"/>
  <c r="P60" i="35"/>
  <c r="N74" i="35"/>
  <c r="AF49" i="35"/>
  <c r="K125" i="35"/>
  <c r="AC72" i="35"/>
  <c r="N137" i="35"/>
  <c r="AF76" i="35"/>
  <c r="P184" i="35"/>
  <c r="V106" i="35"/>
  <c r="AH106" i="35" s="1"/>
  <c r="AA20" i="35"/>
  <c r="V40" i="35"/>
  <c r="AH40" i="35" s="1"/>
  <c r="P48" i="35"/>
  <c r="V49" i="35"/>
  <c r="P70" i="35"/>
  <c r="D74" i="35"/>
  <c r="Z52" i="35"/>
  <c r="L125" i="35"/>
  <c r="AD72" i="35"/>
  <c r="AE80" i="35"/>
  <c r="M143" i="35"/>
  <c r="X89" i="35"/>
  <c r="P170" i="35"/>
  <c r="V92" i="35"/>
  <c r="AH92" i="35" s="1"/>
  <c r="P173" i="35"/>
  <c r="V95" i="35"/>
  <c r="AH95" i="35" s="1"/>
  <c r="P211" i="35"/>
  <c r="V123" i="35"/>
  <c r="AH123" i="35" s="1"/>
  <c r="W20" i="35"/>
  <c r="I87" i="35"/>
  <c r="AA52" i="35"/>
  <c r="V55" i="35"/>
  <c r="AH55" i="35" s="1"/>
  <c r="P82" i="35"/>
  <c r="O125" i="35"/>
  <c r="AG72" i="35"/>
  <c r="J137" i="35"/>
  <c r="AB76" i="35"/>
  <c r="J164" i="35"/>
  <c r="X10" i="35"/>
  <c r="F23" i="35"/>
  <c r="AC20" i="35"/>
  <c r="P54" i="35"/>
  <c r="V43" i="35"/>
  <c r="AH43" i="35" s="1"/>
  <c r="E74" i="35"/>
  <c r="W49" i="35"/>
  <c r="D117" i="35"/>
  <c r="V69" i="35"/>
  <c r="P113" i="35"/>
  <c r="AF72" i="35"/>
  <c r="N125" i="35"/>
  <c r="M137" i="35"/>
  <c r="AE76" i="35"/>
  <c r="L143" i="35"/>
  <c r="AD80" i="35"/>
  <c r="M153" i="35"/>
  <c r="AE82" i="35"/>
  <c r="P151" i="35"/>
  <c r="V87" i="35"/>
  <c r="AH87" i="35" s="1"/>
  <c r="P204" i="35"/>
  <c r="V116" i="35"/>
  <c r="AH116" i="35" s="1"/>
  <c r="K117" i="35"/>
  <c r="AC69" i="35"/>
  <c r="E125" i="35"/>
  <c r="W72" i="35"/>
  <c r="G137" i="35"/>
  <c r="Y76" i="35"/>
  <c r="E143" i="35"/>
  <c r="W80" i="35"/>
  <c r="K164" i="35"/>
  <c r="AF89" i="35"/>
  <c r="V93" i="35"/>
  <c r="AH93" i="35" s="1"/>
  <c r="P171" i="35"/>
  <c r="K153" i="35"/>
  <c r="AC82" i="35"/>
  <c r="P149" i="35"/>
  <c r="V85" i="35"/>
  <c r="AH85" i="35" s="1"/>
  <c r="P162" i="35"/>
  <c r="V88" i="35"/>
  <c r="AH88" i="35" s="1"/>
  <c r="AA89" i="35"/>
  <c r="V115" i="35"/>
  <c r="AH115" i="35" s="1"/>
  <c r="P193" i="35"/>
  <c r="P206" i="35"/>
  <c r="V118" i="35"/>
  <c r="AH118" i="35" s="1"/>
  <c r="P210" i="35"/>
  <c r="AH122" i="35"/>
  <c r="P215" i="31"/>
  <c r="P214" i="31"/>
  <c r="B152" i="31"/>
  <c r="B142" i="31"/>
  <c r="AG124" i="31"/>
  <c r="AF124" i="31"/>
  <c r="AE124" i="31"/>
  <c r="AD124" i="31"/>
  <c r="AC124" i="31"/>
  <c r="AB124" i="31"/>
  <c r="AA124" i="31"/>
  <c r="Z124" i="31"/>
  <c r="Y124" i="31"/>
  <c r="X124" i="31"/>
  <c r="W124" i="31"/>
  <c r="V124" i="31"/>
  <c r="T124" i="31"/>
  <c r="U124" i="31" s="1"/>
  <c r="AG123" i="31"/>
  <c r="AF123" i="31"/>
  <c r="AE123" i="31"/>
  <c r="AD123" i="31"/>
  <c r="AC123" i="31"/>
  <c r="AB123" i="31"/>
  <c r="AA123" i="31"/>
  <c r="Z123" i="31"/>
  <c r="Y123" i="31"/>
  <c r="X123" i="31"/>
  <c r="W123" i="31"/>
  <c r="V123" i="31"/>
  <c r="T123" i="31"/>
  <c r="U123" i="31" s="1"/>
  <c r="T122" i="31"/>
  <c r="U122" i="31" s="1"/>
  <c r="T121" i="31"/>
  <c r="U121" i="31" s="1"/>
  <c r="T120" i="31"/>
  <c r="U120" i="31" s="1"/>
  <c r="T119" i="31"/>
  <c r="U119" i="31" s="1"/>
  <c r="T118" i="31"/>
  <c r="U118" i="31" s="1"/>
  <c r="T117" i="31"/>
  <c r="U117" i="31" s="1"/>
  <c r="T116" i="31"/>
  <c r="U116" i="31" s="1"/>
  <c r="T115" i="31"/>
  <c r="U115" i="31" s="1"/>
  <c r="T114" i="31"/>
  <c r="U114" i="31" s="1"/>
  <c r="T113" i="31"/>
  <c r="U113" i="31" s="1"/>
  <c r="T112" i="31"/>
  <c r="U112" i="31" s="1"/>
  <c r="T111" i="31"/>
  <c r="U111" i="31" s="1"/>
  <c r="T109" i="31"/>
  <c r="U109" i="31" s="1"/>
  <c r="T108" i="31"/>
  <c r="U108" i="31" s="1"/>
  <c r="T107" i="31"/>
  <c r="U107" i="31" s="1"/>
  <c r="T106" i="31"/>
  <c r="U106" i="31" s="1"/>
  <c r="T105" i="31"/>
  <c r="U105" i="31" s="1"/>
  <c r="T104" i="31"/>
  <c r="U104" i="31" s="1"/>
  <c r="T103" i="31"/>
  <c r="U103" i="31" s="1"/>
  <c r="T102" i="31"/>
  <c r="U102" i="31" s="1"/>
  <c r="T101" i="31"/>
  <c r="U101" i="31" s="1"/>
  <c r="T100" i="31"/>
  <c r="U100" i="31" s="1"/>
  <c r="T99" i="31"/>
  <c r="U99" i="31" s="1"/>
  <c r="T98" i="31"/>
  <c r="U98" i="31" s="1"/>
  <c r="T97" i="31"/>
  <c r="U97" i="31" s="1"/>
  <c r="T96" i="31"/>
  <c r="U96" i="31" s="1"/>
  <c r="T95" i="31"/>
  <c r="U95" i="31" s="1"/>
  <c r="T94" i="31"/>
  <c r="U94" i="31" s="1"/>
  <c r="T93" i="31"/>
  <c r="U93" i="31" s="1"/>
  <c r="T91" i="31"/>
  <c r="U91" i="31" s="1"/>
  <c r="T90" i="31"/>
  <c r="U90" i="31" s="1"/>
  <c r="T89" i="31"/>
  <c r="U89" i="31" s="1"/>
  <c r="T88" i="31"/>
  <c r="U88" i="31" s="1"/>
  <c r="T87" i="31"/>
  <c r="U87" i="31" s="1"/>
  <c r="T86" i="31"/>
  <c r="U86" i="31" s="1"/>
  <c r="T84" i="31"/>
  <c r="U84" i="31" s="1"/>
  <c r="T83" i="31"/>
  <c r="U83" i="31" s="1"/>
  <c r="T82" i="31"/>
  <c r="U82" i="31" s="1"/>
  <c r="T81" i="31"/>
  <c r="U81" i="31" s="1"/>
  <c r="T80" i="31"/>
  <c r="U80" i="31" s="1"/>
  <c r="T79" i="31"/>
  <c r="U79" i="31" s="1"/>
  <c r="T78" i="31"/>
  <c r="U78" i="31" s="1"/>
  <c r="T77" i="31"/>
  <c r="U77" i="31" s="1"/>
  <c r="T76" i="31"/>
  <c r="U76" i="31" s="1"/>
  <c r="T75" i="31"/>
  <c r="U75" i="31" s="1"/>
  <c r="T74" i="31"/>
  <c r="U74" i="31" s="1"/>
  <c r="T73" i="31"/>
  <c r="U73" i="31" s="1"/>
  <c r="T72" i="31"/>
  <c r="U72" i="31" s="1"/>
  <c r="T71" i="31"/>
  <c r="U71" i="31" s="1"/>
  <c r="T70" i="31"/>
  <c r="U70" i="31" s="1"/>
  <c r="B74" i="31"/>
  <c r="T69" i="31"/>
  <c r="U69" i="31" s="1"/>
  <c r="T68" i="31"/>
  <c r="U68" i="31" s="1"/>
  <c r="T67" i="31"/>
  <c r="U67" i="31" s="1"/>
  <c r="T66" i="31"/>
  <c r="U66" i="31" s="1"/>
  <c r="T65" i="31"/>
  <c r="U65" i="31" s="1"/>
  <c r="T64" i="31"/>
  <c r="U64" i="31" s="1"/>
  <c r="T63" i="31"/>
  <c r="U63" i="31" s="1"/>
  <c r="T62" i="31"/>
  <c r="U62" i="31" s="1"/>
  <c r="T61" i="31"/>
  <c r="U61" i="31" s="1"/>
  <c r="T60" i="31"/>
  <c r="U60" i="31" s="1"/>
  <c r="T59" i="31"/>
  <c r="U59" i="31" s="1"/>
  <c r="T58" i="31"/>
  <c r="U58" i="31" s="1"/>
  <c r="T57" i="31"/>
  <c r="U57" i="31" s="1"/>
  <c r="T56" i="31"/>
  <c r="U56" i="31" s="1"/>
  <c r="T55" i="31"/>
  <c r="U55" i="31" s="1"/>
  <c r="T54" i="31"/>
  <c r="U54" i="31" s="1"/>
  <c r="T53" i="31"/>
  <c r="U53" i="31" s="1"/>
  <c r="T52" i="31"/>
  <c r="U52" i="31" s="1"/>
  <c r="T51" i="31"/>
  <c r="U51" i="31" s="1"/>
  <c r="T50" i="31"/>
  <c r="U50" i="31" s="1"/>
  <c r="T49" i="31"/>
  <c r="U49" i="31" s="1"/>
  <c r="T48" i="31"/>
  <c r="U48" i="31" s="1"/>
  <c r="T47" i="31"/>
  <c r="U47" i="31" s="1"/>
  <c r="T46" i="31"/>
  <c r="U46" i="31" s="1"/>
  <c r="T45" i="31"/>
  <c r="U45" i="31" s="1"/>
  <c r="T44" i="31"/>
  <c r="U44" i="31" s="1"/>
  <c r="T43" i="31"/>
  <c r="U43" i="31" s="1"/>
  <c r="T42" i="31"/>
  <c r="U42" i="31" s="1"/>
  <c r="T41" i="31"/>
  <c r="U41" i="31" s="1"/>
  <c r="T40" i="31"/>
  <c r="U40" i="31" s="1"/>
  <c r="T39" i="31"/>
  <c r="U39" i="31" s="1"/>
  <c r="T38" i="31"/>
  <c r="U38" i="31" s="1"/>
  <c r="T37" i="31"/>
  <c r="U37" i="31" s="1"/>
  <c r="T36" i="31"/>
  <c r="U36" i="31" s="1"/>
  <c r="T35" i="31"/>
  <c r="U35" i="31" s="1"/>
  <c r="T34" i="31"/>
  <c r="U34" i="31" s="1"/>
  <c r="T33" i="31"/>
  <c r="U33" i="31" s="1"/>
  <c r="T32" i="31"/>
  <c r="U32" i="31" s="1"/>
  <c r="T31" i="31"/>
  <c r="U31" i="31" s="1"/>
  <c r="T30" i="31"/>
  <c r="U30" i="31" s="1"/>
  <c r="T29" i="31"/>
  <c r="U29" i="31" s="1"/>
  <c r="T28" i="31"/>
  <c r="U28" i="31" s="1"/>
  <c r="T27" i="31"/>
  <c r="U27" i="31" s="1"/>
  <c r="T26" i="31"/>
  <c r="U26" i="31" s="1"/>
  <c r="T25" i="31"/>
  <c r="U25" i="31" s="1"/>
  <c r="T24" i="31"/>
  <c r="U24" i="31" s="1"/>
  <c r="T23" i="31"/>
  <c r="U23" i="31" s="1"/>
  <c r="T22" i="31"/>
  <c r="U22" i="31" s="1"/>
  <c r="T21" i="31"/>
  <c r="U21" i="31" s="1"/>
  <c r="T20" i="31"/>
  <c r="U20" i="31" s="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T18" i="31"/>
  <c r="U18" i="31" s="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T15" i="31"/>
  <c r="U15" i="31" s="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T14" i="31"/>
  <c r="U14" i="31" s="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T12" i="31"/>
  <c r="U12" i="31" s="1"/>
  <c r="B23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T11" i="31"/>
  <c r="U11" i="31" s="1"/>
  <c r="U10" i="31"/>
  <c r="AG9" i="31"/>
  <c r="AF9" i="31"/>
  <c r="AE9" i="31"/>
  <c r="AD9" i="31"/>
  <c r="AC9" i="31"/>
  <c r="AB9" i="31"/>
  <c r="AA9" i="31"/>
  <c r="Z9" i="31"/>
  <c r="Y9" i="31"/>
  <c r="X9" i="31"/>
  <c r="W9" i="31"/>
  <c r="V9" i="31"/>
  <c r="P8" i="31"/>
  <c r="N75" i="35" l="1"/>
  <c r="J195" i="35"/>
  <c r="L88" i="35"/>
  <c r="E75" i="35"/>
  <c r="D195" i="35"/>
  <c r="O75" i="35"/>
  <c r="K75" i="35"/>
  <c r="G88" i="35"/>
  <c r="K195" i="35"/>
  <c r="G195" i="35"/>
  <c r="AH73" i="35"/>
  <c r="D75" i="35"/>
  <c r="I88" i="35"/>
  <c r="N88" i="35"/>
  <c r="F75" i="35"/>
  <c r="H88" i="35"/>
  <c r="I195" i="35"/>
  <c r="N195" i="35"/>
  <c r="H195" i="35"/>
  <c r="M195" i="35"/>
  <c r="E195" i="35"/>
  <c r="P178" i="35"/>
  <c r="O195" i="35"/>
  <c r="F195" i="35"/>
  <c r="AH100" i="35"/>
  <c r="L195" i="35"/>
  <c r="L102" i="35"/>
  <c r="L110" i="35" s="1"/>
  <c r="P107" i="35"/>
  <c r="P106" i="35"/>
  <c r="V64" i="35"/>
  <c r="AH64" i="35" s="1"/>
  <c r="M102" i="35"/>
  <c r="M110" i="35" s="1"/>
  <c r="V68" i="35"/>
  <c r="AH68" i="35" s="1"/>
  <c r="G102" i="35"/>
  <c r="G110" i="35" s="1"/>
  <c r="B75" i="31"/>
  <c r="K102" i="35"/>
  <c r="K110" i="35" s="1"/>
  <c r="I102" i="35"/>
  <c r="AA63" i="35" s="1"/>
  <c r="H155" i="35"/>
  <c r="H156" i="35" s="1"/>
  <c r="O155" i="35"/>
  <c r="O156" i="35" s="1"/>
  <c r="J155" i="35"/>
  <c r="J156" i="35" s="1"/>
  <c r="N155" i="35"/>
  <c r="N156" i="35" s="1"/>
  <c r="P117" i="35"/>
  <c r="L155" i="35"/>
  <c r="L156" i="35" s="1"/>
  <c r="J102" i="35"/>
  <c r="AB63" i="35" s="1"/>
  <c r="F102" i="35"/>
  <c r="F110" i="35" s="1"/>
  <c r="E102" i="35"/>
  <c r="W63" i="35" s="1"/>
  <c r="P87" i="35"/>
  <c r="P88" i="35" s="1"/>
  <c r="F155" i="35"/>
  <c r="F156" i="35" s="1"/>
  <c r="H75" i="35"/>
  <c r="L75" i="35"/>
  <c r="G155" i="35"/>
  <c r="G156" i="35" s="1"/>
  <c r="D102" i="35"/>
  <c r="V63" i="35" s="1"/>
  <c r="N102" i="35"/>
  <c r="N110" i="35" s="1"/>
  <c r="E88" i="35"/>
  <c r="P153" i="35"/>
  <c r="I155" i="35"/>
  <c r="I156" i="35" s="1"/>
  <c r="H102" i="35"/>
  <c r="AH65" i="35"/>
  <c r="M54" i="31"/>
  <c r="AE43" i="31" s="1"/>
  <c r="H59" i="31"/>
  <c r="L59" i="31"/>
  <c r="E60" i="31"/>
  <c r="I60" i="31"/>
  <c r="M60" i="31"/>
  <c r="D60" i="31"/>
  <c r="D29" i="31"/>
  <c r="D41" i="31"/>
  <c r="D45" i="31"/>
  <c r="D50" i="31"/>
  <c r="H28" i="31"/>
  <c r="L28" i="31"/>
  <c r="E29" i="31"/>
  <c r="I29" i="31"/>
  <c r="M29" i="31"/>
  <c r="F38" i="31"/>
  <c r="J38" i="31"/>
  <c r="N38" i="31"/>
  <c r="G39" i="31"/>
  <c r="K39" i="31"/>
  <c r="O39" i="31"/>
  <c r="H40" i="31"/>
  <c r="L40" i="31"/>
  <c r="E41" i="31"/>
  <c r="I41" i="31"/>
  <c r="M41" i="31"/>
  <c r="F42" i="31"/>
  <c r="J42" i="31"/>
  <c r="N42" i="31"/>
  <c r="G43" i="31"/>
  <c r="K43" i="31"/>
  <c r="O43" i="31"/>
  <c r="H44" i="31"/>
  <c r="L44" i="31"/>
  <c r="E45" i="31"/>
  <c r="I45" i="31"/>
  <c r="M45" i="31"/>
  <c r="F46" i="31"/>
  <c r="J46" i="31"/>
  <c r="N46" i="31"/>
  <c r="G47" i="31"/>
  <c r="K47" i="31"/>
  <c r="O47" i="31"/>
  <c r="H48" i="31"/>
  <c r="L48" i="31"/>
  <c r="E49" i="31"/>
  <c r="I49" i="31"/>
  <c r="M49" i="31"/>
  <c r="F50" i="31"/>
  <c r="J50" i="31"/>
  <c r="N50" i="31"/>
  <c r="D97" i="31"/>
  <c r="G97" i="31"/>
  <c r="K97" i="31"/>
  <c r="O97" i="31"/>
  <c r="F59" i="31"/>
  <c r="J59" i="31"/>
  <c r="N59" i="31"/>
  <c r="K60" i="31"/>
  <c r="O60" i="31"/>
  <c r="D43" i="31"/>
  <c r="E59" i="31"/>
  <c r="I59" i="31"/>
  <c r="M59" i="31"/>
  <c r="F60" i="31"/>
  <c r="J60" i="31"/>
  <c r="N60" i="31"/>
  <c r="D48" i="31"/>
  <c r="D38" i="31"/>
  <c r="D42" i="31"/>
  <c r="D46" i="31"/>
  <c r="E28" i="31"/>
  <c r="I28" i="31"/>
  <c r="AA20" i="31" s="1"/>
  <c r="M28" i="31"/>
  <c r="F29" i="31"/>
  <c r="J29" i="31"/>
  <c r="N29" i="31"/>
  <c r="G38" i="31"/>
  <c r="K38" i="31"/>
  <c r="O38" i="31"/>
  <c r="H39" i="31"/>
  <c r="L39" i="31"/>
  <c r="E40" i="31"/>
  <c r="I40" i="31"/>
  <c r="M40" i="31"/>
  <c r="F41" i="31"/>
  <c r="J41" i="31"/>
  <c r="N41" i="31"/>
  <c r="G42" i="31"/>
  <c r="K42" i="31"/>
  <c r="O42" i="31"/>
  <c r="H43" i="31"/>
  <c r="L43" i="31"/>
  <c r="E44" i="31"/>
  <c r="I44" i="31"/>
  <c r="M44" i="31"/>
  <c r="F45" i="31"/>
  <c r="J45" i="31"/>
  <c r="N45" i="31"/>
  <c r="G46" i="31"/>
  <c r="K46" i="31"/>
  <c r="O46" i="31"/>
  <c r="H47" i="31"/>
  <c r="L47" i="31"/>
  <c r="E48" i="31"/>
  <c r="I48" i="31"/>
  <c r="M48" i="31"/>
  <c r="F49" i="31"/>
  <c r="J49" i="31"/>
  <c r="N49" i="31"/>
  <c r="G50" i="31"/>
  <c r="K50" i="31"/>
  <c r="O50" i="31"/>
  <c r="H97" i="31"/>
  <c r="L97" i="31"/>
  <c r="G60" i="31"/>
  <c r="D39" i="31"/>
  <c r="H60" i="31"/>
  <c r="D28" i="31"/>
  <c r="D47" i="31"/>
  <c r="J28" i="31"/>
  <c r="G29" i="31"/>
  <c r="O29" i="31"/>
  <c r="L38" i="31"/>
  <c r="I39" i="31"/>
  <c r="F40" i="31"/>
  <c r="N40" i="31"/>
  <c r="K41" i="31"/>
  <c r="H42" i="31"/>
  <c r="E43" i="31"/>
  <c r="M43" i="31"/>
  <c r="J44" i="31"/>
  <c r="G45" i="31"/>
  <c r="O45" i="31"/>
  <c r="L46" i="31"/>
  <c r="I47" i="31"/>
  <c r="F48" i="31"/>
  <c r="N48" i="31"/>
  <c r="K49" i="31"/>
  <c r="H50" i="31"/>
  <c r="I97" i="31"/>
  <c r="G59" i="31"/>
  <c r="L60" i="31"/>
  <c r="D49" i="31"/>
  <c r="K28" i="31"/>
  <c r="H29" i="31"/>
  <c r="E38" i="31"/>
  <c r="M38" i="31"/>
  <c r="J39" i="31"/>
  <c r="G40" i="31"/>
  <c r="O40" i="31"/>
  <c r="L41" i="31"/>
  <c r="I42" i="31"/>
  <c r="F43" i="31"/>
  <c r="N43" i="31"/>
  <c r="K44" i="31"/>
  <c r="H45" i="31"/>
  <c r="E46" i="31"/>
  <c r="M46" i="31"/>
  <c r="J47" i="31"/>
  <c r="G48" i="31"/>
  <c r="O48" i="31"/>
  <c r="L49" i="31"/>
  <c r="I50" i="31"/>
  <c r="J97" i="31"/>
  <c r="K59" i="31"/>
  <c r="D59" i="31"/>
  <c r="D40" i="31"/>
  <c r="F28" i="31"/>
  <c r="N28" i="31"/>
  <c r="K29" i="31"/>
  <c r="H38" i="31"/>
  <c r="E39" i="31"/>
  <c r="M39" i="31"/>
  <c r="J40" i="31"/>
  <c r="G41" i="31"/>
  <c r="O41" i="31"/>
  <c r="L42" i="31"/>
  <c r="I43" i="31"/>
  <c r="F44" i="31"/>
  <c r="N44" i="31"/>
  <c r="K45" i="31"/>
  <c r="H46" i="31"/>
  <c r="E47" i="31"/>
  <c r="M47" i="31"/>
  <c r="J48" i="31"/>
  <c r="G49" i="31"/>
  <c r="O49" i="31"/>
  <c r="L50" i="31"/>
  <c r="E97" i="31"/>
  <c r="M97" i="31"/>
  <c r="O59" i="31"/>
  <c r="D44" i="31"/>
  <c r="G28" i="31"/>
  <c r="O28" i="31"/>
  <c r="L29" i="31"/>
  <c r="I38" i="31"/>
  <c r="F39" i="31"/>
  <c r="N39" i="31"/>
  <c r="K40" i="31"/>
  <c r="H41" i="31"/>
  <c r="E42" i="31"/>
  <c r="J43" i="31"/>
  <c r="G44" i="31"/>
  <c r="O44" i="31"/>
  <c r="I46" i="31"/>
  <c r="F47" i="31"/>
  <c r="K48" i="31"/>
  <c r="H49" i="31"/>
  <c r="M50" i="31"/>
  <c r="F97" i="31"/>
  <c r="N97" i="31"/>
  <c r="M42" i="31"/>
  <c r="L45" i="31"/>
  <c r="N47" i="31"/>
  <c r="E50" i="31"/>
  <c r="O102" i="35"/>
  <c r="O110" i="35" s="1"/>
  <c r="P108" i="35"/>
  <c r="P195" i="35"/>
  <c r="M155" i="35"/>
  <c r="M156" i="35" s="1"/>
  <c r="AH69" i="35"/>
  <c r="P74" i="35"/>
  <c r="P75" i="35" s="1"/>
  <c r="AH82" i="35"/>
  <c r="AH52" i="35"/>
  <c r="AH80" i="35"/>
  <c r="F88" i="35"/>
  <c r="AH49" i="35"/>
  <c r="K155" i="35"/>
  <c r="K156" i="35" s="1"/>
  <c r="O88" i="35"/>
  <c r="M88" i="35"/>
  <c r="P137" i="35"/>
  <c r="D88" i="35"/>
  <c r="P143" i="35"/>
  <c r="AH72" i="35"/>
  <c r="J75" i="35"/>
  <c r="K88" i="35"/>
  <c r="AH10" i="35"/>
  <c r="P164" i="35"/>
  <c r="E155" i="35"/>
  <c r="E156" i="35" s="1"/>
  <c r="AH76" i="35"/>
  <c r="P125" i="35"/>
  <c r="J88" i="35"/>
  <c r="I75" i="35"/>
  <c r="AH89" i="35"/>
  <c r="D155" i="35"/>
  <c r="D156" i="35" s="1"/>
  <c r="AH20" i="35"/>
  <c r="M75" i="35"/>
  <c r="G75" i="35"/>
  <c r="F106" i="31"/>
  <c r="H83" i="31"/>
  <c r="L112" i="31"/>
  <c r="M71" i="31"/>
  <c r="I54" i="31"/>
  <c r="AA43" i="31" s="1"/>
  <c r="H114" i="31"/>
  <c r="K85" i="31"/>
  <c r="O82" i="31"/>
  <c r="O80" i="31"/>
  <c r="I72" i="31"/>
  <c r="E71" i="31"/>
  <c r="E54" i="31"/>
  <c r="W43" i="31" s="1"/>
  <c r="D119" i="31"/>
  <c r="D12" i="31"/>
  <c r="D23" i="31" s="1"/>
  <c r="M78" i="31"/>
  <c r="H12" i="31"/>
  <c r="H23" i="31" s="1"/>
  <c r="AH12" i="31"/>
  <c r="L12" i="31"/>
  <c r="L23" i="31" s="1"/>
  <c r="F79" i="31"/>
  <c r="O81" i="31"/>
  <c r="AH19" i="31"/>
  <c r="I70" i="31"/>
  <c r="E78" i="31"/>
  <c r="N113" i="31"/>
  <c r="AH11" i="31"/>
  <c r="O12" i="31"/>
  <c r="O23" i="31" s="1"/>
  <c r="J12" i="31"/>
  <c r="J23" i="31" s="1"/>
  <c r="AH13" i="31"/>
  <c r="AH15" i="31"/>
  <c r="AH16" i="31"/>
  <c r="AH18" i="31"/>
  <c r="K80" i="31"/>
  <c r="AH124" i="31"/>
  <c r="F12" i="31"/>
  <c r="F23" i="31" s="1"/>
  <c r="N12" i="31"/>
  <c r="N23" i="31" s="1"/>
  <c r="AH14" i="31"/>
  <c r="AH17" i="31"/>
  <c r="H103" i="31"/>
  <c r="O105" i="31"/>
  <c r="AH123" i="31"/>
  <c r="N79" i="31"/>
  <c r="G80" i="31"/>
  <c r="G81" i="31"/>
  <c r="G82" i="31"/>
  <c r="J84" i="31"/>
  <c r="N85" i="31"/>
  <c r="J85" i="31"/>
  <c r="F85" i="31"/>
  <c r="L85" i="31"/>
  <c r="H85" i="31"/>
  <c r="D85" i="31"/>
  <c r="M85" i="31"/>
  <c r="E85" i="31"/>
  <c r="I85" i="31"/>
  <c r="K103" i="31"/>
  <c r="M104" i="31"/>
  <c r="M105" i="31"/>
  <c r="G112" i="31"/>
  <c r="H113" i="31"/>
  <c r="D120" i="31"/>
  <c r="L121" i="31"/>
  <c r="E12" i="31"/>
  <c r="E23" i="31" s="1"/>
  <c r="I12" i="31"/>
  <c r="I23" i="31" s="1"/>
  <c r="M12" i="31"/>
  <c r="M23" i="31" s="1"/>
  <c r="G54" i="31"/>
  <c r="Y43" i="31" s="1"/>
  <c r="O54" i="31"/>
  <c r="AG43" i="31" s="1"/>
  <c r="M70" i="31"/>
  <c r="I71" i="31"/>
  <c r="E72" i="31"/>
  <c r="I78" i="31"/>
  <c r="O79" i="31"/>
  <c r="K81" i="31"/>
  <c r="K82" i="31"/>
  <c r="D83" i="31"/>
  <c r="N84" i="31"/>
  <c r="G85" i="31"/>
  <c r="N106" i="31"/>
  <c r="K106" i="31"/>
  <c r="O209" i="31"/>
  <c r="AG122" i="31" s="1"/>
  <c r="K209" i="31"/>
  <c r="AC122" i="31" s="1"/>
  <c r="G209" i="31"/>
  <c r="Y122" i="31" s="1"/>
  <c r="N208" i="31"/>
  <c r="AF121" i="31" s="1"/>
  <c r="J208" i="31"/>
  <c r="AB121" i="31" s="1"/>
  <c r="F208" i="31"/>
  <c r="X121" i="31" s="1"/>
  <c r="M207" i="31"/>
  <c r="AE120" i="31" s="1"/>
  <c r="I207" i="31"/>
  <c r="AA120" i="31" s="1"/>
  <c r="E207" i="31"/>
  <c r="W120" i="31" s="1"/>
  <c r="L206" i="31"/>
  <c r="AD119" i="31" s="1"/>
  <c r="H206" i="31"/>
  <c r="Z119" i="31" s="1"/>
  <c r="D206" i="31"/>
  <c r="O205" i="31"/>
  <c r="AG118" i="31" s="1"/>
  <c r="K205" i="31"/>
  <c r="AC118" i="31" s="1"/>
  <c r="G205" i="31"/>
  <c r="Y118" i="31" s="1"/>
  <c r="N203" i="31"/>
  <c r="AF116" i="31" s="1"/>
  <c r="J203" i="31"/>
  <c r="AB116" i="31" s="1"/>
  <c r="F203" i="31"/>
  <c r="X116" i="31" s="1"/>
  <c r="M202" i="31"/>
  <c r="AE115" i="31" s="1"/>
  <c r="I202" i="31"/>
  <c r="AA115" i="31" s="1"/>
  <c r="E202" i="31"/>
  <c r="W115" i="31" s="1"/>
  <c r="M209" i="31"/>
  <c r="AE122" i="31" s="1"/>
  <c r="I209" i="31"/>
  <c r="AA122" i="31" s="1"/>
  <c r="E209" i="31"/>
  <c r="W122" i="31" s="1"/>
  <c r="L208" i="31"/>
  <c r="AD121" i="31" s="1"/>
  <c r="H208" i="31"/>
  <c r="Z121" i="31" s="1"/>
  <c r="D208" i="31"/>
  <c r="O207" i="31"/>
  <c r="AG120" i="31" s="1"/>
  <c r="K207" i="31"/>
  <c r="AC120" i="31" s="1"/>
  <c r="G207" i="31"/>
  <c r="Y120" i="31" s="1"/>
  <c r="N206" i="31"/>
  <c r="AF119" i="31" s="1"/>
  <c r="J206" i="31"/>
  <c r="AB119" i="31" s="1"/>
  <c r="F206" i="31"/>
  <c r="X119" i="31" s="1"/>
  <c r="M205" i="31"/>
  <c r="AE118" i="31" s="1"/>
  <c r="I205" i="31"/>
  <c r="AA118" i="31" s="1"/>
  <c r="E205" i="31"/>
  <c r="W118" i="31" s="1"/>
  <c r="L203" i="31"/>
  <c r="AD116" i="31" s="1"/>
  <c r="H203" i="31"/>
  <c r="Z116" i="31" s="1"/>
  <c r="D203" i="31"/>
  <c r="O202" i="31"/>
  <c r="AG115" i="31" s="1"/>
  <c r="K202" i="31"/>
  <c r="AC115" i="31" s="1"/>
  <c r="G202" i="31"/>
  <c r="Y115" i="31" s="1"/>
  <c r="L189" i="31"/>
  <c r="H189" i="31"/>
  <c r="D189" i="31"/>
  <c r="O187" i="31"/>
  <c r="K187" i="31"/>
  <c r="G187" i="31"/>
  <c r="L209" i="31"/>
  <c r="AD122" i="31" s="1"/>
  <c r="D209" i="31"/>
  <c r="K208" i="31"/>
  <c r="AC121" i="31" s="1"/>
  <c r="J207" i="31"/>
  <c r="AB120" i="31" s="1"/>
  <c r="I206" i="31"/>
  <c r="AA119" i="31" s="1"/>
  <c r="H205" i="31"/>
  <c r="Z118" i="31" s="1"/>
  <c r="O203" i="31"/>
  <c r="AG116" i="31" s="1"/>
  <c r="G203" i="31"/>
  <c r="Y116" i="31" s="1"/>
  <c r="N202" i="31"/>
  <c r="AF115" i="31" s="1"/>
  <c r="F202" i="31"/>
  <c r="X115" i="31" s="1"/>
  <c r="K189" i="31"/>
  <c r="F189" i="31"/>
  <c r="J188" i="31"/>
  <c r="E188" i="31"/>
  <c r="L187" i="31"/>
  <c r="F187" i="31"/>
  <c r="L178" i="31"/>
  <c r="H178" i="31"/>
  <c r="D178" i="31"/>
  <c r="H209" i="31"/>
  <c r="Z122" i="31" s="1"/>
  <c r="M208" i="31"/>
  <c r="AE121" i="31" s="1"/>
  <c r="F207" i="31"/>
  <c r="X120" i="31" s="1"/>
  <c r="K206" i="31"/>
  <c r="AC119" i="31" s="1"/>
  <c r="N205" i="31"/>
  <c r="AF118" i="31" s="1"/>
  <c r="D205" i="31"/>
  <c r="M203" i="31"/>
  <c r="AE116" i="31" s="1"/>
  <c r="H202" i="31"/>
  <c r="Z115" i="31" s="1"/>
  <c r="J189" i="31"/>
  <c r="L188" i="31"/>
  <c r="D188" i="31"/>
  <c r="N187" i="31"/>
  <c r="H187" i="31"/>
  <c r="K178" i="31"/>
  <c r="F178" i="31"/>
  <c r="J177" i="31"/>
  <c r="E177" i="31"/>
  <c r="O175" i="31"/>
  <c r="K175" i="31"/>
  <c r="G175" i="31"/>
  <c r="N173" i="31"/>
  <c r="J173" i="31"/>
  <c r="F173" i="31"/>
  <c r="M171" i="31"/>
  <c r="I171" i="31"/>
  <c r="E171" i="31"/>
  <c r="F209" i="31"/>
  <c r="X122" i="31" s="1"/>
  <c r="I208" i="31"/>
  <c r="AA121" i="31" s="1"/>
  <c r="N207" i="31"/>
  <c r="AF120" i="31" s="1"/>
  <c r="D207" i="31"/>
  <c r="G206" i="31"/>
  <c r="Y119" i="31" s="1"/>
  <c r="L205" i="31"/>
  <c r="AD118" i="31" s="1"/>
  <c r="K203" i="31"/>
  <c r="AC116" i="31" s="1"/>
  <c r="D202" i="31"/>
  <c r="O189" i="31"/>
  <c r="I189" i="31"/>
  <c r="I188" i="31"/>
  <c r="M187" i="31"/>
  <c r="E187" i="31"/>
  <c r="O178" i="31"/>
  <c r="J178" i="31"/>
  <c r="E178" i="31"/>
  <c r="N177" i="31"/>
  <c r="I177" i="31"/>
  <c r="D177" i="31"/>
  <c r="N175" i="31"/>
  <c r="J175" i="31"/>
  <c r="F175" i="31"/>
  <c r="M173" i="31"/>
  <c r="I173" i="31"/>
  <c r="E173" i="31"/>
  <c r="L171" i="31"/>
  <c r="H171" i="31"/>
  <c r="D171" i="31"/>
  <c r="O170" i="31"/>
  <c r="K170" i="31"/>
  <c r="G170" i="31"/>
  <c r="N169" i="31"/>
  <c r="J169" i="31"/>
  <c r="F169" i="31"/>
  <c r="M168" i="31"/>
  <c r="I168" i="31"/>
  <c r="E168" i="31"/>
  <c r="L167" i="31"/>
  <c r="H167" i="31"/>
  <c r="D167" i="31"/>
  <c r="O166" i="31"/>
  <c r="K166" i="31"/>
  <c r="G166" i="31"/>
  <c r="N209" i="31"/>
  <c r="AF122" i="31" s="1"/>
  <c r="G208" i="31"/>
  <c r="Y121" i="31" s="1"/>
  <c r="O206" i="31"/>
  <c r="AG119" i="31" s="1"/>
  <c r="J205" i="31"/>
  <c r="AB118" i="31" s="1"/>
  <c r="L202" i="31"/>
  <c r="AD115" i="31" s="1"/>
  <c r="N189" i="31"/>
  <c r="N188" i="31"/>
  <c r="I187" i="31"/>
  <c r="G178" i="31"/>
  <c r="L177" i="31"/>
  <c r="H176" i="31"/>
  <c r="I175" i="31"/>
  <c r="H173" i="31"/>
  <c r="O171" i="31"/>
  <c r="G171" i="31"/>
  <c r="J170" i="31"/>
  <c r="E170" i="31"/>
  <c r="O169" i="31"/>
  <c r="I169" i="31"/>
  <c r="D169" i="31"/>
  <c r="N168" i="31"/>
  <c r="H168" i="31"/>
  <c r="M167" i="31"/>
  <c r="G167" i="31"/>
  <c r="L166" i="31"/>
  <c r="F166" i="31"/>
  <c r="L161" i="31"/>
  <c r="H161" i="31"/>
  <c r="Z88" i="31" s="1"/>
  <c r="D161" i="31"/>
  <c r="N160" i="31"/>
  <c r="J160" i="31"/>
  <c r="F160" i="31"/>
  <c r="M150" i="31"/>
  <c r="I150" i="31"/>
  <c r="E150" i="31"/>
  <c r="J209" i="31"/>
  <c r="AB122" i="31" s="1"/>
  <c r="L207" i="31"/>
  <c r="AD120" i="31" s="1"/>
  <c r="J202" i="31"/>
  <c r="AB115" i="31" s="1"/>
  <c r="M188" i="31"/>
  <c r="I179" i="31"/>
  <c r="M178" i="31"/>
  <c r="M177" i="31"/>
  <c r="N176" i="31"/>
  <c r="D176" i="31"/>
  <c r="L175" i="31"/>
  <c r="K173" i="31"/>
  <c r="J171" i="31"/>
  <c r="N170" i="31"/>
  <c r="H170" i="31"/>
  <c r="H169" i="31"/>
  <c r="J168" i="31"/>
  <c r="J167" i="31"/>
  <c r="J166" i="31"/>
  <c r="D166" i="31"/>
  <c r="N161" i="31"/>
  <c r="I161" i="31"/>
  <c r="L160" i="31"/>
  <c r="G160" i="31"/>
  <c r="K150" i="31"/>
  <c r="F150" i="31"/>
  <c r="L149" i="31"/>
  <c r="H149" i="31"/>
  <c r="D149" i="31"/>
  <c r="O148" i="31"/>
  <c r="K148" i="31"/>
  <c r="G148" i="31"/>
  <c r="N147" i="31"/>
  <c r="J147" i="31"/>
  <c r="F147" i="31"/>
  <c r="M146" i="31"/>
  <c r="I146" i="31"/>
  <c r="E146" i="31"/>
  <c r="L145" i="31"/>
  <c r="H145" i="31"/>
  <c r="D145" i="31"/>
  <c r="O140" i="31"/>
  <c r="K140" i="31"/>
  <c r="G140" i="31"/>
  <c r="N139" i="31"/>
  <c r="J139" i="31"/>
  <c r="F139" i="31"/>
  <c r="M134" i="31"/>
  <c r="I134" i="31"/>
  <c r="E134" i="31"/>
  <c r="L133" i="31"/>
  <c r="H133" i="31"/>
  <c r="D133" i="31"/>
  <c r="O132" i="31"/>
  <c r="K132" i="31"/>
  <c r="G132" i="31"/>
  <c r="H207" i="31"/>
  <c r="Z120" i="31" s="1"/>
  <c r="F205" i="31"/>
  <c r="X118" i="31" s="1"/>
  <c r="M189" i="31"/>
  <c r="H188" i="31"/>
  <c r="L186" i="31"/>
  <c r="I185" i="31"/>
  <c r="M184" i="31"/>
  <c r="N183" i="31"/>
  <c r="N182" i="31"/>
  <c r="G179" i="31"/>
  <c r="I178" i="31"/>
  <c r="H177" i="31"/>
  <c r="M176" i="31"/>
  <c r="H175" i="31"/>
  <c r="G173" i="31"/>
  <c r="K172" i="31"/>
  <c r="F171" i="31"/>
  <c r="M170" i="31"/>
  <c r="F170" i="31"/>
  <c r="M169" i="31"/>
  <c r="G169" i="31"/>
  <c r="O168" i="31"/>
  <c r="G168" i="31"/>
  <c r="O167" i="31"/>
  <c r="I167" i="31"/>
  <c r="I166" i="31"/>
  <c r="M161" i="31"/>
  <c r="G161" i="31"/>
  <c r="K160" i="31"/>
  <c r="E160" i="31"/>
  <c r="O150" i="31"/>
  <c r="J150" i="31"/>
  <c r="D150" i="31"/>
  <c r="O149" i="31"/>
  <c r="K149" i="31"/>
  <c r="G149" i="31"/>
  <c r="N148" i="31"/>
  <c r="J148" i="31"/>
  <c r="F148" i="31"/>
  <c r="M147" i="31"/>
  <c r="I147" i="31"/>
  <c r="E147" i="31"/>
  <c r="L146" i="31"/>
  <c r="H146" i="31"/>
  <c r="D146" i="31"/>
  <c r="O145" i="31"/>
  <c r="K145" i="31"/>
  <c r="G145" i="31"/>
  <c r="N140" i="31"/>
  <c r="J140" i="31"/>
  <c r="F140" i="31"/>
  <c r="M139" i="31"/>
  <c r="I139" i="31"/>
  <c r="E139" i="31"/>
  <c r="L134" i="31"/>
  <c r="H134" i="31"/>
  <c r="D134" i="31"/>
  <c r="O133" i="31"/>
  <c r="K133" i="31"/>
  <c r="G133" i="31"/>
  <c r="N132" i="31"/>
  <c r="J132" i="31"/>
  <c r="F132" i="31"/>
  <c r="M131" i="31"/>
  <c r="I131" i="31"/>
  <c r="E131" i="31"/>
  <c r="N122" i="31"/>
  <c r="J122" i="31"/>
  <c r="F122" i="31"/>
  <c r="N121" i="31"/>
  <c r="J121" i="31"/>
  <c r="F121" i="31"/>
  <c r="O208" i="31"/>
  <c r="AG121" i="31" s="1"/>
  <c r="M206" i="31"/>
  <c r="AE119" i="31" s="1"/>
  <c r="M204" i="31"/>
  <c r="I203" i="31"/>
  <c r="AA116" i="31" s="1"/>
  <c r="G189" i="31"/>
  <c r="F188" i="31"/>
  <c r="J187" i="31"/>
  <c r="F177" i="31"/>
  <c r="I176" i="31"/>
  <c r="E175" i="31"/>
  <c r="O173" i="31"/>
  <c r="D173" i="31"/>
  <c r="N171" i="31"/>
  <c r="L170" i="31"/>
  <c r="D170" i="31"/>
  <c r="L169" i="31"/>
  <c r="E169" i="31"/>
  <c r="L168" i="31"/>
  <c r="F168" i="31"/>
  <c r="N167" i="31"/>
  <c r="F167" i="31"/>
  <c r="N166" i="31"/>
  <c r="H166" i="31"/>
  <c r="K161" i="31"/>
  <c r="F161" i="31"/>
  <c r="O160" i="31"/>
  <c r="I160" i="31"/>
  <c r="D160" i="31"/>
  <c r="N150" i="31"/>
  <c r="H150" i="31"/>
  <c r="N149" i="31"/>
  <c r="J149" i="31"/>
  <c r="F149" i="31"/>
  <c r="M148" i="31"/>
  <c r="I148" i="31"/>
  <c r="E148" i="31"/>
  <c r="L147" i="31"/>
  <c r="H147" i="31"/>
  <c r="D147" i="31"/>
  <c r="O146" i="31"/>
  <c r="K146" i="31"/>
  <c r="G146" i="31"/>
  <c r="N145" i="31"/>
  <c r="J145" i="31"/>
  <c r="F145" i="31"/>
  <c r="M140" i="31"/>
  <c r="I140" i="31"/>
  <c r="E140" i="31"/>
  <c r="L139" i="31"/>
  <c r="H139" i="31"/>
  <c r="D139" i="31"/>
  <c r="O134" i="31"/>
  <c r="K134" i="31"/>
  <c r="G134" i="31"/>
  <c r="N133" i="31"/>
  <c r="J133" i="31"/>
  <c r="F133" i="31"/>
  <c r="M132" i="31"/>
  <c r="I132" i="31"/>
  <c r="E132" i="31"/>
  <c r="M122" i="31"/>
  <c r="I122" i="31"/>
  <c r="E122" i="31"/>
  <c r="M121" i="31"/>
  <c r="I121" i="31"/>
  <c r="E121" i="31"/>
  <c r="N119" i="31"/>
  <c r="J119" i="31"/>
  <c r="F119" i="31"/>
  <c r="E208" i="31"/>
  <c r="W121" i="31" s="1"/>
  <c r="E206" i="31"/>
  <c r="W119" i="31" s="1"/>
  <c r="K204" i="31"/>
  <c r="E203" i="31"/>
  <c r="W116" i="31" s="1"/>
  <c r="E190" i="31"/>
  <c r="E189" i="31"/>
  <c r="D187" i="31"/>
  <c r="G183" i="31"/>
  <c r="I182" i="31"/>
  <c r="N179" i="31"/>
  <c r="N178" i="31"/>
  <c r="E176" i="31"/>
  <c r="M175" i="31"/>
  <c r="D175" i="31"/>
  <c r="L173" i="31"/>
  <c r="F172" i="31"/>
  <c r="K171" i="31"/>
  <c r="I170" i="31"/>
  <c r="K169" i="31"/>
  <c r="K168" i="31"/>
  <c r="D168" i="31"/>
  <c r="K167" i="31"/>
  <c r="E167" i="31"/>
  <c r="M166" i="31"/>
  <c r="E166" i="31"/>
  <c r="O161" i="31"/>
  <c r="J161" i="31"/>
  <c r="E161" i="31"/>
  <c r="M160" i="31"/>
  <c r="M163" i="31" s="1"/>
  <c r="H160" i="31"/>
  <c r="L150" i="31"/>
  <c r="G150" i="31"/>
  <c r="M149" i="31"/>
  <c r="I149" i="31"/>
  <c r="E149" i="31"/>
  <c r="L148" i="31"/>
  <c r="H148" i="31"/>
  <c r="D148" i="31"/>
  <c r="O147" i="31"/>
  <c r="K147" i="31"/>
  <c r="G147" i="31"/>
  <c r="N146" i="31"/>
  <c r="J146" i="31"/>
  <c r="F146" i="31"/>
  <c r="M145" i="31"/>
  <c r="I145" i="31"/>
  <c r="E145" i="31"/>
  <c r="L140" i="31"/>
  <c r="H140" i="31"/>
  <c r="D140" i="31"/>
  <c r="O139" i="31"/>
  <c r="K139" i="31"/>
  <c r="K142" i="31" s="1"/>
  <c r="G139" i="31"/>
  <c r="N134" i="31"/>
  <c r="J134" i="31"/>
  <c r="F134" i="31"/>
  <c r="M133" i="31"/>
  <c r="I133" i="31"/>
  <c r="E133" i="31"/>
  <c r="L132" i="31"/>
  <c r="H132" i="31"/>
  <c r="D132" i="31"/>
  <c r="O122" i="31"/>
  <c r="G122" i="31"/>
  <c r="O121" i="31"/>
  <c r="G121" i="31"/>
  <c r="L119" i="31"/>
  <c r="G119" i="31"/>
  <c r="M114" i="31"/>
  <c r="I114" i="31"/>
  <c r="E114" i="31"/>
  <c r="H122" i="31"/>
  <c r="H121" i="31"/>
  <c r="M119" i="31"/>
  <c r="H119" i="31"/>
  <c r="K119" i="31"/>
  <c r="L114" i="31"/>
  <c r="G114" i="31"/>
  <c r="L105" i="31"/>
  <c r="F105" i="31"/>
  <c r="O84" i="31"/>
  <c r="K84" i="31"/>
  <c r="G84" i="31"/>
  <c r="L82" i="31"/>
  <c r="H82" i="31"/>
  <c r="D82" i="31"/>
  <c r="L81" i="31"/>
  <c r="H81" i="31"/>
  <c r="D81" i="31"/>
  <c r="M79" i="31"/>
  <c r="I79" i="31"/>
  <c r="E79" i="31"/>
  <c r="L72" i="31"/>
  <c r="H72" i="31"/>
  <c r="D72" i="31"/>
  <c r="L71" i="31"/>
  <c r="H71" i="31"/>
  <c r="D71" i="31"/>
  <c r="K122" i="31"/>
  <c r="K121" i="31"/>
  <c r="E119" i="31"/>
  <c r="O114" i="31"/>
  <c r="J114" i="31"/>
  <c r="D114" i="31"/>
  <c r="N105" i="31"/>
  <c r="I105" i="31"/>
  <c r="D105" i="31"/>
  <c r="M84" i="31"/>
  <c r="I84" i="31"/>
  <c r="E84" i="31"/>
  <c r="N82" i="31"/>
  <c r="J82" i="31"/>
  <c r="F82" i="31"/>
  <c r="N81" i="31"/>
  <c r="J81" i="31"/>
  <c r="F81" i="31"/>
  <c r="N72" i="31"/>
  <c r="J72" i="31"/>
  <c r="F72" i="31"/>
  <c r="N71" i="31"/>
  <c r="J71" i="31"/>
  <c r="F71" i="31"/>
  <c r="L122" i="31"/>
  <c r="F114" i="31"/>
  <c r="I112" i="31"/>
  <c r="E105" i="31"/>
  <c r="J104" i="31"/>
  <c r="H84" i="31"/>
  <c r="J83" i="31"/>
  <c r="M82" i="31"/>
  <c r="E82" i="31"/>
  <c r="M81" i="31"/>
  <c r="E81" i="31"/>
  <c r="H79" i="31"/>
  <c r="O72" i="31"/>
  <c r="G72" i="31"/>
  <c r="O71" i="31"/>
  <c r="G71" i="31"/>
  <c r="O70" i="31"/>
  <c r="G70" i="31"/>
  <c r="N54" i="31"/>
  <c r="AF43" i="31" s="1"/>
  <c r="J54" i="31"/>
  <c r="AB43" i="31" s="1"/>
  <c r="F54" i="31"/>
  <c r="X43" i="31" s="1"/>
  <c r="D121" i="31"/>
  <c r="L120" i="31"/>
  <c r="I119" i="31"/>
  <c r="K114" i="31"/>
  <c r="O112" i="31"/>
  <c r="D112" i="31"/>
  <c r="J105" i="31"/>
  <c r="O104" i="31"/>
  <c r="E104" i="31"/>
  <c r="L84" i="31"/>
  <c r="D84" i="31"/>
  <c r="N83" i="31"/>
  <c r="F83" i="31"/>
  <c r="I82" i="31"/>
  <c r="I81" i="31"/>
  <c r="L79" i="31"/>
  <c r="D79" i="31"/>
  <c r="K72" i="31"/>
  <c r="K71" i="31"/>
  <c r="L54" i="31"/>
  <c r="AD43" i="31" s="1"/>
  <c r="H54" i="31"/>
  <c r="Z43" i="31" s="1"/>
  <c r="D54" i="31"/>
  <c r="G12" i="31"/>
  <c r="G23" i="31" s="1"/>
  <c r="K12" i="31"/>
  <c r="K23" i="31" s="1"/>
  <c r="K54" i="31"/>
  <c r="AC43" i="31" s="1"/>
  <c r="E70" i="31"/>
  <c r="M72" i="31"/>
  <c r="O78" i="31"/>
  <c r="J79" i="31"/>
  <c r="L80" i="31"/>
  <c r="H80" i="31"/>
  <c r="D80" i="31"/>
  <c r="N80" i="31"/>
  <c r="J80" i="31"/>
  <c r="F80" i="31"/>
  <c r="M80" i="31"/>
  <c r="E80" i="31"/>
  <c r="I80" i="31"/>
  <c r="L83" i="31"/>
  <c r="F84" i="31"/>
  <c r="O85" i="31"/>
  <c r="F103" i="31"/>
  <c r="G104" i="31"/>
  <c r="H105" i="31"/>
  <c r="M113" i="31"/>
  <c r="I113" i="31"/>
  <c r="E113" i="31"/>
  <c r="L113" i="31"/>
  <c r="G113" i="31"/>
  <c r="O113" i="31"/>
  <c r="J113" i="31"/>
  <c r="D113" i="31"/>
  <c r="F113" i="31"/>
  <c r="K113" i="31"/>
  <c r="N114" i="31"/>
  <c r="O119" i="31"/>
  <c r="D122" i="31"/>
  <c r="L70" i="31"/>
  <c r="H70" i="31"/>
  <c r="D70" i="31"/>
  <c r="N70" i="31"/>
  <c r="J70" i="31"/>
  <c r="F70" i="31"/>
  <c r="K70" i="31"/>
  <c r="G78" i="31"/>
  <c r="N78" i="31"/>
  <c r="J78" i="31"/>
  <c r="F78" i="31"/>
  <c r="L78" i="31"/>
  <c r="H78" i="31"/>
  <c r="D78" i="31"/>
  <c r="K78" i="31"/>
  <c r="O83" i="31"/>
  <c r="B87" i="31"/>
  <c r="B88" i="31" s="1"/>
  <c r="M103" i="31"/>
  <c r="I103" i="31"/>
  <c r="E103" i="31"/>
  <c r="O103" i="31"/>
  <c r="J103" i="31"/>
  <c r="D103" i="31"/>
  <c r="L103" i="31"/>
  <c r="G103" i="31"/>
  <c r="N103" i="31"/>
  <c r="K120" i="31"/>
  <c r="G79" i="31"/>
  <c r="K79" i="31"/>
  <c r="E83" i="31"/>
  <c r="I83" i="31"/>
  <c r="M83" i="31"/>
  <c r="F104" i="31"/>
  <c r="K104" i="31"/>
  <c r="E112" i="31"/>
  <c r="K112" i="31"/>
  <c r="G83" i="31"/>
  <c r="K83" i="31"/>
  <c r="L104" i="31"/>
  <c r="H104" i="31"/>
  <c r="D104" i="31"/>
  <c r="I104" i="31"/>
  <c r="N104" i="31"/>
  <c r="B116" i="31"/>
  <c r="N112" i="31"/>
  <c r="J112" i="31"/>
  <c r="F112" i="31"/>
  <c r="H112" i="31"/>
  <c r="M112" i="31"/>
  <c r="N120" i="31"/>
  <c r="J120" i="31"/>
  <c r="F120" i="31"/>
  <c r="B124" i="31"/>
  <c r="M120" i="31"/>
  <c r="I120" i="31"/>
  <c r="E120" i="31"/>
  <c r="O120" i="31"/>
  <c r="G120" i="31"/>
  <c r="H120" i="31"/>
  <c r="N131" i="31"/>
  <c r="J172" i="31"/>
  <c r="I183" i="31"/>
  <c r="K174" i="31"/>
  <c r="N180" i="31"/>
  <c r="J190" i="31"/>
  <c r="N181" i="31"/>
  <c r="M191" i="31"/>
  <c r="G105" i="31"/>
  <c r="K105" i="31"/>
  <c r="M182" i="31"/>
  <c r="G131" i="31"/>
  <c r="K131" i="31"/>
  <c r="O131" i="31"/>
  <c r="G174" i="31"/>
  <c r="O177" i="31"/>
  <c r="M180" i="31"/>
  <c r="I181" i="31"/>
  <c r="L184" i="31"/>
  <c r="H184" i="31"/>
  <c r="D184" i="31"/>
  <c r="K184" i="31"/>
  <c r="F184" i="31"/>
  <c r="O184" i="31"/>
  <c r="J184" i="31"/>
  <c r="E184" i="31"/>
  <c r="G184" i="31"/>
  <c r="L185" i="31"/>
  <c r="H185" i="31"/>
  <c r="D185" i="31"/>
  <c r="K185" i="31"/>
  <c r="F185" i="31"/>
  <c r="O185" i="31"/>
  <c r="J185" i="31"/>
  <c r="E185" i="31"/>
  <c r="M185" i="31"/>
  <c r="N186" i="31"/>
  <c r="J186" i="31"/>
  <c r="F186" i="31"/>
  <c r="K186" i="31"/>
  <c r="E186" i="31"/>
  <c r="O186" i="31"/>
  <c r="H186" i="31"/>
  <c r="M186" i="31"/>
  <c r="G186" i="31"/>
  <c r="I186" i="31"/>
  <c r="D131" i="31"/>
  <c r="H131" i="31"/>
  <c r="L131" i="31"/>
  <c r="B136" i="31"/>
  <c r="B154" i="31" s="1"/>
  <c r="B155" i="31" s="1"/>
  <c r="L179" i="31"/>
  <c r="H179" i="31"/>
  <c r="D179" i="31"/>
  <c r="K179" i="31"/>
  <c r="F179" i="31"/>
  <c r="O179" i="31"/>
  <c r="J179" i="31"/>
  <c r="E179" i="31"/>
  <c r="M179" i="31"/>
  <c r="I184" i="31"/>
  <c r="G185" i="31"/>
  <c r="D186" i="31"/>
  <c r="N174" i="31"/>
  <c r="J174" i="31"/>
  <c r="F174" i="31"/>
  <c r="M174" i="31"/>
  <c r="I174" i="31"/>
  <c r="E174" i="31"/>
  <c r="H174" i="31"/>
  <c r="L174" i="31"/>
  <c r="L180" i="31"/>
  <c r="H180" i="31"/>
  <c r="D180" i="31"/>
  <c r="K180" i="31"/>
  <c r="F180" i="31"/>
  <c r="O180" i="31"/>
  <c r="J180" i="31"/>
  <c r="E180" i="31"/>
  <c r="G180" i="31"/>
  <c r="L181" i="31"/>
  <c r="H181" i="31"/>
  <c r="D181" i="31"/>
  <c r="K181" i="31"/>
  <c r="F181" i="31"/>
  <c r="O181" i="31"/>
  <c r="J181" i="31"/>
  <c r="E181" i="31"/>
  <c r="M181" i="31"/>
  <c r="N191" i="31"/>
  <c r="J191" i="31"/>
  <c r="F191" i="31"/>
  <c r="L191" i="31"/>
  <c r="H191" i="31"/>
  <c r="D191" i="31"/>
  <c r="I191" i="31"/>
  <c r="K191" i="31"/>
  <c r="G191" i="31"/>
  <c r="O191" i="31"/>
  <c r="F131" i="31"/>
  <c r="J131" i="31"/>
  <c r="M172" i="31"/>
  <c r="I172" i="31"/>
  <c r="E172" i="31"/>
  <c r="L172" i="31"/>
  <c r="H172" i="31"/>
  <c r="D172" i="31"/>
  <c r="O172" i="31"/>
  <c r="G172" i="31"/>
  <c r="N172" i="31"/>
  <c r="D174" i="31"/>
  <c r="O174" i="31"/>
  <c r="I180" i="31"/>
  <c r="G181" i="31"/>
  <c r="L182" i="31"/>
  <c r="H182" i="31"/>
  <c r="D182" i="31"/>
  <c r="K182" i="31"/>
  <c r="F182" i="31"/>
  <c r="O182" i="31"/>
  <c r="J182" i="31"/>
  <c r="E182" i="31"/>
  <c r="G182" i="31"/>
  <c r="L183" i="31"/>
  <c r="H183" i="31"/>
  <c r="D183" i="31"/>
  <c r="K183" i="31"/>
  <c r="F183" i="31"/>
  <c r="O183" i="31"/>
  <c r="J183" i="31"/>
  <c r="E183" i="31"/>
  <c r="M183" i="31"/>
  <c r="N184" i="31"/>
  <c r="N185" i="31"/>
  <c r="L190" i="31"/>
  <c r="H190" i="31"/>
  <c r="D190" i="31"/>
  <c r="K190" i="31"/>
  <c r="F190" i="31"/>
  <c r="O190" i="31"/>
  <c r="I190" i="31"/>
  <c r="N190" i="31"/>
  <c r="G190" i="31"/>
  <c r="M190" i="31"/>
  <c r="E191" i="31"/>
  <c r="B193" i="31"/>
  <c r="N204" i="31"/>
  <c r="J204" i="31"/>
  <c r="F204" i="31"/>
  <c r="L204" i="31"/>
  <c r="H204" i="31"/>
  <c r="D204" i="31"/>
  <c r="O204" i="31"/>
  <c r="G204" i="31"/>
  <c r="I204" i="31"/>
  <c r="E204" i="31"/>
  <c r="F176" i="31"/>
  <c r="J176" i="31"/>
  <c r="O188" i="31"/>
  <c r="O176" i="31"/>
  <c r="K176" i="31"/>
  <c r="G176" i="31"/>
  <c r="L176" i="31"/>
  <c r="G177" i="31"/>
  <c r="K177" i="31"/>
  <c r="G188" i="31"/>
  <c r="K188" i="31"/>
  <c r="G74" i="31" l="1"/>
  <c r="J74" i="31"/>
  <c r="I11" i="39" s="1"/>
  <c r="O136" i="31"/>
  <c r="L74" i="31"/>
  <c r="L75" i="31" s="1"/>
  <c r="E74" i="31"/>
  <c r="D11" i="39" s="1"/>
  <c r="G142" i="31"/>
  <c r="M152" i="31"/>
  <c r="P168" i="31"/>
  <c r="F124" i="31"/>
  <c r="E16" i="39" s="1"/>
  <c r="F11" i="39"/>
  <c r="I142" i="31"/>
  <c r="M74" i="31"/>
  <c r="O163" i="31"/>
  <c r="E142" i="31"/>
  <c r="O152" i="31"/>
  <c r="E163" i="31"/>
  <c r="F163" i="31"/>
  <c r="P169" i="31"/>
  <c r="P172" i="31"/>
  <c r="M116" i="31"/>
  <c r="AD63" i="35"/>
  <c r="AE63" i="35"/>
  <c r="N87" i="31"/>
  <c r="M12" i="39" s="1"/>
  <c r="P177" i="31"/>
  <c r="Y63" i="35"/>
  <c r="I110" i="35"/>
  <c r="D110" i="35"/>
  <c r="J110" i="35"/>
  <c r="E110" i="35"/>
  <c r="X63" i="35"/>
  <c r="AF63" i="35"/>
  <c r="P104" i="31"/>
  <c r="AC63" i="35"/>
  <c r="H87" i="31"/>
  <c r="G12" i="39" s="1"/>
  <c r="K163" i="31"/>
  <c r="J163" i="31"/>
  <c r="AG63" i="35"/>
  <c r="M87" i="31"/>
  <c r="P40" i="31"/>
  <c r="F74" i="31"/>
  <c r="AB10" i="31"/>
  <c r="I74" i="31"/>
  <c r="H110" i="35"/>
  <c r="E136" i="31"/>
  <c r="L136" i="31"/>
  <c r="K136" i="31"/>
  <c r="N136" i="31"/>
  <c r="I136" i="31"/>
  <c r="O124" i="31"/>
  <c r="L124" i="31"/>
  <c r="N116" i="31"/>
  <c r="J116" i="31"/>
  <c r="G116" i="31"/>
  <c r="H116" i="31"/>
  <c r="Z63" i="35"/>
  <c r="P102" i="35"/>
  <c r="P110" i="35" s="1"/>
  <c r="I116" i="31"/>
  <c r="P81" i="31"/>
  <c r="H142" i="31"/>
  <c r="J142" i="31"/>
  <c r="E87" i="31"/>
  <c r="L116" i="31"/>
  <c r="P47" i="31"/>
  <c r="P39" i="31"/>
  <c r="P42" i="31"/>
  <c r="P48" i="31"/>
  <c r="P43" i="31"/>
  <c r="P50" i="31"/>
  <c r="E124" i="31"/>
  <c r="K116" i="31"/>
  <c r="L87" i="31"/>
  <c r="G87" i="31"/>
  <c r="N74" i="31"/>
  <c r="P122" i="31"/>
  <c r="P79" i="31"/>
  <c r="O116" i="31"/>
  <c r="P121" i="31"/>
  <c r="P114" i="31"/>
  <c r="L142" i="31"/>
  <c r="F152" i="31"/>
  <c r="P146" i="31"/>
  <c r="P133" i="31"/>
  <c r="N142" i="31"/>
  <c r="P83" i="31"/>
  <c r="I87" i="31"/>
  <c r="P59" i="31"/>
  <c r="P38" i="31"/>
  <c r="P45" i="31"/>
  <c r="P60" i="31"/>
  <c r="J136" i="31"/>
  <c r="H136" i="31"/>
  <c r="G136" i="31"/>
  <c r="H124" i="31"/>
  <c r="I124" i="31"/>
  <c r="J124" i="31"/>
  <c r="F116" i="31"/>
  <c r="E116" i="31"/>
  <c r="K124" i="31"/>
  <c r="P103" i="31"/>
  <c r="K87" i="31"/>
  <c r="F87" i="31"/>
  <c r="E12" i="39" s="1"/>
  <c r="K74" i="31"/>
  <c r="P113" i="31"/>
  <c r="P80" i="31"/>
  <c r="O87" i="31"/>
  <c r="N12" i="39" s="1"/>
  <c r="O74" i="31"/>
  <c r="P105" i="31"/>
  <c r="P72" i="31"/>
  <c r="O142" i="31"/>
  <c r="E152" i="31"/>
  <c r="P187" i="31"/>
  <c r="J152" i="31"/>
  <c r="P160" i="31"/>
  <c r="D163" i="31"/>
  <c r="P173" i="31"/>
  <c r="M136" i="31"/>
  <c r="M142" i="31"/>
  <c r="G152" i="31"/>
  <c r="H152" i="31"/>
  <c r="G163" i="31"/>
  <c r="N163" i="31"/>
  <c r="V40" i="31"/>
  <c r="P44" i="31"/>
  <c r="P41" i="31"/>
  <c r="P134" i="31"/>
  <c r="P150" i="31"/>
  <c r="P149" i="31"/>
  <c r="P178" i="31"/>
  <c r="H193" i="31"/>
  <c r="G18" i="39" s="1"/>
  <c r="F136" i="31"/>
  <c r="G124" i="31"/>
  <c r="M124" i="31"/>
  <c r="N124" i="31"/>
  <c r="J87" i="31"/>
  <c r="I12" i="39" s="1"/>
  <c r="H74" i="31"/>
  <c r="H75" i="31" s="1"/>
  <c r="P84" i="31"/>
  <c r="P71" i="31"/>
  <c r="P82" i="31"/>
  <c r="P132" i="31"/>
  <c r="P140" i="31"/>
  <c r="I152" i="31"/>
  <c r="P148" i="31"/>
  <c r="H163" i="31"/>
  <c r="P175" i="31"/>
  <c r="N152" i="31"/>
  <c r="P147" i="31"/>
  <c r="I163" i="31"/>
  <c r="P170" i="31"/>
  <c r="K152" i="31"/>
  <c r="F142" i="31"/>
  <c r="L152" i="31"/>
  <c r="L163" i="31"/>
  <c r="P161" i="31"/>
  <c r="P167" i="31"/>
  <c r="P171" i="31"/>
  <c r="P189" i="31"/>
  <c r="V34" i="31"/>
  <c r="P85" i="31"/>
  <c r="P49" i="31"/>
  <c r="P46" i="31"/>
  <c r="P29" i="31"/>
  <c r="P120" i="31"/>
  <c r="P191" i="31"/>
  <c r="P190" i="31"/>
  <c r="P188" i="31"/>
  <c r="P186" i="31"/>
  <c r="P185" i="31"/>
  <c r="P183" i="31"/>
  <c r="P184" i="31"/>
  <c r="P181" i="31"/>
  <c r="P180" i="31"/>
  <c r="E193" i="31"/>
  <c r="D18" i="39" s="1"/>
  <c r="P179" i="31"/>
  <c r="M193" i="31"/>
  <c r="L18" i="39" s="1"/>
  <c r="F193" i="31"/>
  <c r="E18" i="39" s="1"/>
  <c r="K193" i="31"/>
  <c r="J18" i="39" s="1"/>
  <c r="O193" i="31"/>
  <c r="N18" i="39" s="1"/>
  <c r="L193" i="31"/>
  <c r="K18" i="39" s="1"/>
  <c r="P176" i="31"/>
  <c r="J193" i="31"/>
  <c r="I18" i="39" s="1"/>
  <c r="N193" i="31"/>
  <c r="M18" i="39" s="1"/>
  <c r="G193" i="31"/>
  <c r="F18" i="39" s="1"/>
  <c r="P174" i="31"/>
  <c r="I193" i="31"/>
  <c r="H18" i="39" s="1"/>
  <c r="P182" i="31"/>
  <c r="P155" i="35"/>
  <c r="P156" i="35" s="1"/>
  <c r="D106" i="31"/>
  <c r="I106" i="31"/>
  <c r="AA64" i="31" s="1"/>
  <c r="M106" i="31"/>
  <c r="H106" i="31"/>
  <c r="Z64" i="31" s="1"/>
  <c r="E106" i="31"/>
  <c r="W64" i="31" s="1"/>
  <c r="J106" i="31"/>
  <c r="AB64" i="31" s="1"/>
  <c r="AF117" i="31"/>
  <c r="AC117" i="31"/>
  <c r="AG117" i="31"/>
  <c r="X117" i="31"/>
  <c r="W117" i="31"/>
  <c r="AB117" i="31"/>
  <c r="Z117" i="31"/>
  <c r="AD117" i="31"/>
  <c r="AE117" i="31"/>
  <c r="AA117" i="31"/>
  <c r="Y117" i="31"/>
  <c r="X64" i="31"/>
  <c r="AG79" i="31"/>
  <c r="W81" i="31"/>
  <c r="AG83" i="31"/>
  <c r="W85" i="31"/>
  <c r="AB86" i="31"/>
  <c r="AF90" i="31"/>
  <c r="AD92" i="31"/>
  <c r="X100" i="31"/>
  <c r="X74" i="31"/>
  <c r="AB75" i="31"/>
  <c r="Y78" i="31"/>
  <c r="Z79" i="31"/>
  <c r="Z83" i="31"/>
  <c r="AE84" i="31"/>
  <c r="Y86" i="31"/>
  <c r="AB87" i="31"/>
  <c r="AG90" i="31"/>
  <c r="AE92" i="31"/>
  <c r="AC95" i="31"/>
  <c r="Z100" i="31"/>
  <c r="AF106" i="31"/>
  <c r="Z111" i="31"/>
  <c r="Y77" i="31"/>
  <c r="Z78" i="31"/>
  <c r="AE79" i="31"/>
  <c r="Y81" i="31"/>
  <c r="Z82" i="31"/>
  <c r="AE83" i="31"/>
  <c r="Y85" i="31"/>
  <c r="Z86" i="31"/>
  <c r="Z92" i="31"/>
  <c r="AC96" i="31"/>
  <c r="AE100" i="31"/>
  <c r="AA87" i="31"/>
  <c r="Z91" i="31"/>
  <c r="AG92" i="31"/>
  <c r="AG94" i="31"/>
  <c r="AD100" i="31"/>
  <c r="AF112" i="31"/>
  <c r="W91" i="31"/>
  <c r="AB92" i="31"/>
  <c r="AG93" i="31"/>
  <c r="W96" i="31"/>
  <c r="AB98" i="31"/>
  <c r="AF100" i="31"/>
  <c r="W110" i="31"/>
  <c r="AG112" i="31"/>
  <c r="X96" i="31"/>
  <c r="AC98" i="31"/>
  <c r="W111" i="31"/>
  <c r="AG110" i="31"/>
  <c r="G106" i="31"/>
  <c r="O106" i="31"/>
  <c r="Y58" i="31"/>
  <c r="AC54" i="31"/>
  <c r="AD41" i="31"/>
  <c r="AF39" i="31"/>
  <c r="W38" i="31"/>
  <c r="Z36" i="31"/>
  <c r="AB34" i="31"/>
  <c r="AE32" i="31"/>
  <c r="AE67" i="31"/>
  <c r="AA58" i="31"/>
  <c r="Z58" i="31"/>
  <c r="AF58" i="31"/>
  <c r="Y101" i="31"/>
  <c r="AG68" i="31"/>
  <c r="AA49" i="31"/>
  <c r="X53" i="31"/>
  <c r="AA38" i="31"/>
  <c r="AA30" i="31"/>
  <c r="AE52" i="31"/>
  <c r="AB33" i="31"/>
  <c r="W37" i="31"/>
  <c r="AE41" i="31"/>
  <c r="AE33" i="31"/>
  <c r="AD36" i="31"/>
  <c r="Z39" i="31"/>
  <c r="AG55" i="31"/>
  <c r="V32" i="31"/>
  <c r="W35" i="31"/>
  <c r="X38" i="31"/>
  <c r="V42" i="31"/>
  <c r="X48" i="31"/>
  <c r="AD69" i="31"/>
  <c r="V30" i="31"/>
  <c r="Y111" i="31"/>
  <c r="Y99" i="31"/>
  <c r="AB99" i="31"/>
  <c r="AF113" i="31"/>
  <c r="AC113" i="31"/>
  <c r="AF108" i="31"/>
  <c r="AB106" i="31"/>
  <c r="W105" i="31"/>
  <c r="AC105" i="31"/>
  <c r="Y104" i="31"/>
  <c r="AF95" i="31"/>
  <c r="Z95" i="31"/>
  <c r="AE95" i="31"/>
  <c r="Y114" i="31"/>
  <c r="Z114" i="31"/>
  <c r="AF114" i="31"/>
  <c r="AG104" i="31"/>
  <c r="Z104" i="31"/>
  <c r="AB103" i="31"/>
  <c r="Z97" i="31"/>
  <c r="X97" i="31"/>
  <c r="Y108" i="31"/>
  <c r="AB102" i="31"/>
  <c r="Y109" i="31"/>
  <c r="W109" i="31"/>
  <c r="AF109" i="31"/>
  <c r="AG108" i="31"/>
  <c r="Z108" i="31"/>
  <c r="AB107" i="31"/>
  <c r="AE103" i="31"/>
  <c r="Y68" i="31"/>
  <c r="AF103" i="31"/>
  <c r="W73" i="31"/>
  <c r="X73" i="31"/>
  <c r="Z67" i="31"/>
  <c r="AE56" i="31"/>
  <c r="Y53" i="31"/>
  <c r="AD66" i="31"/>
  <c r="B109" i="31"/>
  <c r="X70" i="31"/>
  <c r="Y70" i="31"/>
  <c r="AE70" i="31"/>
  <c r="X66" i="31"/>
  <c r="AA101" i="31"/>
  <c r="AB101" i="31"/>
  <c r="AD101" i="31"/>
  <c r="AE42" i="31"/>
  <c r="X39" i="31"/>
  <c r="AA37" i="31"/>
  <c r="AD35" i="31"/>
  <c r="AF33" i="31"/>
  <c r="W32" i="31"/>
  <c r="Z30" i="31"/>
  <c r="Y30" i="31"/>
  <c r="AC31" i="31"/>
  <c r="AG32" i="31"/>
  <c r="Y34" i="31"/>
  <c r="AC35" i="31"/>
  <c r="AG36" i="31"/>
  <c r="Y38" i="31"/>
  <c r="AC39" i="31"/>
  <c r="AG40" i="31"/>
  <c r="Y42" i="31"/>
  <c r="AG47" i="31"/>
  <c r="AC50" i="31"/>
  <c r="AA54" i="31"/>
  <c r="W67" i="31"/>
  <c r="Y47" i="31"/>
  <c r="Y51" i="31"/>
  <c r="AE54" i="31"/>
  <c r="Z57" i="31"/>
  <c r="AA62" i="31"/>
  <c r="X71" i="31"/>
  <c r="AF50" i="31"/>
  <c r="X54" i="31"/>
  <c r="AB55" i="31"/>
  <c r="AE57" i="31"/>
  <c r="W62" i="31"/>
  <c r="AF68" i="31"/>
  <c r="AA47" i="31"/>
  <c r="AE48" i="31"/>
  <c r="AA53" i="31"/>
  <c r="AD54" i="31"/>
  <c r="Y57" i="31"/>
  <c r="AE62" i="31"/>
  <c r="AD71" i="31"/>
  <c r="Z74" i="31"/>
  <c r="Y62" i="31"/>
  <c r="AA71" i="31"/>
  <c r="Y74" i="31"/>
  <c r="AA78" i="31"/>
  <c r="AF79" i="31"/>
  <c r="AF83" i="31"/>
  <c r="AA86" i="31"/>
  <c r="AC90" i="31"/>
  <c r="AA93" i="31"/>
  <c r="AF102" i="31"/>
  <c r="W112" i="31"/>
  <c r="W75" i="31"/>
  <c r="AA77" i="31"/>
  <c r="AF78" i="31"/>
  <c r="AA81" i="31"/>
  <c r="AA85" i="31"/>
  <c r="AF86" i="31"/>
  <c r="X91" i="31"/>
  <c r="AG96" i="31"/>
  <c r="AB110" i="31"/>
  <c r="AB74" i="31"/>
  <c r="AF75" i="31"/>
  <c r="X77" i="31"/>
  <c r="AC78" i="31"/>
  <c r="AD79" i="31"/>
  <c r="X81" i="31"/>
  <c r="AD83" i="31"/>
  <c r="X85" i="31"/>
  <c r="AC86" i="31"/>
  <c r="AG87" i="31"/>
  <c r="Y91" i="31"/>
  <c r="X93" i="31"/>
  <c r="Y96" i="31"/>
  <c r="AE107" i="31"/>
  <c r="AE112" i="31"/>
  <c r="AC77" i="31"/>
  <c r="AD78" i="31"/>
  <c r="AC81" i="31"/>
  <c r="X84" i="31"/>
  <c r="AC85" i="31"/>
  <c r="AD86" i="31"/>
  <c r="Z93" i="31"/>
  <c r="AD98" i="31"/>
  <c r="AE87" i="31"/>
  <c r="AF91" i="31"/>
  <c r="W93" i="31"/>
  <c r="Z96" i="31"/>
  <c r="AA91" i="31"/>
  <c r="AF92" i="31"/>
  <c r="AA96" i="31"/>
  <c r="AF98" i="31"/>
  <c r="AE110" i="31"/>
  <c r="W94" i="31"/>
  <c r="AB96" i="31"/>
  <c r="AG98" i="31"/>
  <c r="AD111" i="31"/>
  <c r="AB111" i="31"/>
  <c r="L106" i="31"/>
  <c r="AF57" i="31"/>
  <c r="AG53" i="31"/>
  <c r="X41" i="31"/>
  <c r="AA39" i="31"/>
  <c r="AD37" i="31"/>
  <c r="AF35" i="31"/>
  <c r="W34" i="31"/>
  <c r="Z32" i="31"/>
  <c r="AB30" i="31"/>
  <c r="Z70" i="31"/>
  <c r="AC66" i="31"/>
  <c r="W58" i="31"/>
  <c r="AD58" i="31"/>
  <c r="AB57" i="31"/>
  <c r="AF53" i="31"/>
  <c r="Z66" i="31"/>
  <c r="AF70" i="31"/>
  <c r="Z35" i="31"/>
  <c r="AC48" i="31"/>
  <c r="X36" i="31"/>
  <c r="AC47" i="31"/>
  <c r="V72" i="31"/>
  <c r="X30" i="31"/>
  <c r="AD34" i="31"/>
  <c r="AD38" i="31"/>
  <c r="AA42" i="31"/>
  <c r="Z37" i="31"/>
  <c r="AA40" i="31"/>
  <c r="W50" i="31"/>
  <c r="AC58" i="31"/>
  <c r="AF32" i="31"/>
  <c r="V36" i="31"/>
  <c r="AB39" i="31"/>
  <c r="AF42" i="31"/>
  <c r="AE50" i="31"/>
  <c r="Z56" i="31"/>
  <c r="AB41" i="31"/>
  <c r="AD99" i="31"/>
  <c r="Y113" i="31"/>
  <c r="AD113" i="31"/>
  <c r="W106" i="31"/>
  <c r="Y105" i="31"/>
  <c r="X105" i="31"/>
  <c r="AD105" i="31"/>
  <c r="AA95" i="31"/>
  <c r="AG114" i="31"/>
  <c r="AB114" i="31"/>
  <c r="AB104" i="31"/>
  <c r="W103" i="31"/>
  <c r="AC103" i="31"/>
  <c r="AD97" i="31"/>
  <c r="AE97" i="31"/>
  <c r="W102" i="31"/>
  <c r="AC102" i="31"/>
  <c r="AA109" i="31"/>
  <c r="AG109" i="31"/>
  <c r="AB109" i="31"/>
  <c r="AB108" i="31"/>
  <c r="W107" i="31"/>
  <c r="AC107" i="31"/>
  <c r="AA104" i="31"/>
  <c r="AC68" i="31"/>
  <c r="AB113" i="31"/>
  <c r="AB95" i="31"/>
  <c r="AG73" i="31"/>
  <c r="Y56" i="31"/>
  <c r="X67" i="31"/>
  <c r="AC53" i="31"/>
  <c r="Y66" i="31"/>
  <c r="AG66" i="31"/>
  <c r="AE66" i="31"/>
  <c r="AC70" i="31"/>
  <c r="AG70" i="31"/>
  <c r="AA70" i="31"/>
  <c r="Y67" i="31"/>
  <c r="AD56" i="31"/>
  <c r="X101" i="31"/>
  <c r="Z101" i="31"/>
  <c r="AE51" i="31"/>
  <c r="AA41" i="31"/>
  <c r="AD39" i="31"/>
  <c r="AF37" i="31"/>
  <c r="W36" i="31"/>
  <c r="Z34" i="31"/>
  <c r="AB32" i="31"/>
  <c r="AE30" i="31"/>
  <c r="Y31" i="31"/>
  <c r="AC32" i="31"/>
  <c r="AG33" i="31"/>
  <c r="Y35" i="31"/>
  <c r="AC36" i="31"/>
  <c r="AG37" i="31"/>
  <c r="Y39" i="31"/>
  <c r="AC40" i="31"/>
  <c r="AG41" i="31"/>
  <c r="AB47" i="31"/>
  <c r="AG48" i="31"/>
  <c r="AD53" i="31"/>
  <c r="AF56" i="31"/>
  <c r="AF62" i="31"/>
  <c r="AD73" i="31"/>
  <c r="AD48" i="31"/>
  <c r="AG50" i="31"/>
  <c r="W54" i="31"/>
  <c r="AB56" i="31"/>
  <c r="AB50" i="31"/>
  <c r="AF51" i="31"/>
  <c r="X55" i="31"/>
  <c r="AA57" i="31"/>
  <c r="AA68" i="31"/>
  <c r="AG71" i="31"/>
  <c r="W47" i="31"/>
  <c r="AA48" i="31"/>
  <c r="AD50" i="31"/>
  <c r="Z54" i="31"/>
  <c r="AD55" i="31"/>
  <c r="Z62" i="31"/>
  <c r="Y71" i="31"/>
  <c r="W71" i="31"/>
  <c r="AG75" i="31"/>
  <c r="W78" i="31"/>
  <c r="AB79" i="31"/>
  <c r="AB83" i="31"/>
  <c r="AG84" i="31"/>
  <c r="W86" i="31"/>
  <c r="AD87" i="31"/>
  <c r="W90" i="31"/>
  <c r="AC92" i="31"/>
  <c r="AD96" i="31"/>
  <c r="AE74" i="31"/>
  <c r="W77" i="31"/>
  <c r="AB78" i="31"/>
  <c r="AC100" i="31"/>
  <c r="AC99" i="31"/>
  <c r="X99" i="31"/>
  <c r="W114" i="31"/>
  <c r="AA113" i="31"/>
  <c r="AF107" i="31"/>
  <c r="AG106" i="31"/>
  <c r="Z106" i="31"/>
  <c r="AB105" i="31"/>
  <c r="AA103" i="31"/>
  <c r="Y95" i="31"/>
  <c r="AD95" i="31"/>
  <c r="AC114" i="31"/>
  <c r="AD114" i="31"/>
  <c r="AE104" i="31"/>
  <c r="X104" i="31"/>
  <c r="AD104" i="31"/>
  <c r="AG103" i="31"/>
  <c r="Z103" i="31"/>
  <c r="W97" i="31"/>
  <c r="AB97" i="31"/>
  <c r="AA107" i="31"/>
  <c r="AG102" i="31"/>
  <c r="Z102" i="31"/>
  <c r="AE109" i="31"/>
  <c r="AC109" i="31"/>
  <c r="AE108" i="31"/>
  <c r="X108" i="31"/>
  <c r="AD108" i="31"/>
  <c r="AG107" i="31"/>
  <c r="Z107" i="31"/>
  <c r="AG100" i="31"/>
  <c r="AE114" i="31"/>
  <c r="AC97" i="31"/>
  <c r="Z73" i="31"/>
  <c r="AA73" i="31"/>
  <c r="AB73" i="31"/>
  <c r="AF67" i="31"/>
  <c r="AD67" i="31"/>
  <c r="AA56" i="31"/>
  <c r="AC73" i="31"/>
  <c r="W66" i="31"/>
  <c r="AG56" i="31"/>
  <c r="AD70" i="31"/>
  <c r="AD62" i="31"/>
  <c r="AG58" i="31"/>
  <c r="W101" i="31"/>
  <c r="AF101" i="31"/>
  <c r="AB53" i="31"/>
  <c r="AF48" i="31"/>
  <c r="Z42" i="31"/>
  <c r="AB40" i="31"/>
  <c r="AE38" i="31"/>
  <c r="X35" i="31"/>
  <c r="AA33" i="31"/>
  <c r="AD31" i="31"/>
  <c r="AC30" i="31"/>
  <c r="AG31" i="31"/>
  <c r="Y33" i="31"/>
  <c r="AC34" i="31"/>
  <c r="AG35" i="31"/>
  <c r="Y37" i="31"/>
  <c r="AC38" i="31"/>
  <c r="AG39" i="31"/>
  <c r="Y41" i="31"/>
  <c r="AC42" i="31"/>
  <c r="AC51" i="31"/>
  <c r="AA55" i="31"/>
  <c r="AD57" i="31"/>
  <c r="AG67" i="31"/>
  <c r="AC71" i="31"/>
  <c r="AD47" i="31"/>
  <c r="AG51" i="31"/>
  <c r="W55" i="31"/>
  <c r="AB67" i="31"/>
  <c r="AD75" i="31"/>
  <c r="X51" i="31"/>
  <c r="AB54" i="31"/>
  <c r="AF55" i="31"/>
  <c r="AB62" i="31"/>
  <c r="AC74" i="31"/>
  <c r="AE47" i="31"/>
  <c r="Z51" i="31"/>
  <c r="AE53" i="31"/>
  <c r="AC57" i="31"/>
  <c r="X68" i="31"/>
  <c r="Z75" i="31"/>
  <c r="AC62" i="31"/>
  <c r="AE71" i="31"/>
  <c r="AG74" i="31"/>
  <c r="Z77" i="31"/>
  <c r="AE78" i="31"/>
  <c r="Z81" i="31"/>
  <c r="Y84" i="31"/>
  <c r="Z85" i="31"/>
  <c r="AE86" i="31"/>
  <c r="AC94" i="31"/>
  <c r="AE98" i="31"/>
  <c r="AA105" i="31"/>
  <c r="W113" i="31"/>
  <c r="W74" i="31"/>
  <c r="AA75" i="31"/>
  <c r="AE77" i="31"/>
  <c r="Y79" i="31"/>
  <c r="Z80" i="31"/>
  <c r="AE81" i="31"/>
  <c r="Y83" i="31"/>
  <c r="Z84" i="31"/>
  <c r="AE85" i="31"/>
  <c r="Z87" i="31"/>
  <c r="AD91" i="31"/>
  <c r="AD93" i="31"/>
  <c r="W98" i="31"/>
  <c r="X111" i="31"/>
  <c r="AF74" i="31"/>
  <c r="AB77" i="31"/>
  <c r="AG78" i="31"/>
  <c r="AB81" i="31"/>
  <c r="W84" i="31"/>
  <c r="AB85" i="31"/>
  <c r="AG86" i="31"/>
  <c r="AG91" i="31"/>
  <c r="AE93" i="31"/>
  <c r="Z98" i="31"/>
  <c r="Y102" i="31"/>
  <c r="AA108" i="31"/>
  <c r="AG77" i="31"/>
  <c r="W79" i="31"/>
  <c r="AG81" i="31"/>
  <c r="W83" i="31"/>
  <c r="AB84" i="31"/>
  <c r="AG85" i="31"/>
  <c r="X87" i="31"/>
  <c r="AB90" i="31"/>
  <c r="AF93" i="31"/>
  <c r="AA102" i="31"/>
  <c r="Y90" i="31"/>
  <c r="AB93" i="31"/>
  <c r="AA98" i="31"/>
  <c r="AA110" i="31"/>
  <c r="Z90" i="31"/>
  <c r="AE91" i="31"/>
  <c r="Y93" i="31"/>
  <c r="Z94" i="31"/>
  <c r="AE96" i="31"/>
  <c r="AA111" i="31"/>
  <c r="AA94" i="31"/>
  <c r="AF96" i="31"/>
  <c r="W100" i="31"/>
  <c r="Z110" i="31"/>
  <c r="AB112" i="31"/>
  <c r="X110" i="31"/>
  <c r="X112" i="31"/>
  <c r="Y110" i="31"/>
  <c r="Z112" i="31"/>
  <c r="Z48" i="31"/>
  <c r="AB42" i="31"/>
  <c r="AE40" i="31"/>
  <c r="X37" i="31"/>
  <c r="AA35" i="31"/>
  <c r="AD33" i="31"/>
  <c r="AF31" i="31"/>
  <c r="W30" i="31"/>
  <c r="AE58" i="31"/>
  <c r="X58" i="31"/>
  <c r="Y55" i="31"/>
  <c r="AC101" i="31"/>
  <c r="X42" i="31"/>
  <c r="AB31" i="31"/>
  <c r="Z33" i="31"/>
  <c r="Z31" i="31"/>
  <c r="AB35" i="31"/>
  <c r="W39" i="31"/>
  <c r="AF34" i="31"/>
  <c r="V38" i="31"/>
  <c r="W41" i="31"/>
  <c r="AA51" i="31"/>
  <c r="X62" i="31"/>
  <c r="AD30" i="31"/>
  <c r="W33" i="31"/>
  <c r="AF36" i="31"/>
  <c r="AD40" i="31"/>
  <c r="AE39" i="31"/>
  <c r="AE37" i="31"/>
  <c r="AC111" i="31"/>
  <c r="AG111" i="31"/>
  <c r="X113" i="31"/>
  <c r="AC106" i="31"/>
  <c r="Y100" i="31"/>
  <c r="AG99" i="31"/>
  <c r="AE113" i="31"/>
  <c r="AG113" i="31"/>
  <c r="Z113" i="31"/>
  <c r="AE106" i="31"/>
  <c r="X106" i="31"/>
  <c r="AD106" i="31"/>
  <c r="AG105" i="31"/>
  <c r="Z105" i="31"/>
  <c r="AG97" i="31"/>
  <c r="AG95" i="31"/>
  <c r="W95" i="31"/>
  <c r="AA114" i="31"/>
  <c r="X114" i="31"/>
  <c r="W104" i="31"/>
  <c r="AC104" i="31"/>
  <c r="Y103" i="31"/>
  <c r="X103" i="31"/>
  <c r="AD103" i="31"/>
  <c r="AA97" i="31"/>
  <c r="AF97" i="31"/>
  <c r="AE102" i="31"/>
  <c r="X102" i="31"/>
  <c r="AD102" i="31"/>
  <c r="Z109" i="31"/>
  <c r="X109" i="31"/>
  <c r="W108" i="31"/>
  <c r="AC108" i="31"/>
  <c r="Y107" i="31"/>
  <c r="X107" i="31"/>
  <c r="AD107" i="31"/>
  <c r="Y97" i="31"/>
  <c r="AE105" i="31"/>
  <c r="AF104" i="31"/>
  <c r="AA106" i="31"/>
  <c r="Y73" i="31"/>
  <c r="AE73" i="31"/>
  <c r="AF73" i="31"/>
  <c r="AA67" i="31"/>
  <c r="AC56" i="31"/>
  <c r="AC67" i="31"/>
  <c r="W56" i="31"/>
  <c r="AF66" i="31"/>
  <c r="AB66" i="31"/>
  <c r="AA66" i="31"/>
  <c r="AF71" i="31"/>
  <c r="AB70" i="31"/>
  <c r="W70" i="31"/>
  <c r="Z68" i="31"/>
  <c r="X57" i="31"/>
  <c r="AE101" i="31"/>
  <c r="AF47" i="31"/>
  <c r="AF41" i="31"/>
  <c r="W40" i="31"/>
  <c r="Z38" i="31"/>
  <c r="AB36" i="31"/>
  <c r="AE34" i="31"/>
  <c r="X31" i="31"/>
  <c r="AG30" i="31"/>
  <c r="Y32" i="31"/>
  <c r="AC33" i="31"/>
  <c r="AG34" i="31"/>
  <c r="Y36" i="31"/>
  <c r="AC37" i="31"/>
  <c r="AG38" i="31"/>
  <c r="Y40" i="31"/>
  <c r="AC41" i="31"/>
  <c r="AG42" i="31"/>
  <c r="AB48" i="31"/>
  <c r="X56" i="31"/>
  <c r="AB68" i="31"/>
  <c r="Y48" i="31"/>
  <c r="Y50" i="31"/>
  <c r="Z53" i="31"/>
  <c r="AE55" i="31"/>
  <c r="W68" i="31"/>
  <c r="X50" i="31"/>
  <c r="AB51" i="31"/>
  <c r="AF54" i="31"/>
  <c r="W57" i="31"/>
  <c r="AB71" i="31"/>
  <c r="AC75" i="31"/>
  <c r="W48" i="31"/>
  <c r="Z50" i="31"/>
  <c r="AD51" i="31"/>
  <c r="Z55" i="31"/>
  <c r="AG57" i="31"/>
  <c r="AD68" i="31"/>
  <c r="AG62" i="31"/>
  <c r="Y75" i="31"/>
  <c r="AD77" i="31"/>
  <c r="X79" i="31"/>
  <c r="AD81" i="31"/>
  <c r="X83" i="31"/>
  <c r="AC84" i="31"/>
  <c r="AD85" i="31"/>
  <c r="Y87" i="31"/>
  <c r="AC91" i="31"/>
  <c r="X95" i="31"/>
  <c r="W99" i="31"/>
  <c r="Y106" i="31"/>
  <c r="AA74" i="31"/>
  <c r="AE75" i="31"/>
  <c r="X78" i="31"/>
  <c r="AC79" i="31"/>
  <c r="AC83" i="31"/>
  <c r="AD84" i="31"/>
  <c r="X86" i="31"/>
  <c r="AF87" i="31"/>
  <c r="X90" i="31"/>
  <c r="W92" i="31"/>
  <c r="AF94" i="31"/>
  <c r="AA99" i="31"/>
  <c r="Y112" i="31"/>
  <c r="X75" i="31"/>
  <c r="AF77" i="31"/>
  <c r="AF81" i="31"/>
  <c r="AA84" i="31"/>
  <c r="AF85" i="31"/>
  <c r="AA90" i="31"/>
  <c r="Y92" i="31"/>
  <c r="X94" i="31"/>
  <c r="AE99" i="31"/>
  <c r="AF105" i="31"/>
  <c r="AD109" i="31"/>
  <c r="AA79" i="31"/>
  <c r="AA83" i="31"/>
  <c r="AF84" i="31"/>
  <c r="AC87" i="31"/>
  <c r="AB91" i="31"/>
  <c r="AB94" i="31"/>
  <c r="AF99" i="31"/>
  <c r="AE111" i="31"/>
  <c r="W87" i="31"/>
  <c r="AE90" i="31"/>
  <c r="AA92" i="31"/>
  <c r="Y94" i="31"/>
  <c r="Z99" i="31"/>
  <c r="AF111" i="31"/>
  <c r="AD90" i="31"/>
  <c r="X92" i="31"/>
  <c r="AC93" i="31"/>
  <c r="AD94" i="31"/>
  <c r="X98" i="31"/>
  <c r="AA100" i="31"/>
  <c r="AA112" i="31"/>
  <c r="AE94" i="31"/>
  <c r="Y98" i="31"/>
  <c r="AB100" i="31"/>
  <c r="AF110" i="31"/>
  <c r="AD110" i="31"/>
  <c r="AC112" i="31"/>
  <c r="AC110" i="31"/>
  <c r="AD112" i="31"/>
  <c r="AC64" i="31"/>
  <c r="AF64" i="31"/>
  <c r="AC55" i="31"/>
  <c r="W51" i="31"/>
  <c r="Z47" i="31"/>
  <c r="W42" i="31"/>
  <c r="Z40" i="31"/>
  <c r="AB38" i="31"/>
  <c r="AE36" i="31"/>
  <c r="X33" i="31"/>
  <c r="AA31" i="31"/>
  <c r="AD74" i="31"/>
  <c r="AE68" i="31"/>
  <c r="AB58" i="31"/>
  <c r="Y54" i="31"/>
  <c r="W52" i="31"/>
  <c r="AG54" i="31"/>
  <c r="AF40" i="31"/>
  <c r="AF30" i="31"/>
  <c r="X32" i="31"/>
  <c r="AA32" i="31"/>
  <c r="AA36" i="31"/>
  <c r="X40" i="31"/>
  <c r="AD32" i="31"/>
  <c r="AE35" i="31"/>
  <c r="AF38" i="31"/>
  <c r="AD42" i="31"/>
  <c r="AG101" i="31"/>
  <c r="Z71" i="31"/>
  <c r="AE31" i="31"/>
  <c r="X34" i="31"/>
  <c r="AB37" i="31"/>
  <c r="Z41" i="31"/>
  <c r="X47" i="31"/>
  <c r="W31" i="31"/>
  <c r="AA34" i="31"/>
  <c r="W20" i="31"/>
  <c r="AF21" i="31"/>
  <c r="AE20" i="31"/>
  <c r="Y21" i="31"/>
  <c r="AC20" i="31"/>
  <c r="AE21" i="31"/>
  <c r="AG20" i="31"/>
  <c r="AD21" i="31"/>
  <c r="AB21" i="31"/>
  <c r="AA21" i="31"/>
  <c r="AG21" i="31"/>
  <c r="AC21" i="31"/>
  <c r="Z21" i="31"/>
  <c r="X21" i="31"/>
  <c r="W21" i="31"/>
  <c r="Y20" i="31"/>
  <c r="Z10" i="31"/>
  <c r="X10" i="31"/>
  <c r="AD10" i="31"/>
  <c r="V10" i="31"/>
  <c r="P119" i="31"/>
  <c r="AF10" i="31"/>
  <c r="AG10" i="31"/>
  <c r="Z72" i="31"/>
  <c r="AD72" i="31"/>
  <c r="W82" i="31"/>
  <c r="AG88" i="31"/>
  <c r="V84" i="31"/>
  <c r="X88" i="31"/>
  <c r="AF89" i="31"/>
  <c r="AG82" i="31"/>
  <c r="V78" i="31"/>
  <c r="X80" i="31"/>
  <c r="AD82" i="31"/>
  <c r="D193" i="31"/>
  <c r="C18" i="39" s="1"/>
  <c r="P166" i="31"/>
  <c r="V89" i="31"/>
  <c r="V92" i="31"/>
  <c r="V94" i="31"/>
  <c r="P205" i="31"/>
  <c r="V118" i="31"/>
  <c r="AH118" i="31" s="1"/>
  <c r="P208" i="31"/>
  <c r="V121" i="31"/>
  <c r="AH121" i="31" s="1"/>
  <c r="AE49" i="31"/>
  <c r="V39" i="31"/>
  <c r="V73" i="31"/>
  <c r="P204" i="31"/>
  <c r="V117" i="31"/>
  <c r="V114" i="31"/>
  <c r="V109" i="31"/>
  <c r="AD76" i="31"/>
  <c r="V107" i="31"/>
  <c r="AG76" i="31"/>
  <c r="X69" i="31"/>
  <c r="AC69" i="31"/>
  <c r="AD52" i="31"/>
  <c r="AF52" i="31"/>
  <c r="X49" i="31"/>
  <c r="Z49" i="31"/>
  <c r="W49" i="31"/>
  <c r="V41" i="31"/>
  <c r="P97" i="31"/>
  <c r="V62" i="31"/>
  <c r="AA72" i="31"/>
  <c r="V71" i="31"/>
  <c r="AE72" i="31"/>
  <c r="Y80" i="31"/>
  <c r="AA82" i="31"/>
  <c r="W89" i="31"/>
  <c r="V91" i="31"/>
  <c r="X72" i="31"/>
  <c r="AC88" i="31"/>
  <c r="W76" i="31"/>
  <c r="AE80" i="31"/>
  <c r="V83" i="31"/>
  <c r="Y88" i="31"/>
  <c r="AB80" i="31"/>
  <c r="AB89" i="31"/>
  <c r="V99" i="31"/>
  <c r="V88" i="31"/>
  <c r="X89" i="31"/>
  <c r="AG89" i="31"/>
  <c r="D124" i="31"/>
  <c r="V56" i="31"/>
  <c r="AA52" i="31"/>
  <c r="AF20" i="31"/>
  <c r="AE10" i="31"/>
  <c r="V105" i="31"/>
  <c r="X76" i="31"/>
  <c r="V104" i="31"/>
  <c r="V102" i="31"/>
  <c r="P131" i="31"/>
  <c r="D136" i="31"/>
  <c r="V76" i="31"/>
  <c r="Y76" i="31"/>
  <c r="AE69" i="31"/>
  <c r="AF69" i="31"/>
  <c r="V67" i="31"/>
  <c r="M107" i="31"/>
  <c r="I107" i="31"/>
  <c r="E107" i="31"/>
  <c r="N107" i="31"/>
  <c r="H107" i="31"/>
  <c r="K107" i="31"/>
  <c r="F107" i="31"/>
  <c r="J107" i="31"/>
  <c r="O107" i="31"/>
  <c r="D107" i="31"/>
  <c r="L107" i="31"/>
  <c r="G107" i="31"/>
  <c r="P78" i="31"/>
  <c r="D87" i="31"/>
  <c r="C12" i="39" s="1"/>
  <c r="V52" i="31"/>
  <c r="X52" i="31"/>
  <c r="Y52" i="31"/>
  <c r="AF49" i="31"/>
  <c r="AG72" i="31"/>
  <c r="V33" i="31"/>
  <c r="Z20" i="31"/>
  <c r="Y10" i="31"/>
  <c r="P54" i="31"/>
  <c r="V43" i="31"/>
  <c r="AH43" i="31" s="1"/>
  <c r="V47" i="31"/>
  <c r="V53" i="31"/>
  <c r="V57" i="31"/>
  <c r="AG69" i="31"/>
  <c r="V74" i="31"/>
  <c r="Y49" i="31"/>
  <c r="AC72" i="31"/>
  <c r="Y72" i="31"/>
  <c r="AG80" i="31"/>
  <c r="AB88" i="31"/>
  <c r="AF72" i="31"/>
  <c r="AB82" i="31"/>
  <c r="Z89" i="31"/>
  <c r="V93" i="31"/>
  <c r="AE76" i="31"/>
  <c r="V79" i="31"/>
  <c r="W80" i="31"/>
  <c r="AC82" i="31"/>
  <c r="V87" i="31"/>
  <c r="AA89" i="31"/>
  <c r="AF88" i="31"/>
  <c r="AD88" i="31"/>
  <c r="Y89" i="31"/>
  <c r="V100" i="31"/>
  <c r="P202" i="31"/>
  <c r="V115" i="31"/>
  <c r="AH115" i="31" s="1"/>
  <c r="V111" i="31"/>
  <c r="V112" i="31"/>
  <c r="AA50" i="31"/>
  <c r="V35" i="31"/>
  <c r="V31" i="31"/>
  <c r="X20" i="31"/>
  <c r="W10" i="31"/>
  <c r="P12" i="31"/>
  <c r="P23" i="31" s="1"/>
  <c r="V106" i="31"/>
  <c r="Z69" i="31"/>
  <c r="V66" i="31"/>
  <c r="Z52" i="31"/>
  <c r="AB52" i="31"/>
  <c r="AC49" i="31"/>
  <c r="D74" i="31"/>
  <c r="P70" i="31"/>
  <c r="V49" i="31"/>
  <c r="V70" i="31"/>
  <c r="V101" i="31"/>
  <c r="V37" i="31"/>
  <c r="V21" i="31"/>
  <c r="P28" i="31"/>
  <c r="V20" i="31"/>
  <c r="AG49" i="31"/>
  <c r="W72" i="31"/>
  <c r="V50" i="31"/>
  <c r="V51" i="31"/>
  <c r="W53" i="31"/>
  <c r="V54" i="31"/>
  <c r="V55" i="31"/>
  <c r="V81" i="31"/>
  <c r="AD80" i="31"/>
  <c r="AF82" i="31"/>
  <c r="AA80" i="31"/>
  <c r="V86" i="31"/>
  <c r="AC89" i="31"/>
  <c r="P207" i="31"/>
  <c r="V120" i="31"/>
  <c r="AH120" i="31" s="1"/>
  <c r="V113" i="31"/>
  <c r="V97" i="31"/>
  <c r="V95" i="31"/>
  <c r="AB76" i="31"/>
  <c r="V103" i="31"/>
  <c r="Z76" i="31"/>
  <c r="V108" i="31"/>
  <c r="AC76" i="31"/>
  <c r="AF76" i="31"/>
  <c r="AB69" i="31"/>
  <c r="W69" i="31"/>
  <c r="AC52" i="31"/>
  <c r="J75" i="31"/>
  <c r="AB49" i="31"/>
  <c r="AD49" i="31"/>
  <c r="V75" i="31"/>
  <c r="AG52" i="31"/>
  <c r="AD20" i="31"/>
  <c r="AC10" i="31"/>
  <c r="V48" i="31"/>
  <c r="P112" i="31"/>
  <c r="V69" i="31"/>
  <c r="D116" i="31"/>
  <c r="AA69" i="31"/>
  <c r="V68" i="31"/>
  <c r="V77" i="31"/>
  <c r="AC80" i="31"/>
  <c r="AE82" i="31"/>
  <c r="V85" i="31"/>
  <c r="W88" i="31"/>
  <c r="AE89" i="31"/>
  <c r="V98" i="31"/>
  <c r="V110" i="31"/>
  <c r="AB72" i="31"/>
  <c r="P139" i="31"/>
  <c r="D142" i="31"/>
  <c r="V80" i="31"/>
  <c r="X82" i="31"/>
  <c r="V96" i="31"/>
  <c r="AA76" i="31"/>
  <c r="Y82" i="31"/>
  <c r="AE88" i="31"/>
  <c r="AF80" i="31"/>
  <c r="D152" i="31"/>
  <c r="P145" i="31"/>
  <c r="V82" i="31"/>
  <c r="AA88" i="31"/>
  <c r="AD89" i="31"/>
  <c r="V90" i="31"/>
  <c r="P209" i="31"/>
  <c r="V122" i="31"/>
  <c r="AH122" i="31" s="1"/>
  <c r="P203" i="31"/>
  <c r="V116" i="31"/>
  <c r="AH116" i="31" s="1"/>
  <c r="P206" i="31"/>
  <c r="V119" i="31"/>
  <c r="AH119" i="31" s="1"/>
  <c r="AB20" i="31"/>
  <c r="AA10" i="31"/>
  <c r="Y69" i="31"/>
  <c r="V58" i="31"/>
  <c r="P142" i="31" l="1"/>
  <c r="K11" i="39"/>
  <c r="AH57" i="31"/>
  <c r="G11" i="39"/>
  <c r="F16" i="39"/>
  <c r="I16" i="39"/>
  <c r="K12" i="39"/>
  <c r="M15" i="39"/>
  <c r="L15" i="39"/>
  <c r="D75" i="31"/>
  <c r="C11" i="39"/>
  <c r="C16" i="39"/>
  <c r="O75" i="31"/>
  <c r="N11" i="39"/>
  <c r="J11" i="39"/>
  <c r="J16" i="39"/>
  <c r="H16" i="39"/>
  <c r="J15" i="39"/>
  <c r="K15" i="39"/>
  <c r="G15" i="39"/>
  <c r="K16" i="39"/>
  <c r="H11" i="39"/>
  <c r="L12" i="39"/>
  <c r="C15" i="39"/>
  <c r="M16" i="39"/>
  <c r="D15" i="39"/>
  <c r="G16" i="39"/>
  <c r="H12" i="39"/>
  <c r="N75" i="31"/>
  <c r="M11" i="39"/>
  <c r="D16" i="39"/>
  <c r="D12" i="39"/>
  <c r="H15" i="39"/>
  <c r="F15" i="39"/>
  <c r="N16" i="39"/>
  <c r="L11" i="39"/>
  <c r="L16" i="39"/>
  <c r="J12" i="39"/>
  <c r="E15" i="39"/>
  <c r="N15" i="39"/>
  <c r="F12" i="39"/>
  <c r="I15" i="39"/>
  <c r="F75" i="31"/>
  <c r="E11" i="39"/>
  <c r="L88" i="31"/>
  <c r="J88" i="31"/>
  <c r="H88" i="31"/>
  <c r="N88" i="31"/>
  <c r="O88" i="31"/>
  <c r="F88" i="31"/>
  <c r="D88" i="31"/>
  <c r="AH63" i="35"/>
  <c r="AH77" i="31"/>
  <c r="P152" i="31"/>
  <c r="P124" i="31"/>
  <c r="AH110" i="31"/>
  <c r="AH85" i="31"/>
  <c r="P116" i="31"/>
  <c r="AH75" i="31"/>
  <c r="AH81" i="31"/>
  <c r="AH51" i="31"/>
  <c r="AH112" i="31"/>
  <c r="AH62" i="31"/>
  <c r="P87" i="31"/>
  <c r="P163" i="31"/>
  <c r="AH90" i="31"/>
  <c r="AH98" i="31"/>
  <c r="AH55" i="31"/>
  <c r="AH83" i="31"/>
  <c r="AH94" i="31"/>
  <c r="P74" i="31"/>
  <c r="P75" i="31" s="1"/>
  <c r="AH96" i="31"/>
  <c r="AH54" i="31"/>
  <c r="P107" i="31"/>
  <c r="P136" i="31"/>
  <c r="AH91" i="31"/>
  <c r="AH92" i="31"/>
  <c r="P106" i="31"/>
  <c r="AH109" i="31"/>
  <c r="P193" i="31"/>
  <c r="AH86" i="31"/>
  <c r="AH71" i="31"/>
  <c r="AH32" i="31"/>
  <c r="AH30" i="31"/>
  <c r="AH40" i="31"/>
  <c r="AH36" i="31"/>
  <c r="AH117" i="31"/>
  <c r="AH107" i="31"/>
  <c r="AH99" i="31"/>
  <c r="AH73" i="31"/>
  <c r="AE64" i="31"/>
  <c r="V64" i="31"/>
  <c r="AH41" i="31"/>
  <c r="AH42" i="31"/>
  <c r="AH34" i="31"/>
  <c r="AH38" i="31"/>
  <c r="AH97" i="31"/>
  <c r="AH66" i="31"/>
  <c r="AH106" i="31"/>
  <c r="AH56" i="31"/>
  <c r="AH114" i="31"/>
  <c r="AH58" i="31"/>
  <c r="AH68" i="31"/>
  <c r="AH108" i="31"/>
  <c r="AH103" i="31"/>
  <c r="AH95" i="31"/>
  <c r="AH113" i="31"/>
  <c r="Y65" i="31"/>
  <c r="AB65" i="31"/>
  <c r="AF65" i="31"/>
  <c r="Y64" i="31"/>
  <c r="AH101" i="31"/>
  <c r="AH31" i="31"/>
  <c r="AH111" i="31"/>
  <c r="AH100" i="31"/>
  <c r="AH79" i="31"/>
  <c r="AH93" i="31"/>
  <c r="AD65" i="31"/>
  <c r="X65" i="31"/>
  <c r="W65" i="31"/>
  <c r="AH67" i="31"/>
  <c r="AH104" i="31"/>
  <c r="AH105" i="31"/>
  <c r="AH39" i="31"/>
  <c r="AH78" i="31"/>
  <c r="AH84" i="31"/>
  <c r="AH48" i="31"/>
  <c r="AC65" i="31"/>
  <c r="AA65" i="31"/>
  <c r="AD64" i="31"/>
  <c r="AH37" i="31"/>
  <c r="AH70" i="31"/>
  <c r="AH35" i="31"/>
  <c r="AH87" i="31"/>
  <c r="AH74" i="31"/>
  <c r="AH47" i="31"/>
  <c r="AH33" i="31"/>
  <c r="AG65" i="31"/>
  <c r="Z65" i="31"/>
  <c r="AE65" i="31"/>
  <c r="AH102" i="31"/>
  <c r="AG64" i="31"/>
  <c r="AH21" i="31"/>
  <c r="G75" i="31"/>
  <c r="I88" i="31"/>
  <c r="K75" i="31"/>
  <c r="N102" i="31"/>
  <c r="N109" i="31" s="1"/>
  <c r="M14" i="39" s="1"/>
  <c r="I154" i="31"/>
  <c r="H17" i="39" s="1"/>
  <c r="AH72" i="31"/>
  <c r="L102" i="31"/>
  <c r="L109" i="31" s="1"/>
  <c r="K14" i="39" s="1"/>
  <c r="AH50" i="31"/>
  <c r="F102" i="31"/>
  <c r="AH49" i="31"/>
  <c r="E88" i="31"/>
  <c r="M102" i="31"/>
  <c r="M109" i="31" s="1"/>
  <c r="L14" i="39" s="1"/>
  <c r="M88" i="31"/>
  <c r="AH82" i="31"/>
  <c r="AH80" i="31"/>
  <c r="AH69" i="31"/>
  <c r="K88" i="31"/>
  <c r="K154" i="31"/>
  <c r="J17" i="39" s="1"/>
  <c r="H154" i="31"/>
  <c r="G17" i="39" s="1"/>
  <c r="J154" i="31"/>
  <c r="I17" i="39" s="1"/>
  <c r="AH20" i="31"/>
  <c r="I75" i="31"/>
  <c r="AH53" i="31"/>
  <c r="AH52" i="31"/>
  <c r="G154" i="31"/>
  <c r="F17" i="39" s="1"/>
  <c r="M75" i="31"/>
  <c r="AH89" i="31"/>
  <c r="O102" i="31"/>
  <c r="O109" i="31" s="1"/>
  <c r="N14" i="39" s="1"/>
  <c r="G102" i="31"/>
  <c r="G109" i="31" s="1"/>
  <c r="F14" i="39" s="1"/>
  <c r="E102" i="31"/>
  <c r="E109" i="31" s="1"/>
  <c r="D14" i="39" s="1"/>
  <c r="J102" i="31"/>
  <c r="J109" i="31" s="1"/>
  <c r="I14" i="39" s="1"/>
  <c r="M154" i="31"/>
  <c r="L17" i="39" s="1"/>
  <c r="G88" i="31"/>
  <c r="V65" i="31"/>
  <c r="AH76" i="31"/>
  <c r="F154" i="31"/>
  <c r="E17" i="39" s="1"/>
  <c r="E154" i="31"/>
  <c r="D17" i="39" s="1"/>
  <c r="E75" i="31"/>
  <c r="D102" i="31"/>
  <c r="K102" i="31"/>
  <c r="K109" i="31" s="1"/>
  <c r="J14" i="39" s="1"/>
  <c r="N154" i="31"/>
  <c r="M17" i="39" s="1"/>
  <c r="AH10" i="31"/>
  <c r="D154" i="31"/>
  <c r="C17" i="39" s="1"/>
  <c r="AH88" i="31"/>
  <c r="O154" i="31"/>
  <c r="N17" i="39" s="1"/>
  <c r="L154" i="31"/>
  <c r="K17" i="39" s="1"/>
  <c r="I102" i="31"/>
  <c r="I109" i="31" s="1"/>
  <c r="H14" i="39" s="1"/>
  <c r="H102" i="31"/>
  <c r="H109" i="31" s="1"/>
  <c r="G14" i="39" s="1"/>
  <c r="O12" i="39" l="1"/>
  <c r="Q12" i="39" s="1"/>
  <c r="R12" i="39" s="1"/>
  <c r="D155" i="31"/>
  <c r="F155" i="31"/>
  <c r="M155" i="31"/>
  <c r="J155" i="31"/>
  <c r="O16" i="39"/>
  <c r="Q16" i="39" s="1"/>
  <c r="R16" i="39" s="1"/>
  <c r="L155" i="31"/>
  <c r="H155" i="31"/>
  <c r="O15" i="39"/>
  <c r="Q15" i="39" s="1"/>
  <c r="R15" i="39" s="1"/>
  <c r="O155" i="31"/>
  <c r="K155" i="31"/>
  <c r="N155" i="31"/>
  <c r="E155" i="31"/>
  <c r="G155" i="31"/>
  <c r="I155" i="31"/>
  <c r="O18" i="39"/>
  <c r="Q18" i="39" s="1"/>
  <c r="R18" i="39" s="1"/>
  <c r="O11" i="39"/>
  <c r="Q11" i="39" s="1"/>
  <c r="R11" i="39" s="1"/>
  <c r="P88" i="31"/>
  <c r="F109" i="31"/>
  <c r="E14" i="39" s="1"/>
  <c r="AH64" i="31"/>
  <c r="AF63" i="31"/>
  <c r="X63" i="31"/>
  <c r="AH65" i="31"/>
  <c r="AD63" i="31"/>
  <c r="P154" i="31"/>
  <c r="AA63" i="31"/>
  <c r="AC63" i="31"/>
  <c r="AB63" i="31"/>
  <c r="AE63" i="31"/>
  <c r="W63" i="31"/>
  <c r="Y63" i="31"/>
  <c r="Z63" i="31"/>
  <c r="P102" i="31"/>
  <c r="D109" i="31"/>
  <c r="C14" i="39" s="1"/>
  <c r="V63" i="31"/>
  <c r="AG63" i="31"/>
  <c r="O17" i="39" l="1"/>
  <c r="Q17" i="39" s="1"/>
  <c r="R17" i="39" s="1"/>
  <c r="P155" i="31"/>
  <c r="P109" i="31"/>
  <c r="AH63" i="31"/>
  <c r="O14" i="39" l="1"/>
  <c r="Q14" i="39" s="1"/>
  <c r="R14" i="39" s="1"/>
  <c r="C6" i="26" l="1"/>
  <c r="C69" i="23" l="1"/>
  <c r="K26" i="23"/>
  <c r="J28" i="23"/>
  <c r="J29" i="23"/>
  <c r="J30" i="23"/>
  <c r="J31" i="23"/>
  <c r="J32" i="23"/>
  <c r="J27" i="23"/>
  <c r="C19" i="23"/>
  <c r="B9" i="14"/>
  <c r="K29" i="23" l="1"/>
  <c r="C29" i="23" s="1"/>
  <c r="F69" i="23"/>
  <c r="K30" i="23"/>
  <c r="C30" i="23" s="1"/>
  <c r="K32" i="23"/>
  <c r="C32" i="23" s="1"/>
  <c r="K31" i="23"/>
  <c r="C31" i="23" s="1"/>
  <c r="K28" i="23"/>
  <c r="C28" i="23" s="1"/>
  <c r="K27" i="23"/>
  <c r="C27" i="23" s="1"/>
  <c r="O24" i="29"/>
  <c r="K25" i="29" s="1"/>
  <c r="B9" i="29" s="1"/>
  <c r="E9" i="29" s="1"/>
  <c r="C35" i="23" l="1"/>
  <c r="F35" i="23" s="1"/>
  <c r="K26" i="29"/>
  <c r="B33" i="28" l="1"/>
  <c r="E33" i="28" s="1"/>
  <c r="M11" i="27" l="1"/>
  <c r="B38" i="28" l="1"/>
  <c r="B42" i="28" s="1"/>
  <c r="B47" i="28"/>
  <c r="B51" i="28" s="1"/>
  <c r="U32" i="8" l="1"/>
  <c r="V32" i="8" s="1"/>
  <c r="U31" i="8"/>
  <c r="U27" i="8"/>
  <c r="U22" i="8"/>
  <c r="U17" i="8"/>
  <c r="U16" i="8"/>
  <c r="U15" i="8"/>
  <c r="U12" i="8"/>
  <c r="U11" i="8"/>
  <c r="U10" i="8"/>
  <c r="U9" i="8"/>
  <c r="U8" i="8"/>
  <c r="U7" i="8"/>
  <c r="U6" i="8"/>
  <c r="U34" i="8" l="1"/>
  <c r="V24" i="8"/>
  <c r="V29" i="8"/>
  <c r="U24" i="8"/>
  <c r="V34" i="8"/>
  <c r="U29" i="8"/>
  <c r="V36" i="8" l="1"/>
  <c r="U36" i="8"/>
  <c r="C38" i="26"/>
  <c r="I32" i="8" l="1"/>
  <c r="I31" i="8"/>
  <c r="J32" i="8" l="1"/>
  <c r="K32" i="8" s="1"/>
  <c r="Z32" i="8" s="1"/>
  <c r="D51" i="8"/>
  <c r="J31" i="8"/>
  <c r="K31" i="8" s="1"/>
  <c r="Z31" i="8" s="1"/>
  <c r="D50" i="8"/>
  <c r="D52" i="8"/>
  <c r="I34" i="8"/>
  <c r="D60" i="8" s="1"/>
  <c r="E47" i="28"/>
  <c r="E51" i="28" s="1"/>
  <c r="E38" i="28"/>
  <c r="E42" i="28" s="1"/>
  <c r="O2" i="27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10" i="28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53" i="27"/>
  <c r="E42" i="27"/>
  <c r="A12" i="27"/>
  <c r="J34" i="8" l="1"/>
  <c r="D59" i="8"/>
  <c r="A19" i="14"/>
  <c r="K34" i="8" l="1"/>
  <c r="C35" i="25"/>
  <c r="A66" i="26"/>
  <c r="A65" i="26"/>
  <c r="A64" i="26"/>
  <c r="A63" i="26"/>
  <c r="A62" i="26"/>
  <c r="A61" i="26"/>
  <c r="A60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24" i="26"/>
  <c r="A23" i="26"/>
  <c r="A22" i="26"/>
  <c r="A21" i="26"/>
  <c r="A20" i="26"/>
  <c r="A19" i="26"/>
  <c r="P10" i="25"/>
  <c r="C6" i="25"/>
  <c r="C11" i="23" l="1"/>
  <c r="C10" i="23"/>
  <c r="C42" i="23"/>
  <c r="C45" i="26" s="1"/>
  <c r="A63" i="23"/>
  <c r="A62" i="23"/>
  <c r="A61" i="23"/>
  <c r="A60" i="23"/>
  <c r="A59" i="23"/>
  <c r="A58" i="23"/>
  <c r="A57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38" i="23"/>
  <c r="C43" i="23"/>
  <c r="C46" i="26" s="1"/>
  <c r="C45" i="23"/>
  <c r="C48" i="26" s="1"/>
  <c r="C48" i="23"/>
  <c r="C51" i="26" s="1"/>
  <c r="C51" i="23"/>
  <c r="C54" i="26" s="1"/>
  <c r="C57" i="23"/>
  <c r="C60" i="26" s="1"/>
  <c r="C58" i="23"/>
  <c r="C61" i="26" s="1"/>
  <c r="C59" i="23"/>
  <c r="C62" i="26" s="1"/>
  <c r="C23" i="26"/>
  <c r="A16" i="23"/>
  <c r="A17" i="23"/>
  <c r="A16" i="14" s="1"/>
  <c r="A18" i="23"/>
  <c r="A19" i="23"/>
  <c r="A20" i="23"/>
  <c r="A15" i="23"/>
  <c r="C15" i="23"/>
  <c r="C16" i="23" l="1"/>
  <c r="C20" i="26" s="1"/>
  <c r="C20" i="23"/>
  <c r="C24" i="26" s="1"/>
  <c r="C17" i="23"/>
  <c r="B50" i="27" s="1"/>
  <c r="N18" i="27" s="1"/>
  <c r="C18" i="23"/>
  <c r="B9" i="27" s="1"/>
  <c r="C26" i="26"/>
  <c r="C21" i="23"/>
  <c r="A18" i="14"/>
  <c r="A16" i="27"/>
  <c r="A15" i="14"/>
  <c r="A14" i="27"/>
  <c r="A17" i="14"/>
  <c r="A15" i="27"/>
  <c r="A14" i="14"/>
  <c r="A13" i="27"/>
  <c r="C19" i="26"/>
  <c r="C28" i="26" s="1"/>
  <c r="C38" i="23"/>
  <c r="C41" i="26" s="1"/>
  <c r="C60" i="23"/>
  <c r="C63" i="26" s="1"/>
  <c r="C50" i="23"/>
  <c r="C53" i="26" s="1"/>
  <c r="C46" i="23"/>
  <c r="C44" i="23"/>
  <c r="C47" i="26" s="1"/>
  <c r="C40" i="23"/>
  <c r="C43" i="26" s="1"/>
  <c r="C61" i="23"/>
  <c r="C64" i="26" s="1"/>
  <c r="C49" i="23"/>
  <c r="C52" i="26" s="1"/>
  <c r="C47" i="23"/>
  <c r="C50" i="26" s="1"/>
  <c r="C41" i="23"/>
  <c r="C44" i="26" s="1"/>
  <c r="C39" i="23"/>
  <c r="C42" i="26" s="1"/>
  <c r="C18" i="25" l="1"/>
  <c r="H18" i="25" s="1"/>
  <c r="C22" i="26"/>
  <c r="E7" i="28" s="1"/>
  <c r="C21" i="26"/>
  <c r="E50" i="27" s="1"/>
  <c r="C19" i="25"/>
  <c r="I19" i="25" s="1"/>
  <c r="B11" i="14"/>
  <c r="B7" i="28"/>
  <c r="N17" i="27" s="1"/>
  <c r="C9" i="23"/>
  <c r="C15" i="25"/>
  <c r="C49" i="26"/>
  <c r="J18" i="25"/>
  <c r="N18" i="25"/>
  <c r="C63" i="23"/>
  <c r="C66" i="26" s="1"/>
  <c r="C71" i="23"/>
  <c r="K18" i="25" l="1"/>
  <c r="M18" i="25"/>
  <c r="L18" i="25"/>
  <c r="I18" i="25"/>
  <c r="G18" i="25"/>
  <c r="D18" i="25"/>
  <c r="P18" i="25" s="1"/>
  <c r="Q18" i="25" s="1"/>
  <c r="F18" i="25"/>
  <c r="O18" i="25"/>
  <c r="E18" i="25"/>
  <c r="E11" i="14"/>
  <c r="E9" i="27"/>
  <c r="K19" i="25"/>
  <c r="N19" i="25"/>
  <c r="H19" i="25"/>
  <c r="E19" i="25"/>
  <c r="G19" i="25"/>
  <c r="F19" i="25"/>
  <c r="D19" i="25"/>
  <c r="P19" i="25" s="1"/>
  <c r="Q19" i="25" s="1"/>
  <c r="J19" i="25"/>
  <c r="M19" i="25"/>
  <c r="B42" i="27"/>
  <c r="N22" i="27" s="1"/>
  <c r="L19" i="25"/>
  <c r="O19" i="25"/>
  <c r="B46" i="14"/>
  <c r="O22" i="27" s="1"/>
  <c r="C31" i="25"/>
  <c r="F15" i="25"/>
  <c r="I15" i="25"/>
  <c r="M15" i="25"/>
  <c r="K15" i="25"/>
  <c r="N15" i="25"/>
  <c r="J15" i="25"/>
  <c r="E15" i="25"/>
  <c r="O15" i="25"/>
  <c r="G15" i="25"/>
  <c r="D15" i="25"/>
  <c r="L15" i="25"/>
  <c r="H15" i="25"/>
  <c r="P22" i="27" l="1"/>
  <c r="A52" i="23"/>
  <c r="A55" i="26"/>
  <c r="A56" i="23"/>
  <c r="A59" i="26"/>
  <c r="A55" i="23"/>
  <c r="A58" i="26"/>
  <c r="A54" i="23"/>
  <c r="A57" i="26"/>
  <c r="A53" i="23"/>
  <c r="A56" i="26"/>
  <c r="P15" i="25"/>
  <c r="Q15" i="25" s="1"/>
  <c r="E31" i="25"/>
  <c r="D31" i="25"/>
  <c r="P31" i="25" l="1"/>
  <c r="C62" i="23"/>
  <c r="I7" i="8"/>
  <c r="B45" i="8" s="1"/>
  <c r="I8" i="8"/>
  <c r="B46" i="8" s="1"/>
  <c r="I9" i="8"/>
  <c r="B47" i="8" s="1"/>
  <c r="B48" i="8"/>
  <c r="I10" i="8"/>
  <c r="B49" i="8" s="1"/>
  <c r="I11" i="8"/>
  <c r="B50" i="8" s="1"/>
  <c r="I12" i="8"/>
  <c r="B51" i="8" s="1"/>
  <c r="B52" i="8"/>
  <c r="I15" i="8"/>
  <c r="B53" i="8" s="1"/>
  <c r="C52" i="8"/>
  <c r="E46" i="8" l="1"/>
  <c r="E49" i="8"/>
  <c r="E45" i="8"/>
  <c r="E53" i="8"/>
  <c r="E52" i="8"/>
  <c r="E48" i="8"/>
  <c r="E47" i="8"/>
  <c r="J15" i="8"/>
  <c r="J7" i="8"/>
  <c r="J12" i="8"/>
  <c r="J9" i="8"/>
  <c r="J10" i="8"/>
  <c r="J11" i="8"/>
  <c r="J8" i="8"/>
  <c r="C65" i="26"/>
  <c r="K11" i="8" l="1"/>
  <c r="Z11" i="8" s="1"/>
  <c r="K9" i="8"/>
  <c r="Z9" i="8" s="1"/>
  <c r="K15" i="8"/>
  <c r="Z15" i="8" s="1"/>
  <c r="K8" i="8"/>
  <c r="Z8" i="8" s="1"/>
  <c r="K10" i="8"/>
  <c r="Z10" i="8" s="1"/>
  <c r="K12" i="8"/>
  <c r="Z12" i="8" s="1"/>
  <c r="K7" i="8"/>
  <c r="Z7" i="8" s="1"/>
  <c r="G52" i="8"/>
  <c r="G45" i="8"/>
  <c r="G48" i="8"/>
  <c r="G53" i="8"/>
  <c r="G46" i="8"/>
  <c r="G47" i="8"/>
  <c r="G49" i="8"/>
  <c r="B36" i="31" l="1"/>
  <c r="B94" i="31"/>
  <c r="B32" i="31"/>
  <c r="K24" i="50" l="1"/>
  <c r="M24" i="50" s="1"/>
  <c r="K26" i="50" l="1"/>
  <c r="M26" i="50" s="1"/>
  <c r="B33" i="31"/>
  <c r="C56" i="8"/>
  <c r="K19" i="50"/>
  <c r="M19" i="50" s="1"/>
  <c r="J27" i="8"/>
  <c r="K27" i="8" l="1"/>
  <c r="Z27" i="8" s="1"/>
  <c r="C35" i="47"/>
  <c r="D35" i="47" s="1"/>
  <c r="H32" i="31"/>
  <c r="Z24" i="31" s="1"/>
  <c r="J32" i="31"/>
  <c r="AB24" i="31" s="1"/>
  <c r="I32" i="31"/>
  <c r="AA24" i="31" s="1"/>
  <c r="K32" i="31"/>
  <c r="AC24" i="31" s="1"/>
  <c r="N32" i="31"/>
  <c r="AF24" i="31" s="1"/>
  <c r="E32" i="31"/>
  <c r="W24" i="31" s="1"/>
  <c r="O32" i="31"/>
  <c r="AG24" i="31" s="1"/>
  <c r="M32" i="31"/>
  <c r="AE24" i="31" s="1"/>
  <c r="F32" i="31"/>
  <c r="X24" i="31" s="1"/>
  <c r="G32" i="31"/>
  <c r="Y24" i="31" s="1"/>
  <c r="L32" i="31"/>
  <c r="AD24" i="31" s="1"/>
  <c r="D32" i="31"/>
  <c r="L36" i="31"/>
  <c r="AD28" i="31" s="1"/>
  <c r="H36" i="31"/>
  <c r="Z28" i="31" s="1"/>
  <c r="E36" i="31"/>
  <c r="W28" i="31" s="1"/>
  <c r="G36" i="31"/>
  <c r="Y28" i="31" s="1"/>
  <c r="F36" i="31"/>
  <c r="X28" i="31" s="1"/>
  <c r="I36" i="31"/>
  <c r="AA28" i="31" s="1"/>
  <c r="K36" i="31"/>
  <c r="AC28" i="31" s="1"/>
  <c r="D36" i="31"/>
  <c r="V28" i="31" s="1"/>
  <c r="N36" i="31"/>
  <c r="AF28" i="31" s="1"/>
  <c r="J36" i="31"/>
  <c r="AB28" i="31" s="1"/>
  <c r="O36" i="31"/>
  <c r="AG28" i="31" s="1"/>
  <c r="M36" i="31"/>
  <c r="AE28" i="31" s="1"/>
  <c r="C55" i="23"/>
  <c r="C58" i="26" s="1"/>
  <c r="C56" i="23"/>
  <c r="C59" i="26" s="1"/>
  <c r="B36" i="35" l="1"/>
  <c r="J36" i="35" s="1"/>
  <c r="AB28" i="35" s="1"/>
  <c r="B32" i="35"/>
  <c r="F32" i="35" s="1"/>
  <c r="X24" i="35" s="1"/>
  <c r="P32" i="31"/>
  <c r="V24" i="31"/>
  <c r="AH24" i="31" s="1"/>
  <c r="AH28" i="31"/>
  <c r="P36" i="31"/>
  <c r="C53" i="23"/>
  <c r="C56" i="26" s="1"/>
  <c r="C54" i="23"/>
  <c r="C57" i="26" s="1"/>
  <c r="O36" i="35" l="1"/>
  <c r="AG28" i="35" s="1"/>
  <c r="D36" i="35"/>
  <c r="V28" i="35" s="1"/>
  <c r="E36" i="35"/>
  <c r="W28" i="35" s="1"/>
  <c r="F36" i="35"/>
  <c r="X28" i="35" s="1"/>
  <c r="L36" i="35"/>
  <c r="AD28" i="35" s="1"/>
  <c r="H36" i="35"/>
  <c r="Z28" i="35" s="1"/>
  <c r="K36" i="35"/>
  <c r="AC28" i="35" s="1"/>
  <c r="I36" i="35"/>
  <c r="AA28" i="35" s="1"/>
  <c r="N36" i="35"/>
  <c r="AF28" i="35" s="1"/>
  <c r="M36" i="35"/>
  <c r="AE28" i="35" s="1"/>
  <c r="G36" i="35"/>
  <c r="Y28" i="35" s="1"/>
  <c r="I32" i="35"/>
  <c r="AA24" i="35" s="1"/>
  <c r="O32" i="35"/>
  <c r="AG24" i="35" s="1"/>
  <c r="N32" i="35"/>
  <c r="AF24" i="35" s="1"/>
  <c r="H32" i="35"/>
  <c r="Z24" i="35" s="1"/>
  <c r="M32" i="35"/>
  <c r="AE24" i="35" s="1"/>
  <c r="K32" i="35"/>
  <c r="AC24" i="35" s="1"/>
  <c r="L32" i="35"/>
  <c r="AD24" i="35" s="1"/>
  <c r="G32" i="35"/>
  <c r="Y24" i="35" s="1"/>
  <c r="D32" i="35"/>
  <c r="V24" i="35" s="1"/>
  <c r="J32" i="35"/>
  <c r="AB24" i="35" s="1"/>
  <c r="E32" i="35"/>
  <c r="W24" i="35" s="1"/>
  <c r="C52" i="23"/>
  <c r="AH28" i="35" l="1"/>
  <c r="P36" i="35"/>
  <c r="AH24" i="35"/>
  <c r="P32" i="35"/>
  <c r="B58" i="8"/>
  <c r="C55" i="26"/>
  <c r="C67" i="26" s="1"/>
  <c r="C16" i="25"/>
  <c r="C64" i="23"/>
  <c r="F64" i="23" s="1"/>
  <c r="K22" i="8" l="1"/>
  <c r="Z22" i="8" s="1"/>
  <c r="E50" i="8"/>
  <c r="E56" i="8"/>
  <c r="E58" i="8"/>
  <c r="B19" i="27"/>
  <c r="C22" i="25"/>
  <c r="B9" i="28"/>
  <c r="B23" i="14"/>
  <c r="O21" i="27" s="1"/>
  <c r="B52" i="27"/>
  <c r="E16" i="25"/>
  <c r="N16" i="25"/>
  <c r="G16" i="25"/>
  <c r="H16" i="25"/>
  <c r="F16" i="25"/>
  <c r="J16" i="25"/>
  <c r="L16" i="25"/>
  <c r="K16" i="25"/>
  <c r="I16" i="25"/>
  <c r="D16" i="25"/>
  <c r="P16" i="25" s="1"/>
  <c r="Q16" i="25" s="1"/>
  <c r="O16" i="25"/>
  <c r="M16" i="25"/>
  <c r="E9" i="28"/>
  <c r="E52" i="27"/>
  <c r="E23" i="14"/>
  <c r="E19" i="27"/>
  <c r="G58" i="8" l="1"/>
  <c r="G50" i="8"/>
  <c r="G56" i="8"/>
  <c r="L22" i="25"/>
  <c r="M22" i="25"/>
  <c r="O22" i="25"/>
  <c r="F22" i="25"/>
  <c r="H22" i="25"/>
  <c r="N22" i="25"/>
  <c r="D22" i="25"/>
  <c r="I22" i="25"/>
  <c r="E22" i="25"/>
  <c r="K22" i="25"/>
  <c r="J22" i="25"/>
  <c r="G22" i="25"/>
  <c r="N21" i="27"/>
  <c r="P21" i="27" s="1"/>
  <c r="B96" i="31" l="1"/>
  <c r="P22" i="25"/>
  <c r="Q22" i="25" s="1"/>
  <c r="B37" i="31" l="1"/>
  <c r="K15" i="50"/>
  <c r="M15" i="50" s="1"/>
  <c r="C21" i="25"/>
  <c r="C25" i="26"/>
  <c r="C24" i="23"/>
  <c r="F24" i="23" s="1"/>
  <c r="C13" i="26"/>
  <c r="C14" i="26"/>
  <c r="C15" i="26"/>
  <c r="C37" i="47" l="1"/>
  <c r="D37" i="47" s="1"/>
  <c r="K13" i="50"/>
  <c r="M13" i="50" s="1"/>
  <c r="J94" i="31"/>
  <c r="AB59" i="31" s="1"/>
  <c r="N94" i="31"/>
  <c r="AF59" i="31" s="1"/>
  <c r="L94" i="31"/>
  <c r="AD59" i="31" s="1"/>
  <c r="K94" i="31"/>
  <c r="AC59" i="31" s="1"/>
  <c r="H94" i="31"/>
  <c r="Z59" i="31" s="1"/>
  <c r="D94" i="31"/>
  <c r="F94" i="31"/>
  <c r="X59" i="31" s="1"/>
  <c r="E94" i="31"/>
  <c r="W59" i="31" s="1"/>
  <c r="I94" i="31"/>
  <c r="AA59" i="31" s="1"/>
  <c r="G94" i="31"/>
  <c r="Y59" i="31" s="1"/>
  <c r="O94" i="31"/>
  <c r="AG59" i="31" s="1"/>
  <c r="M94" i="31"/>
  <c r="AE59" i="31" s="1"/>
  <c r="B11" i="27"/>
  <c r="N19" i="27" s="1"/>
  <c r="N20" i="27" s="1"/>
  <c r="B13" i="14"/>
  <c r="O20" i="27" s="1"/>
  <c r="E13" i="14"/>
  <c r="E11" i="27"/>
  <c r="O21" i="25"/>
  <c r="M21" i="25"/>
  <c r="H21" i="25"/>
  <c r="L21" i="25"/>
  <c r="J21" i="25"/>
  <c r="N21" i="25"/>
  <c r="F21" i="25"/>
  <c r="E21" i="25"/>
  <c r="D21" i="25"/>
  <c r="I21" i="25"/>
  <c r="G21" i="25"/>
  <c r="K21" i="25"/>
  <c r="C16" i="26"/>
  <c r="E7" i="29" s="1"/>
  <c r="E14" i="29" s="1"/>
  <c r="E25" i="29" s="1"/>
  <c r="C12" i="23"/>
  <c r="B29" i="35" l="1"/>
  <c r="L29" i="35" s="1"/>
  <c r="AD21" i="35" s="1"/>
  <c r="C38" i="47"/>
  <c r="D38" i="47" s="1"/>
  <c r="C36" i="47"/>
  <c r="D36" i="47" s="1"/>
  <c r="B34" i="31"/>
  <c r="M34" i="31" s="1"/>
  <c r="AE26" i="31" s="1"/>
  <c r="K17" i="50"/>
  <c r="M17" i="50" s="1"/>
  <c r="K16" i="50"/>
  <c r="M16" i="50" s="1"/>
  <c r="H37" i="31"/>
  <c r="Z29" i="31" s="1"/>
  <c r="N37" i="31"/>
  <c r="AF29" i="31" s="1"/>
  <c r="D37" i="31"/>
  <c r="K37" i="31"/>
  <c r="AC29" i="31" s="1"/>
  <c r="F37" i="31"/>
  <c r="X29" i="31" s="1"/>
  <c r="O37" i="31"/>
  <c r="AG29" i="31" s="1"/>
  <c r="J37" i="31"/>
  <c r="AB29" i="31" s="1"/>
  <c r="M37" i="31"/>
  <c r="AE29" i="31" s="1"/>
  <c r="G37" i="31"/>
  <c r="Y29" i="31" s="1"/>
  <c r="E37" i="31"/>
  <c r="W29" i="31" s="1"/>
  <c r="I37" i="31"/>
  <c r="AA29" i="31" s="1"/>
  <c r="L37" i="31"/>
  <c r="AD29" i="31" s="1"/>
  <c r="V59" i="31"/>
  <c r="AH59" i="31" s="1"/>
  <c r="P94" i="31"/>
  <c r="B7" i="29"/>
  <c r="B14" i="29" s="1"/>
  <c r="B25" i="29" s="1"/>
  <c r="F12" i="23"/>
  <c r="P20" i="27"/>
  <c r="E21" i="14"/>
  <c r="P21" i="25"/>
  <c r="Q21" i="25" s="1"/>
  <c r="B21" i="14"/>
  <c r="O24" i="27" s="1"/>
  <c r="C17" i="25"/>
  <c r="C33" i="26"/>
  <c r="C34" i="26"/>
  <c r="C36" i="26"/>
  <c r="O34" i="31" l="1"/>
  <c r="AG26" i="31" s="1"/>
  <c r="B34" i="35"/>
  <c r="H34" i="35" s="1"/>
  <c r="Z26" i="35" s="1"/>
  <c r="H29" i="35"/>
  <c r="Z21" i="35" s="1"/>
  <c r="N29" i="35"/>
  <c r="AF21" i="35" s="1"/>
  <c r="F29" i="35"/>
  <c r="X21" i="35" s="1"/>
  <c r="D29" i="35"/>
  <c r="V21" i="35" s="1"/>
  <c r="M29" i="35"/>
  <c r="AE21" i="35" s="1"/>
  <c r="G29" i="35"/>
  <c r="Y21" i="35" s="1"/>
  <c r="K29" i="35"/>
  <c r="AC21" i="35" s="1"/>
  <c r="O29" i="35"/>
  <c r="AG21" i="35" s="1"/>
  <c r="I29" i="35"/>
  <c r="AA21" i="35" s="1"/>
  <c r="E29" i="35"/>
  <c r="W21" i="35" s="1"/>
  <c r="J29" i="35"/>
  <c r="AB21" i="35" s="1"/>
  <c r="B37" i="35"/>
  <c r="N37" i="35" s="1"/>
  <c r="AF29" i="35" s="1"/>
  <c r="C32" i="47"/>
  <c r="D32" i="47" s="1"/>
  <c r="B94" i="35"/>
  <c r="C33" i="47"/>
  <c r="D34" i="31"/>
  <c r="V26" i="31" s="1"/>
  <c r="F34" i="31"/>
  <c r="X26" i="31" s="1"/>
  <c r="H34" i="31"/>
  <c r="Z26" i="31" s="1"/>
  <c r="J34" i="31"/>
  <c r="AB26" i="31" s="1"/>
  <c r="G34" i="31"/>
  <c r="Y26" i="31" s="1"/>
  <c r="K34" i="31"/>
  <c r="AC26" i="31" s="1"/>
  <c r="I34" i="31"/>
  <c r="AA26" i="31" s="1"/>
  <c r="N34" i="31"/>
  <c r="AF26" i="31" s="1"/>
  <c r="E34" i="31"/>
  <c r="W26" i="31" s="1"/>
  <c r="L34" i="31"/>
  <c r="AD26" i="31" s="1"/>
  <c r="D33" i="31"/>
  <c r="V25" i="31" s="1"/>
  <c r="L33" i="31"/>
  <c r="AD25" i="31" s="1"/>
  <c r="K33" i="31"/>
  <c r="AC25" i="31" s="1"/>
  <c r="G33" i="31"/>
  <c r="Y25" i="31" s="1"/>
  <c r="H33" i="31"/>
  <c r="Z25" i="31" s="1"/>
  <c r="O33" i="31"/>
  <c r="AG25" i="31" s="1"/>
  <c r="J33" i="31"/>
  <c r="AB25" i="31" s="1"/>
  <c r="E33" i="31"/>
  <c r="W25" i="31" s="1"/>
  <c r="I33" i="31"/>
  <c r="AA25" i="31" s="1"/>
  <c r="M33" i="31"/>
  <c r="AE25" i="31" s="1"/>
  <c r="F33" i="31"/>
  <c r="X25" i="31" s="1"/>
  <c r="N33" i="31"/>
  <c r="AF25" i="31" s="1"/>
  <c r="P37" i="31"/>
  <c r="V29" i="31"/>
  <c r="AH29" i="31" s="1"/>
  <c r="N24" i="27"/>
  <c r="P24" i="27" s="1"/>
  <c r="F17" i="25"/>
  <c r="M17" i="25"/>
  <c r="I17" i="25"/>
  <c r="E17" i="25"/>
  <c r="N17" i="25"/>
  <c r="J17" i="25"/>
  <c r="O17" i="25"/>
  <c r="K17" i="25"/>
  <c r="G17" i="25"/>
  <c r="D17" i="25"/>
  <c r="L17" i="25"/>
  <c r="H17" i="25"/>
  <c r="C31" i="26"/>
  <c r="C35" i="26"/>
  <c r="AH21" i="35" l="1"/>
  <c r="P29" i="35"/>
  <c r="AH26" i="31"/>
  <c r="J37" i="35"/>
  <c r="AB29" i="35" s="1"/>
  <c r="M37" i="35"/>
  <c r="AE29" i="35" s="1"/>
  <c r="F37" i="35"/>
  <c r="X29" i="35" s="1"/>
  <c r="H37" i="35"/>
  <c r="Z29" i="35" s="1"/>
  <c r="O37" i="35"/>
  <c r="AG29" i="35" s="1"/>
  <c r="D37" i="35"/>
  <c r="V29" i="35" s="1"/>
  <c r="G37" i="35"/>
  <c r="Y29" i="35" s="1"/>
  <c r="I37" i="35"/>
  <c r="AA29" i="35" s="1"/>
  <c r="L37" i="35"/>
  <c r="AD29" i="35" s="1"/>
  <c r="E37" i="35"/>
  <c r="W29" i="35" s="1"/>
  <c r="K37" i="35"/>
  <c r="AC29" i="35" s="1"/>
  <c r="F34" i="35"/>
  <c r="X26" i="35" s="1"/>
  <c r="L34" i="35"/>
  <c r="AD26" i="35" s="1"/>
  <c r="N94" i="35"/>
  <c r="AF59" i="35" s="1"/>
  <c r="H94" i="35"/>
  <c r="Z59" i="35" s="1"/>
  <c r="J94" i="35"/>
  <c r="AB59" i="35" s="1"/>
  <c r="L94" i="35"/>
  <c r="AD59" i="35" s="1"/>
  <c r="D94" i="35"/>
  <c r="I94" i="35"/>
  <c r="AA59" i="35" s="1"/>
  <c r="E94" i="35"/>
  <c r="W59" i="35" s="1"/>
  <c r="F94" i="35"/>
  <c r="X59" i="35" s="1"/>
  <c r="K94" i="35"/>
  <c r="AC59" i="35" s="1"/>
  <c r="O94" i="35"/>
  <c r="AG59" i="35" s="1"/>
  <c r="G94" i="35"/>
  <c r="Y59" i="35" s="1"/>
  <c r="M94" i="35"/>
  <c r="AE59" i="35" s="1"/>
  <c r="J34" i="35"/>
  <c r="AB26" i="35" s="1"/>
  <c r="E34" i="35"/>
  <c r="W26" i="35" s="1"/>
  <c r="M34" i="35"/>
  <c r="AE26" i="35" s="1"/>
  <c r="I34" i="35"/>
  <c r="AA26" i="35" s="1"/>
  <c r="N34" i="35"/>
  <c r="AF26" i="35" s="1"/>
  <c r="K34" i="35"/>
  <c r="AC26" i="35" s="1"/>
  <c r="D34" i="35"/>
  <c r="V26" i="35" s="1"/>
  <c r="O34" i="35"/>
  <c r="AG26" i="35" s="1"/>
  <c r="G34" i="35"/>
  <c r="Y26" i="35" s="1"/>
  <c r="D33" i="47"/>
  <c r="B33" i="35"/>
  <c r="P34" i="31"/>
  <c r="AH25" i="31"/>
  <c r="P33" i="31"/>
  <c r="P17" i="25"/>
  <c r="Q17" i="25" s="1"/>
  <c r="P37" i="35" l="1"/>
  <c r="AH29" i="35"/>
  <c r="AH26" i="35"/>
  <c r="V59" i="35"/>
  <c r="AH59" i="35" s="1"/>
  <c r="P94" i="35"/>
  <c r="P34" i="35"/>
  <c r="O33" i="35"/>
  <c r="AG25" i="35" s="1"/>
  <c r="G33" i="35"/>
  <c r="Y25" i="35" s="1"/>
  <c r="H33" i="35"/>
  <c r="Z25" i="35" s="1"/>
  <c r="L33" i="35"/>
  <c r="AD25" i="35" s="1"/>
  <c r="D33" i="35"/>
  <c r="M33" i="35"/>
  <c r="AE25" i="35" s="1"/>
  <c r="E33" i="35"/>
  <c r="W25" i="35" s="1"/>
  <c r="F33" i="35"/>
  <c r="X25" i="35" s="1"/>
  <c r="I33" i="35"/>
  <c r="AA25" i="35" s="1"/>
  <c r="N33" i="35"/>
  <c r="AF25" i="35" s="1"/>
  <c r="K33" i="35"/>
  <c r="AC25" i="35" s="1"/>
  <c r="J33" i="35"/>
  <c r="AB25" i="35" s="1"/>
  <c r="C32" i="26"/>
  <c r="V25" i="35" l="1"/>
  <c r="AH25" i="35" s="1"/>
  <c r="P33" i="35"/>
  <c r="E7" i="27"/>
  <c r="E9" i="14"/>
  <c r="B7" i="27"/>
  <c r="O16" i="27"/>
  <c r="C20" i="25"/>
  <c r="N16" i="27" l="1"/>
  <c r="P16" i="27" s="1"/>
  <c r="E20" i="25"/>
  <c r="H20" i="25"/>
  <c r="D20" i="25"/>
  <c r="L20" i="25"/>
  <c r="N20" i="25"/>
  <c r="F20" i="25"/>
  <c r="O20" i="25"/>
  <c r="K20" i="25"/>
  <c r="G20" i="25"/>
  <c r="J20" i="25"/>
  <c r="M20" i="25"/>
  <c r="I20" i="25"/>
  <c r="I6" i="8"/>
  <c r="B44" i="8" l="1"/>
  <c r="P20" i="25"/>
  <c r="Q20" i="25" s="1"/>
  <c r="I17" i="8"/>
  <c r="I16" i="8"/>
  <c r="B54" i="8" s="1"/>
  <c r="J6" i="8"/>
  <c r="K6" i="8" l="1"/>
  <c r="Z6" i="8" s="1"/>
  <c r="B55" i="8"/>
  <c r="E44" i="8"/>
  <c r="E54" i="8"/>
  <c r="B60" i="8"/>
  <c r="J16" i="8"/>
  <c r="J17" i="8"/>
  <c r="K17" i="8" l="1"/>
  <c r="Z17" i="8" s="1"/>
  <c r="K16" i="8"/>
  <c r="Z16" i="8" s="1"/>
  <c r="B59" i="8"/>
  <c r="G44" i="8"/>
  <c r="G54" i="8"/>
  <c r="E51" i="8"/>
  <c r="C59" i="8"/>
  <c r="E55" i="8"/>
  <c r="C60" i="8"/>
  <c r="K24" i="8" l="1"/>
  <c r="B95" i="31"/>
  <c r="G55" i="8"/>
  <c r="G51" i="8"/>
  <c r="E59" i="8"/>
  <c r="J36" i="8"/>
  <c r="Z35" i="8"/>
  <c r="B5" i="28"/>
  <c r="B55" i="28" s="1"/>
  <c r="B26" i="29" s="1"/>
  <c r="I36" i="8"/>
  <c r="G59" i="8" l="1"/>
  <c r="E60" i="8"/>
  <c r="G60" i="8"/>
  <c r="E96" i="31"/>
  <c r="W61" i="31" s="1"/>
  <c r="K96" i="31"/>
  <c r="AC61" i="31" s="1"/>
  <c r="D96" i="31"/>
  <c r="M96" i="31"/>
  <c r="AE61" i="31" s="1"/>
  <c r="I96" i="31"/>
  <c r="AA61" i="31" s="1"/>
  <c r="H96" i="31"/>
  <c r="Z61" i="31" s="1"/>
  <c r="E5" i="28"/>
  <c r="E55" i="28" s="1"/>
  <c r="E26" i="29" s="1"/>
  <c r="K29" i="8"/>
  <c r="K36" i="8" s="1"/>
  <c r="K21" i="50" l="1"/>
  <c r="M21" i="50" s="1"/>
  <c r="C40" i="47"/>
  <c r="D40" i="47" s="1"/>
  <c r="L96" i="31"/>
  <c r="AD61" i="31" s="1"/>
  <c r="B31" i="31"/>
  <c r="N31" i="31" s="1"/>
  <c r="AF23" i="31" s="1"/>
  <c r="N96" i="31"/>
  <c r="AF61" i="31" s="1"/>
  <c r="O96" i="31"/>
  <c r="AG61" i="31" s="1"/>
  <c r="J96" i="31"/>
  <c r="AB61" i="31" s="1"/>
  <c r="G96" i="31"/>
  <c r="Y61" i="31" s="1"/>
  <c r="F96" i="31"/>
  <c r="X61" i="31" s="1"/>
  <c r="B48" i="27"/>
  <c r="J27" i="29" s="1"/>
  <c r="K27" i="29" s="1"/>
  <c r="V61" i="31"/>
  <c r="B31" i="35" l="1"/>
  <c r="J31" i="35" s="1"/>
  <c r="AB23" i="35" s="1"/>
  <c r="C8" i="26"/>
  <c r="O31" i="31"/>
  <c r="AG23" i="31" s="1"/>
  <c r="I31" i="31"/>
  <c r="AA23" i="31" s="1"/>
  <c r="H31" i="31"/>
  <c r="Z23" i="31" s="1"/>
  <c r="B96" i="35"/>
  <c r="H96" i="35" s="1"/>
  <c r="Z61" i="35" s="1"/>
  <c r="J31" i="31"/>
  <c r="AB23" i="31" s="1"/>
  <c r="E31" i="31"/>
  <c r="W23" i="31" s="1"/>
  <c r="D31" i="31"/>
  <c r="V23" i="31" s="1"/>
  <c r="M31" i="31"/>
  <c r="AE23" i="31" s="1"/>
  <c r="K31" i="31"/>
  <c r="AC23" i="31" s="1"/>
  <c r="L31" i="31"/>
  <c r="AD23" i="31" s="1"/>
  <c r="G31" i="31"/>
  <c r="Y23" i="31" s="1"/>
  <c r="F31" i="31"/>
  <c r="X23" i="31" s="1"/>
  <c r="AH61" i="31"/>
  <c r="P96" i="31"/>
  <c r="K25" i="50"/>
  <c r="G31" i="35"/>
  <c r="Y23" i="35" s="1"/>
  <c r="I31" i="35"/>
  <c r="AA23" i="35" s="1"/>
  <c r="H31" i="35"/>
  <c r="Z23" i="35" s="1"/>
  <c r="E31" i="35"/>
  <c r="W23" i="35" s="1"/>
  <c r="O31" i="35"/>
  <c r="AG23" i="35" s="1"/>
  <c r="M31" i="35"/>
  <c r="AE23" i="35" s="1"/>
  <c r="N31" i="35"/>
  <c r="AF23" i="35" s="1"/>
  <c r="K31" i="35"/>
  <c r="AC23" i="35" s="1"/>
  <c r="L31" i="35"/>
  <c r="AD23" i="35" s="1"/>
  <c r="E48" i="27"/>
  <c r="E95" i="31"/>
  <c r="W60" i="31" s="1"/>
  <c r="B76" i="27"/>
  <c r="E76" i="27" s="1"/>
  <c r="D31" i="35" l="1"/>
  <c r="P31" i="35" s="1"/>
  <c r="F31" i="35"/>
  <c r="X23" i="35" s="1"/>
  <c r="M25" i="50"/>
  <c r="C29" i="47"/>
  <c r="D29" i="47" s="1"/>
  <c r="C39" i="47"/>
  <c r="C43" i="47" s="1"/>
  <c r="M95" i="31"/>
  <c r="AE60" i="31" s="1"/>
  <c r="L96" i="35"/>
  <c r="AD61" i="35" s="1"/>
  <c r="O96" i="35"/>
  <c r="AG61" i="35" s="1"/>
  <c r="M96" i="35"/>
  <c r="AE61" i="35" s="1"/>
  <c r="E96" i="35"/>
  <c r="W61" i="35" s="1"/>
  <c r="N96" i="35"/>
  <c r="AF61" i="35" s="1"/>
  <c r="G96" i="35"/>
  <c r="Y61" i="35" s="1"/>
  <c r="I96" i="35"/>
  <c r="AA61" i="35" s="1"/>
  <c r="F96" i="35"/>
  <c r="X61" i="35" s="1"/>
  <c r="D96" i="35"/>
  <c r="V61" i="35" s="1"/>
  <c r="K96" i="35"/>
  <c r="AC61" i="35" s="1"/>
  <c r="J96" i="35"/>
  <c r="AB61" i="35" s="1"/>
  <c r="P31" i="31"/>
  <c r="AH23" i="31"/>
  <c r="M99" i="31"/>
  <c r="L13" i="39" s="1"/>
  <c r="N95" i="31"/>
  <c r="H95" i="31"/>
  <c r="Z60" i="31" s="1"/>
  <c r="O95" i="31"/>
  <c r="AG60" i="31" s="1"/>
  <c r="F95" i="31"/>
  <c r="X60" i="31" s="1"/>
  <c r="J95" i="31"/>
  <c r="K95" i="31"/>
  <c r="B99" i="31"/>
  <c r="B126" i="31" s="1"/>
  <c r="I95" i="31"/>
  <c r="L95" i="31"/>
  <c r="L99" i="31" s="1"/>
  <c r="K13" i="39" s="1"/>
  <c r="G95" i="31"/>
  <c r="D95" i="31"/>
  <c r="V23" i="35"/>
  <c r="AH23" i="35" s="1"/>
  <c r="H99" i="31"/>
  <c r="G13" i="39" s="1"/>
  <c r="O99" i="31"/>
  <c r="N13" i="39" s="1"/>
  <c r="E99" i="31"/>
  <c r="D13" i="39" s="1"/>
  <c r="D39" i="47" l="1"/>
  <c r="D43" i="47" s="1"/>
  <c r="B95" i="35"/>
  <c r="B99" i="35" s="1"/>
  <c r="B127" i="35" s="1"/>
  <c r="P96" i="35"/>
  <c r="AH61" i="35"/>
  <c r="L126" i="31"/>
  <c r="L127" i="31" s="1"/>
  <c r="P95" i="31"/>
  <c r="P99" i="31" s="1"/>
  <c r="P126" i="31" s="1"/>
  <c r="P127" i="31" s="1"/>
  <c r="B35" i="31"/>
  <c r="M126" i="31"/>
  <c r="M157" i="31" s="1"/>
  <c r="N99" i="31"/>
  <c r="AF60" i="31"/>
  <c r="F99" i="31"/>
  <c r="E13" i="39" s="1"/>
  <c r="AD60" i="31"/>
  <c r="D99" i="31"/>
  <c r="V60" i="31"/>
  <c r="B157" i="31"/>
  <c r="B127" i="31"/>
  <c r="B30" i="35"/>
  <c r="G99" i="31"/>
  <c r="Y60" i="31"/>
  <c r="K99" i="31"/>
  <c r="AC60" i="31"/>
  <c r="AB60" i="31"/>
  <c r="J99" i="31"/>
  <c r="AA60" i="31"/>
  <c r="I99" i="31"/>
  <c r="K18" i="50"/>
  <c r="E126" i="31"/>
  <c r="E127" i="31" s="1"/>
  <c r="O126" i="31"/>
  <c r="H126" i="31"/>
  <c r="H157" i="31" s="1"/>
  <c r="B5" i="27"/>
  <c r="M18" i="50" l="1"/>
  <c r="M31" i="50" s="1"/>
  <c r="K31" i="50"/>
  <c r="K228" i="50" s="1"/>
  <c r="P157" i="31"/>
  <c r="L157" i="31"/>
  <c r="G95" i="35"/>
  <c r="Y60" i="35" s="1"/>
  <c r="J95" i="35"/>
  <c r="AB60" i="35" s="1"/>
  <c r="E95" i="35"/>
  <c r="E99" i="35" s="1"/>
  <c r="E127" i="35" s="1"/>
  <c r="N95" i="35"/>
  <c r="N99" i="35" s="1"/>
  <c r="N127" i="35" s="1"/>
  <c r="M95" i="35"/>
  <c r="AE60" i="35" s="1"/>
  <c r="O95" i="35"/>
  <c r="O99" i="35" s="1"/>
  <c r="O127" i="35" s="1"/>
  <c r="F95" i="35"/>
  <c r="X60" i="35" s="1"/>
  <c r="I95" i="35"/>
  <c r="AA60" i="35" s="1"/>
  <c r="L95" i="35"/>
  <c r="AD60" i="35" s="1"/>
  <c r="D95" i="35"/>
  <c r="V60" i="35" s="1"/>
  <c r="K95" i="35"/>
  <c r="K99" i="35" s="1"/>
  <c r="K127" i="35" s="1"/>
  <c r="H95" i="35"/>
  <c r="H99" i="35" s="1"/>
  <c r="H127" i="35" s="1"/>
  <c r="B30" i="31"/>
  <c r="B52" i="31" s="1"/>
  <c r="M127" i="31"/>
  <c r="F126" i="31"/>
  <c r="F157" i="31" s="1"/>
  <c r="AH60" i="31"/>
  <c r="M13" i="39"/>
  <c r="N126" i="31"/>
  <c r="I13" i="39"/>
  <c r="J126" i="31"/>
  <c r="F13" i="39"/>
  <c r="G126" i="31"/>
  <c r="B158" i="35"/>
  <c r="B128" i="35"/>
  <c r="H13" i="39"/>
  <c r="I126" i="31"/>
  <c r="J13" i="39"/>
  <c r="K126" i="31"/>
  <c r="C13" i="39"/>
  <c r="D126" i="31"/>
  <c r="H127" i="31"/>
  <c r="E157" i="31"/>
  <c r="O127" i="31"/>
  <c r="O157" i="31"/>
  <c r="N15" i="27"/>
  <c r="E5" i="27"/>
  <c r="J28" i="29"/>
  <c r="F35" i="31"/>
  <c r="I35" i="31"/>
  <c r="E35" i="31"/>
  <c r="C7" i="26"/>
  <c r="C9" i="25"/>
  <c r="G9" i="25" s="1"/>
  <c r="C30" i="47" l="1"/>
  <c r="D30" i="47" s="1"/>
  <c r="G99" i="35"/>
  <c r="G127" i="35" s="1"/>
  <c r="G158" i="35" s="1"/>
  <c r="AG60" i="35"/>
  <c r="J99" i="35"/>
  <c r="J127" i="35" s="1"/>
  <c r="J128" i="35" s="1"/>
  <c r="AF60" i="35"/>
  <c r="I99" i="35"/>
  <c r="I127" i="35" s="1"/>
  <c r="I128" i="35" s="1"/>
  <c r="M99" i="35"/>
  <c r="M127" i="35" s="1"/>
  <c r="M128" i="35" s="1"/>
  <c r="L99" i="35"/>
  <c r="L127" i="35" s="1"/>
  <c r="L128" i="35" s="1"/>
  <c r="W60" i="35"/>
  <c r="F99" i="35"/>
  <c r="F127" i="35" s="1"/>
  <c r="F128" i="35" s="1"/>
  <c r="AC60" i="35"/>
  <c r="C34" i="47"/>
  <c r="D34" i="47" s="1"/>
  <c r="D99" i="35"/>
  <c r="D127" i="35" s="1"/>
  <c r="D158" i="35" s="1"/>
  <c r="Z60" i="35"/>
  <c r="P95" i="35"/>
  <c r="P99" i="35" s="1"/>
  <c r="P127" i="35" s="1"/>
  <c r="P128" i="35" s="1"/>
  <c r="G35" i="31"/>
  <c r="Y27" i="31" s="1"/>
  <c r="F127" i="31"/>
  <c r="B58" i="31"/>
  <c r="B56" i="31"/>
  <c r="B57" i="31"/>
  <c r="N30" i="31"/>
  <c r="AF22" i="31" s="1"/>
  <c r="F30" i="31"/>
  <c r="X22" i="31" s="1"/>
  <c r="I30" i="31"/>
  <c r="AA22" i="31" s="1"/>
  <c r="O30" i="31"/>
  <c r="AG22" i="31" s="1"/>
  <c r="M30" i="31"/>
  <c r="AE22" i="31" s="1"/>
  <c r="H30" i="31"/>
  <c r="Z22" i="31" s="1"/>
  <c r="G30" i="31"/>
  <c r="Y22" i="31" s="1"/>
  <c r="E30" i="31"/>
  <c r="W22" i="31" s="1"/>
  <c r="J30" i="31"/>
  <c r="AB22" i="31" s="1"/>
  <c r="L30" i="31"/>
  <c r="AD22" i="31" s="1"/>
  <c r="K30" i="31"/>
  <c r="AC22" i="31" s="1"/>
  <c r="D30" i="31"/>
  <c r="O13" i="39"/>
  <c r="Q13" i="39" s="1"/>
  <c r="R13" i="39" s="1"/>
  <c r="N157" i="31"/>
  <c r="N127" i="31"/>
  <c r="H35" i="31"/>
  <c r="Z27" i="31" s="1"/>
  <c r="L35" i="31"/>
  <c r="J35" i="31"/>
  <c r="AB27" i="31" s="1"/>
  <c r="M35" i="31"/>
  <c r="AE27" i="31" s="1"/>
  <c r="O35" i="31"/>
  <c r="AG27" i="31" s="1"/>
  <c r="D35" i="31"/>
  <c r="K35" i="31"/>
  <c r="AC27" i="31" s="1"/>
  <c r="N35" i="31"/>
  <c r="AF27" i="31" s="1"/>
  <c r="K157" i="31"/>
  <c r="K127" i="31"/>
  <c r="E128" i="35"/>
  <c r="E158" i="35"/>
  <c r="J127" i="31"/>
  <c r="J157" i="31"/>
  <c r="N128" i="35"/>
  <c r="N158" i="35"/>
  <c r="H158" i="35"/>
  <c r="H128" i="35"/>
  <c r="G127" i="31"/>
  <c r="G157" i="31"/>
  <c r="D127" i="31"/>
  <c r="D157" i="31"/>
  <c r="I157" i="31"/>
  <c r="I127" i="31"/>
  <c r="O158" i="35"/>
  <c r="O128" i="35"/>
  <c r="K158" i="35"/>
  <c r="K128" i="35"/>
  <c r="W27" i="31"/>
  <c r="AA27" i="31"/>
  <c r="X27" i="31"/>
  <c r="J29" i="29"/>
  <c r="K28" i="29"/>
  <c r="C9" i="26"/>
  <c r="C10" i="26" s="1"/>
  <c r="C14" i="25"/>
  <c r="N9" i="25"/>
  <c r="N12" i="25" s="1"/>
  <c r="I9" i="25"/>
  <c r="I12" i="25" s="1"/>
  <c r="H9" i="25"/>
  <c r="H12" i="25" s="1"/>
  <c r="J9" i="25"/>
  <c r="J12" i="25" s="1"/>
  <c r="C12" i="25"/>
  <c r="O9" i="25"/>
  <c r="O12" i="25" s="1"/>
  <c r="F9" i="25"/>
  <c r="F12" i="25" s="1"/>
  <c r="D9" i="25"/>
  <c r="K9" i="25"/>
  <c r="K12" i="25" s="1"/>
  <c r="E9" i="25"/>
  <c r="E12" i="25" s="1"/>
  <c r="M9" i="25"/>
  <c r="M12" i="25" s="1"/>
  <c r="L9" i="25"/>
  <c r="L12" i="25" s="1"/>
  <c r="G12" i="25"/>
  <c r="C31" i="47" l="1"/>
  <c r="D31" i="47" s="1"/>
  <c r="D41" i="47" s="1"/>
  <c r="G128" i="35"/>
  <c r="J158" i="35"/>
  <c r="I158" i="35"/>
  <c r="M158" i="35"/>
  <c r="L158" i="35"/>
  <c r="F158" i="35"/>
  <c r="AH60" i="35"/>
  <c r="D128" i="35"/>
  <c r="P158" i="35"/>
  <c r="E52" i="31"/>
  <c r="B35" i="35"/>
  <c r="N35" i="35" s="1"/>
  <c r="AF27" i="35" s="1"/>
  <c r="F52" i="31"/>
  <c r="I52" i="31"/>
  <c r="G52" i="31"/>
  <c r="H52" i="31"/>
  <c r="L52" i="31"/>
  <c r="J52" i="31"/>
  <c r="V22" i="31"/>
  <c r="AH22" i="31" s="1"/>
  <c r="P30" i="31"/>
  <c r="G30" i="35"/>
  <c r="Y22" i="35" s="1"/>
  <c r="M30" i="35"/>
  <c r="AE22" i="35" s="1"/>
  <c r="J30" i="35"/>
  <c r="AB22" i="35" s="1"/>
  <c r="L30" i="35"/>
  <c r="AD22" i="35" s="1"/>
  <c r="K30" i="35"/>
  <c r="AC22" i="35" s="1"/>
  <c r="O30" i="35"/>
  <c r="AG22" i="35" s="1"/>
  <c r="N30" i="35"/>
  <c r="AF22" i="35" s="1"/>
  <c r="E30" i="35"/>
  <c r="W22" i="35" s="1"/>
  <c r="I30" i="35"/>
  <c r="AA22" i="35" s="1"/>
  <c r="D30" i="35"/>
  <c r="H30" i="35"/>
  <c r="Z22" i="35" s="1"/>
  <c r="F30" i="35"/>
  <c r="X22" i="35" s="1"/>
  <c r="M52" i="31"/>
  <c r="D52" i="31"/>
  <c r="O52" i="31"/>
  <c r="N52" i="31"/>
  <c r="AD27" i="31"/>
  <c r="G56" i="31"/>
  <c r="J56" i="31"/>
  <c r="N56" i="31"/>
  <c r="E56" i="31"/>
  <c r="K56" i="31"/>
  <c r="O56" i="31"/>
  <c r="F56" i="31"/>
  <c r="L56" i="31"/>
  <c r="D56" i="31"/>
  <c r="H56" i="31"/>
  <c r="I56" i="31"/>
  <c r="M56" i="31"/>
  <c r="P35" i="31"/>
  <c r="K52" i="31"/>
  <c r="V27" i="31"/>
  <c r="B44" i="27"/>
  <c r="E44" i="27" s="1"/>
  <c r="K29" i="29"/>
  <c r="M24" i="29" s="1"/>
  <c r="H57" i="31"/>
  <c r="Z45" i="31" s="1"/>
  <c r="I57" i="31"/>
  <c r="AA45" i="31" s="1"/>
  <c r="L57" i="31"/>
  <c r="AD45" i="31" s="1"/>
  <c r="M57" i="31"/>
  <c r="AE45" i="31" s="1"/>
  <c r="O57" i="31"/>
  <c r="AG45" i="31" s="1"/>
  <c r="N57" i="31"/>
  <c r="AF45" i="31" s="1"/>
  <c r="D57" i="31"/>
  <c r="K57" i="31"/>
  <c r="AC45" i="31" s="1"/>
  <c r="J57" i="31"/>
  <c r="AB45" i="31" s="1"/>
  <c r="F57" i="31"/>
  <c r="X45" i="31" s="1"/>
  <c r="E57" i="31"/>
  <c r="W45" i="31" s="1"/>
  <c r="G57" i="31"/>
  <c r="Y45" i="31" s="1"/>
  <c r="F58" i="31"/>
  <c r="X46" i="31" s="1"/>
  <c r="G58" i="31"/>
  <c r="Y46" i="31" s="1"/>
  <c r="I58" i="31"/>
  <c r="AA46" i="31" s="1"/>
  <c r="O58" i="31"/>
  <c r="AG46" i="31" s="1"/>
  <c r="L58" i="31"/>
  <c r="AD46" i="31" s="1"/>
  <c r="H58" i="31"/>
  <c r="Z46" i="31" s="1"/>
  <c r="N58" i="31"/>
  <c r="AF46" i="31" s="1"/>
  <c r="D58" i="31"/>
  <c r="E58" i="31"/>
  <c r="W46" i="31" s="1"/>
  <c r="K58" i="31"/>
  <c r="AC46" i="31" s="1"/>
  <c r="J58" i="31"/>
  <c r="AB46" i="31" s="1"/>
  <c r="M58" i="31"/>
  <c r="AE46" i="31" s="1"/>
  <c r="B62" i="31"/>
  <c r="E7" i="14"/>
  <c r="C70" i="26"/>
  <c r="P9" i="25"/>
  <c r="Q9" i="25" s="1"/>
  <c r="D12" i="25"/>
  <c r="P12" i="25" s="1"/>
  <c r="Q12" i="25" s="1"/>
  <c r="D14" i="25"/>
  <c r="K14" i="25"/>
  <c r="F14" i="25"/>
  <c r="L14" i="25"/>
  <c r="G14" i="25"/>
  <c r="M14" i="25"/>
  <c r="H14" i="25"/>
  <c r="N14" i="25"/>
  <c r="I14" i="25"/>
  <c r="E14" i="25"/>
  <c r="O14" i="25"/>
  <c r="J14" i="25"/>
  <c r="C41" i="47" l="1"/>
  <c r="C45" i="47" s="1"/>
  <c r="D45" i="47" s="1"/>
  <c r="F35" i="35"/>
  <c r="F52" i="35" s="1"/>
  <c r="G35" i="35"/>
  <c r="Y27" i="35" s="1"/>
  <c r="K35" i="35"/>
  <c r="AC27" i="35" s="1"/>
  <c r="D35" i="35"/>
  <c r="V27" i="35" s="1"/>
  <c r="P52" i="31"/>
  <c r="H35" i="35"/>
  <c r="L35" i="35"/>
  <c r="AD27" i="35" s="1"/>
  <c r="B52" i="35"/>
  <c r="I35" i="35"/>
  <c r="AA27" i="35" s="1"/>
  <c r="J35" i="35"/>
  <c r="AB27" i="35" s="1"/>
  <c r="E35" i="35"/>
  <c r="W27" i="35" s="1"/>
  <c r="M35" i="35"/>
  <c r="AE27" i="35" s="1"/>
  <c r="O35" i="35"/>
  <c r="O52" i="35" s="1"/>
  <c r="N52" i="35"/>
  <c r="V22" i="35"/>
  <c r="AH22" i="35" s="1"/>
  <c r="P30" i="35"/>
  <c r="AH27" i="31"/>
  <c r="B63" i="31"/>
  <c r="B66" i="31"/>
  <c r="B195" i="31" s="1"/>
  <c r="P56" i="31"/>
  <c r="V44" i="31"/>
  <c r="D62" i="31"/>
  <c r="N62" i="31"/>
  <c r="AF44" i="31"/>
  <c r="AF127" i="31" s="1"/>
  <c r="G62" i="31"/>
  <c r="Y44" i="31"/>
  <c r="Y127" i="31" s="1"/>
  <c r="K62" i="31"/>
  <c r="AC44" i="31"/>
  <c r="AC127" i="31" s="1"/>
  <c r="AA44" i="31"/>
  <c r="AA127" i="31" s="1"/>
  <c r="I62" i="31"/>
  <c r="M62" i="31"/>
  <c r="AE44" i="31"/>
  <c r="AE127" i="31" s="1"/>
  <c r="H62" i="31"/>
  <c r="Z44" i="31"/>
  <c r="Z127" i="31" s="1"/>
  <c r="P58" i="31"/>
  <c r="V46" i="31"/>
  <c r="AH46" i="31" s="1"/>
  <c r="AB44" i="31"/>
  <c r="AB127" i="31" s="1"/>
  <c r="J62" i="31"/>
  <c r="AG44" i="31"/>
  <c r="AG127" i="31" s="1"/>
  <c r="O62" i="31"/>
  <c r="L62" i="31"/>
  <c r="AD44" i="31"/>
  <c r="AD127" i="31" s="1"/>
  <c r="W44" i="31"/>
  <c r="W127" i="31" s="1"/>
  <c r="E62" i="31"/>
  <c r="F62" i="31"/>
  <c r="X44" i="31"/>
  <c r="X127" i="31" s="1"/>
  <c r="P57" i="31"/>
  <c r="V45" i="31"/>
  <c r="AH45" i="31" s="1"/>
  <c r="B7" i="14"/>
  <c r="P14" i="25"/>
  <c r="Q14" i="25" s="1"/>
  <c r="C47" i="47" l="1"/>
  <c r="D47" i="47" s="1"/>
  <c r="B59" i="35"/>
  <c r="G52" i="35"/>
  <c r="K52" i="35"/>
  <c r="D52" i="35"/>
  <c r="X27" i="35"/>
  <c r="M52" i="35"/>
  <c r="J52" i="35"/>
  <c r="AG27" i="35"/>
  <c r="I52" i="35"/>
  <c r="E52" i="35"/>
  <c r="B58" i="35"/>
  <c r="P35" i="35"/>
  <c r="P52" i="35" s="1"/>
  <c r="B56" i="35"/>
  <c r="H52" i="35"/>
  <c r="Z27" i="35"/>
  <c r="L52" i="35"/>
  <c r="B57" i="35"/>
  <c r="H63" i="31"/>
  <c r="H66" i="31"/>
  <c r="G10" i="39" s="1"/>
  <c r="D63" i="31"/>
  <c r="D66" i="31"/>
  <c r="C10" i="39" s="1"/>
  <c r="E63" i="31"/>
  <c r="E66" i="31"/>
  <c r="D10" i="39" s="1"/>
  <c r="J63" i="31"/>
  <c r="J66" i="31"/>
  <c r="I10" i="39" s="1"/>
  <c r="G63" i="31"/>
  <c r="G66" i="31"/>
  <c r="F10" i="39" s="1"/>
  <c r="AH44" i="31"/>
  <c r="V127" i="31"/>
  <c r="AH127" i="31" s="1"/>
  <c r="L63" i="31"/>
  <c r="L66" i="31"/>
  <c r="K10" i="39" s="1"/>
  <c r="M63" i="31"/>
  <c r="M66" i="31"/>
  <c r="L10" i="39" s="1"/>
  <c r="K63" i="31"/>
  <c r="K66" i="31"/>
  <c r="J10" i="39" s="1"/>
  <c r="P62" i="31"/>
  <c r="Q66" i="31" s="1"/>
  <c r="Q68" i="31" s="1"/>
  <c r="F63" i="31"/>
  <c r="F66" i="31"/>
  <c r="E10" i="39" s="1"/>
  <c r="O63" i="31"/>
  <c r="O66" i="31"/>
  <c r="N10" i="39" s="1"/>
  <c r="I63" i="31"/>
  <c r="I66" i="31"/>
  <c r="H10" i="39" s="1"/>
  <c r="N63" i="31"/>
  <c r="N66" i="31"/>
  <c r="M10" i="39" s="1"/>
  <c r="B199" i="31"/>
  <c r="B196" i="31"/>
  <c r="O15" i="27"/>
  <c r="P15" i="27" s="1"/>
  <c r="C6" i="23"/>
  <c r="F6" i="23" s="1"/>
  <c r="B48" i="14"/>
  <c r="O23" i="27" s="1"/>
  <c r="C49" i="47" l="1"/>
  <c r="P27" i="47" s="1"/>
  <c r="O59" i="35"/>
  <c r="AG47" i="35" s="1"/>
  <c r="H59" i="35"/>
  <c r="Z47" i="35" s="1"/>
  <c r="F59" i="35"/>
  <c r="X47" i="35" s="1"/>
  <c r="E59" i="35"/>
  <c r="W47" i="35" s="1"/>
  <c r="K59" i="35"/>
  <c r="AC47" i="35" s="1"/>
  <c r="J59" i="35"/>
  <c r="AB47" i="35" s="1"/>
  <c r="D59" i="35"/>
  <c r="M59" i="35"/>
  <c r="AE47" i="35" s="1"/>
  <c r="L59" i="35"/>
  <c r="AD47" i="35" s="1"/>
  <c r="N59" i="35"/>
  <c r="AF47" i="35" s="1"/>
  <c r="G59" i="35"/>
  <c r="Y47" i="35" s="1"/>
  <c r="I59" i="35"/>
  <c r="AA47" i="35" s="1"/>
  <c r="D49" i="47"/>
  <c r="AH27" i="35"/>
  <c r="L57" i="35"/>
  <c r="AD45" i="35" s="1"/>
  <c r="J57" i="35"/>
  <c r="AB45" i="35" s="1"/>
  <c r="M57" i="35"/>
  <c r="AE45" i="35" s="1"/>
  <c r="O57" i="35"/>
  <c r="AG45" i="35" s="1"/>
  <c r="I57" i="35"/>
  <c r="AA45" i="35" s="1"/>
  <c r="F57" i="35"/>
  <c r="X45" i="35" s="1"/>
  <c r="K57" i="35"/>
  <c r="AC45" i="35" s="1"/>
  <c r="D57" i="35"/>
  <c r="G57" i="35"/>
  <c r="Y45" i="35" s="1"/>
  <c r="H57" i="35"/>
  <c r="Z45" i="35" s="1"/>
  <c r="N57" i="35"/>
  <c r="AF45" i="35" s="1"/>
  <c r="E57" i="35"/>
  <c r="W45" i="35" s="1"/>
  <c r="K230" i="50"/>
  <c r="K232" i="50" s="1"/>
  <c r="E56" i="35"/>
  <c r="H56" i="35"/>
  <c r="O56" i="35"/>
  <c r="G56" i="35"/>
  <c r="J56" i="35"/>
  <c r="I56" i="35"/>
  <c r="B62" i="35"/>
  <c r="D56" i="35"/>
  <c r="N56" i="35"/>
  <c r="F56" i="35"/>
  <c r="M56" i="35"/>
  <c r="L56" i="35"/>
  <c r="K56" i="35"/>
  <c r="K58" i="35"/>
  <c r="AC46" i="35" s="1"/>
  <c r="D58" i="35"/>
  <c r="N58" i="35"/>
  <c r="AF46" i="35" s="1"/>
  <c r="L58" i="35"/>
  <c r="AD46" i="35" s="1"/>
  <c r="M58" i="35"/>
  <c r="AE46" i="35" s="1"/>
  <c r="J58" i="35"/>
  <c r="AB46" i="35" s="1"/>
  <c r="G58" i="35"/>
  <c r="Y46" i="35" s="1"/>
  <c r="E58" i="35"/>
  <c r="W46" i="35" s="1"/>
  <c r="I58" i="35"/>
  <c r="AA46" i="35" s="1"/>
  <c r="H58" i="35"/>
  <c r="Z46" i="35" s="1"/>
  <c r="O58" i="35"/>
  <c r="AG46" i="35" s="1"/>
  <c r="F58" i="35"/>
  <c r="X46" i="35" s="1"/>
  <c r="H20" i="39"/>
  <c r="H24" i="39" s="1"/>
  <c r="I20" i="39"/>
  <c r="I24" i="39" s="1"/>
  <c r="D20" i="39"/>
  <c r="D24" i="39" s="1"/>
  <c r="J20" i="39"/>
  <c r="J24" i="39" s="1"/>
  <c r="M20" i="39"/>
  <c r="M24" i="39" s="1"/>
  <c r="N20" i="39"/>
  <c r="N24" i="39" s="1"/>
  <c r="E20" i="39"/>
  <c r="E24" i="39" s="1"/>
  <c r="F20" i="39"/>
  <c r="F24" i="39" s="1"/>
  <c r="G20" i="39"/>
  <c r="G24" i="39" s="1"/>
  <c r="L20" i="39"/>
  <c r="L24" i="39" s="1"/>
  <c r="K20" i="39"/>
  <c r="K24" i="39" s="1"/>
  <c r="I67" i="31"/>
  <c r="I195" i="31"/>
  <c r="P63" i="31"/>
  <c r="P66" i="31"/>
  <c r="J67" i="31"/>
  <c r="J195" i="31"/>
  <c r="E67" i="31"/>
  <c r="E195" i="31"/>
  <c r="D67" i="31"/>
  <c r="D195" i="31"/>
  <c r="B200" i="31"/>
  <c r="B211" i="31"/>
  <c r="K67" i="31"/>
  <c r="K195" i="31"/>
  <c r="M67" i="31"/>
  <c r="M195" i="31"/>
  <c r="L67" i="31"/>
  <c r="L195" i="31"/>
  <c r="N67" i="31"/>
  <c r="N195" i="31"/>
  <c r="O67" i="31"/>
  <c r="O195" i="31"/>
  <c r="F67" i="31"/>
  <c r="F195" i="31"/>
  <c r="G67" i="31"/>
  <c r="G195" i="31"/>
  <c r="H67" i="31"/>
  <c r="H195" i="31"/>
  <c r="O26" i="27"/>
  <c r="C67" i="23"/>
  <c r="F67" i="23" s="1"/>
  <c r="F73" i="23" s="1"/>
  <c r="B52" i="14"/>
  <c r="C23" i="25"/>
  <c r="C72" i="26"/>
  <c r="E48" i="14" s="1"/>
  <c r="Q27" i="47" l="1"/>
  <c r="R27" i="47"/>
  <c r="V47" i="35"/>
  <c r="AH47" i="35" s="1"/>
  <c r="P59" i="35"/>
  <c r="F62" i="35"/>
  <c r="X44" i="35"/>
  <c r="X128" i="35" s="1"/>
  <c r="B63" i="35"/>
  <c r="B66" i="35"/>
  <c r="B197" i="35" s="1"/>
  <c r="O62" i="35"/>
  <c r="AG44" i="35"/>
  <c r="AG128" i="35" s="1"/>
  <c r="AE44" i="35"/>
  <c r="AE128" i="35" s="1"/>
  <c r="M62" i="35"/>
  <c r="Y44" i="35"/>
  <c r="Y128" i="35" s="1"/>
  <c r="G62" i="35"/>
  <c r="P57" i="35"/>
  <c r="V45" i="35"/>
  <c r="AH45" i="35" s="1"/>
  <c r="AD44" i="35"/>
  <c r="AD128" i="35" s="1"/>
  <c r="L62" i="35"/>
  <c r="J62" i="35"/>
  <c r="AB44" i="35"/>
  <c r="AB128" i="35" s="1"/>
  <c r="W44" i="35"/>
  <c r="W128" i="35" s="1"/>
  <c r="E62" i="35"/>
  <c r="V46" i="35"/>
  <c r="AH46" i="35" s="1"/>
  <c r="P58" i="35"/>
  <c r="AC44" i="35"/>
  <c r="AC128" i="35" s="1"/>
  <c r="K62" i="35"/>
  <c r="AF44" i="35"/>
  <c r="AF128" i="35" s="1"/>
  <c r="N62" i="35"/>
  <c r="D62" i="35"/>
  <c r="P56" i="35"/>
  <c r="V44" i="35"/>
  <c r="I62" i="35"/>
  <c r="AA44" i="35"/>
  <c r="AA128" i="35" s="1"/>
  <c r="Z44" i="35"/>
  <c r="Z128" i="35" s="1"/>
  <c r="H62" i="35"/>
  <c r="O10" i="39"/>
  <c r="C20" i="39"/>
  <c r="B217" i="31"/>
  <c r="B212" i="31"/>
  <c r="J196" i="31"/>
  <c r="J199" i="31"/>
  <c r="H199" i="31"/>
  <c r="H196" i="31"/>
  <c r="N199" i="31"/>
  <c r="N196" i="31"/>
  <c r="M196" i="31"/>
  <c r="M199" i="31"/>
  <c r="I199" i="31"/>
  <c r="I196" i="31"/>
  <c r="K199" i="31"/>
  <c r="K196" i="31"/>
  <c r="D199" i="31"/>
  <c r="D196" i="31"/>
  <c r="E199" i="31"/>
  <c r="E196" i="31"/>
  <c r="G199" i="31"/>
  <c r="G196" i="31"/>
  <c r="F199" i="31"/>
  <c r="F196" i="31"/>
  <c r="O199" i="31"/>
  <c r="O196" i="31"/>
  <c r="L199" i="31"/>
  <c r="L196" i="31"/>
  <c r="P67" i="31"/>
  <c r="P195" i="31"/>
  <c r="C73" i="23"/>
  <c r="B78" i="27"/>
  <c r="B27" i="29" s="1"/>
  <c r="E52" i="14"/>
  <c r="E53" i="28"/>
  <c r="C76" i="26"/>
  <c r="F23" i="25"/>
  <c r="F25" i="25" s="1"/>
  <c r="F28" i="25" s="1"/>
  <c r="H23" i="25"/>
  <c r="H25" i="25" s="1"/>
  <c r="H28" i="25" s="1"/>
  <c r="J23" i="25"/>
  <c r="J25" i="25" s="1"/>
  <c r="J28" i="25" s="1"/>
  <c r="L23" i="25"/>
  <c r="L25" i="25" s="1"/>
  <c r="L28" i="25" s="1"/>
  <c r="N23" i="25"/>
  <c r="N25" i="25" s="1"/>
  <c r="N28" i="25" s="1"/>
  <c r="D23" i="25"/>
  <c r="E23" i="25"/>
  <c r="E25" i="25" s="1"/>
  <c r="E28" i="25" s="1"/>
  <c r="G23" i="25"/>
  <c r="G25" i="25" s="1"/>
  <c r="G28" i="25" s="1"/>
  <c r="I23" i="25"/>
  <c r="I25" i="25" s="1"/>
  <c r="I28" i="25" s="1"/>
  <c r="K23" i="25"/>
  <c r="K25" i="25" s="1"/>
  <c r="K28" i="25" s="1"/>
  <c r="M23" i="25"/>
  <c r="M25" i="25" s="1"/>
  <c r="M28" i="25" s="1"/>
  <c r="O23" i="25"/>
  <c r="O25" i="25" s="1"/>
  <c r="O28" i="25" s="1"/>
  <c r="C25" i="25"/>
  <c r="C28" i="25" s="1"/>
  <c r="C34" i="25" s="1"/>
  <c r="P62" i="35" l="1"/>
  <c r="K63" i="35"/>
  <c r="K66" i="35"/>
  <c r="E63" i="35"/>
  <c r="E66" i="35"/>
  <c r="F63" i="35"/>
  <c r="F66" i="35"/>
  <c r="H66" i="35"/>
  <c r="H63" i="35"/>
  <c r="D63" i="35"/>
  <c r="D66" i="35"/>
  <c r="J66" i="35"/>
  <c r="J63" i="35"/>
  <c r="I66" i="35"/>
  <c r="I63" i="35"/>
  <c r="N63" i="35"/>
  <c r="N66" i="35"/>
  <c r="O63" i="35"/>
  <c r="O66" i="35"/>
  <c r="AH44" i="35"/>
  <c r="V128" i="35"/>
  <c r="AH128" i="35" s="1"/>
  <c r="L63" i="35"/>
  <c r="L66" i="35"/>
  <c r="G66" i="35"/>
  <c r="G63" i="35"/>
  <c r="M66" i="35"/>
  <c r="M63" i="35"/>
  <c r="B198" i="35"/>
  <c r="B201" i="35"/>
  <c r="Q212" i="31"/>
  <c r="Q10" i="39"/>
  <c r="R10" i="39" s="1"/>
  <c r="O20" i="39"/>
  <c r="O26" i="39" s="1"/>
  <c r="O28" i="39" s="1"/>
  <c r="O211" i="31"/>
  <c r="O200" i="31"/>
  <c r="G211" i="31"/>
  <c r="G200" i="31"/>
  <c r="D200" i="31"/>
  <c r="D211" i="31"/>
  <c r="K211" i="31"/>
  <c r="K200" i="31"/>
  <c r="L211" i="31"/>
  <c r="L200" i="31"/>
  <c r="M211" i="31"/>
  <c r="M200" i="31"/>
  <c r="F211" i="31"/>
  <c r="F200" i="31"/>
  <c r="E211" i="31"/>
  <c r="E200" i="31"/>
  <c r="I211" i="31"/>
  <c r="I200" i="31"/>
  <c r="N211" i="31"/>
  <c r="N200" i="31"/>
  <c r="H211" i="31"/>
  <c r="H200" i="31"/>
  <c r="P199" i="31"/>
  <c r="P196" i="31"/>
  <c r="J211" i="31"/>
  <c r="J200" i="31"/>
  <c r="C37" i="25"/>
  <c r="C38" i="25" s="1"/>
  <c r="D64" i="23"/>
  <c r="D6" i="23"/>
  <c r="D71" i="23"/>
  <c r="D73" i="23"/>
  <c r="D35" i="23"/>
  <c r="D67" i="23"/>
  <c r="D12" i="23"/>
  <c r="D69" i="23"/>
  <c r="D24" i="23"/>
  <c r="E78" i="27"/>
  <c r="E27" i="29" s="1"/>
  <c r="P23" i="25"/>
  <c r="D25" i="25"/>
  <c r="D28" i="25" s="1"/>
  <c r="D76" i="26"/>
  <c r="D16" i="26"/>
  <c r="D67" i="26"/>
  <c r="D38" i="26"/>
  <c r="D70" i="26"/>
  <c r="D27" i="26"/>
  <c r="D10" i="26"/>
  <c r="D74" i="26"/>
  <c r="D72" i="26"/>
  <c r="P66" i="35" l="1"/>
  <c r="P63" i="35"/>
  <c r="N67" i="35"/>
  <c r="N197" i="35"/>
  <c r="D67" i="35"/>
  <c r="D197" i="35"/>
  <c r="F67" i="35"/>
  <c r="F197" i="35"/>
  <c r="M67" i="35"/>
  <c r="M197" i="35"/>
  <c r="E67" i="35"/>
  <c r="E197" i="35"/>
  <c r="G67" i="35"/>
  <c r="G197" i="35"/>
  <c r="O67" i="35"/>
  <c r="O197" i="35"/>
  <c r="B202" i="35"/>
  <c r="B213" i="35"/>
  <c r="L67" i="35"/>
  <c r="L197" i="35"/>
  <c r="I67" i="35"/>
  <c r="I197" i="35"/>
  <c r="J67" i="35"/>
  <c r="J197" i="35"/>
  <c r="H67" i="35"/>
  <c r="H197" i="35"/>
  <c r="K67" i="35"/>
  <c r="K197" i="35"/>
  <c r="Q20" i="39"/>
  <c r="R20" i="39" s="1"/>
  <c r="J217" i="31"/>
  <c r="AB128" i="31" s="1"/>
  <c r="J212" i="31"/>
  <c r="N217" i="31"/>
  <c r="AF128" i="31" s="1"/>
  <c r="N212" i="31"/>
  <c r="E217" i="31"/>
  <c r="W128" i="31" s="1"/>
  <c r="E212" i="31"/>
  <c r="O217" i="31"/>
  <c r="AG128" i="31" s="1"/>
  <c r="O212" i="31"/>
  <c r="P211" i="31"/>
  <c r="P200" i="31"/>
  <c r="H217" i="31"/>
  <c r="Z128" i="31" s="1"/>
  <c r="H212" i="31"/>
  <c r="I217" i="31"/>
  <c r="AA128" i="31" s="1"/>
  <c r="I212" i="31"/>
  <c r="F217" i="31"/>
  <c r="X128" i="31" s="1"/>
  <c r="F212" i="31"/>
  <c r="M217" i="31"/>
  <c r="AE128" i="31" s="1"/>
  <c r="M212" i="31"/>
  <c r="L217" i="31"/>
  <c r="AD128" i="31" s="1"/>
  <c r="L212" i="31"/>
  <c r="K217" i="31"/>
  <c r="AC128" i="31" s="1"/>
  <c r="K212" i="31"/>
  <c r="G217" i="31"/>
  <c r="Y128" i="31" s="1"/>
  <c r="G212" i="31"/>
  <c r="D212" i="31"/>
  <c r="D217" i="31"/>
  <c r="V128" i="31" s="1"/>
  <c r="E18" i="29"/>
  <c r="E28" i="29"/>
  <c r="E30" i="29" s="1"/>
  <c r="Q23" i="25"/>
  <c r="Q25" i="25" s="1"/>
  <c r="Q28" i="25" s="1"/>
  <c r="Q34" i="25" s="1"/>
  <c r="P25" i="25"/>
  <c r="P28" i="25" s="1"/>
  <c r="P34" i="25" s="1"/>
  <c r="J33" i="28"/>
  <c r="J34" i="28" s="1"/>
  <c r="N23" i="27"/>
  <c r="P23" i="27" s="1"/>
  <c r="B53" i="28"/>
  <c r="P67" i="35" l="1"/>
  <c r="P197" i="35"/>
  <c r="K201" i="35"/>
  <c r="K198" i="35"/>
  <c r="H198" i="35"/>
  <c r="H201" i="35"/>
  <c r="O198" i="35"/>
  <c r="O201" i="35"/>
  <c r="M198" i="35"/>
  <c r="M201" i="35"/>
  <c r="D201" i="35"/>
  <c r="D198" i="35"/>
  <c r="N198" i="35"/>
  <c r="N201" i="35"/>
  <c r="J201" i="35"/>
  <c r="J198" i="35"/>
  <c r="I198" i="35"/>
  <c r="I201" i="35"/>
  <c r="L198" i="35"/>
  <c r="L201" i="35"/>
  <c r="B219" i="35"/>
  <c r="B214" i="35"/>
  <c r="G201" i="35"/>
  <c r="G198" i="35"/>
  <c r="E201" i="35"/>
  <c r="E198" i="35"/>
  <c r="F201" i="35"/>
  <c r="F198" i="35"/>
  <c r="P217" i="31"/>
  <c r="AH130" i="31" s="1"/>
  <c r="P212" i="31"/>
  <c r="K33" i="28"/>
  <c r="B28" i="29"/>
  <c r="B30" i="29" s="1"/>
  <c r="B18" i="29"/>
  <c r="N26" i="27"/>
  <c r="J35" i="28"/>
  <c r="P201" i="35" l="1"/>
  <c r="P198" i="35"/>
  <c r="L202" i="35"/>
  <c r="L213" i="35"/>
  <c r="K202" i="35"/>
  <c r="K213" i="35"/>
  <c r="F213" i="35"/>
  <c r="F202" i="35"/>
  <c r="G213" i="35"/>
  <c r="G202" i="35"/>
  <c r="J213" i="35"/>
  <c r="J202" i="35"/>
  <c r="H213" i="35"/>
  <c r="H202" i="35"/>
  <c r="I202" i="35"/>
  <c r="I213" i="35"/>
  <c r="D202" i="35"/>
  <c r="D213" i="35"/>
  <c r="E202" i="35"/>
  <c r="E213" i="35"/>
  <c r="N202" i="35"/>
  <c r="N213" i="35"/>
  <c r="M213" i="35"/>
  <c r="M202" i="35"/>
  <c r="O213" i="35"/>
  <c r="O202" i="35"/>
  <c r="AH128" i="31"/>
  <c r="P213" i="35" l="1"/>
  <c r="P202" i="35"/>
  <c r="M214" i="35"/>
  <c r="M219" i="35"/>
  <c r="AE129" i="35" s="1"/>
  <c r="G219" i="35"/>
  <c r="Y129" i="35" s="1"/>
  <c r="G214" i="35"/>
  <c r="N214" i="35"/>
  <c r="N219" i="35"/>
  <c r="AF129" i="35" s="1"/>
  <c r="E219" i="35"/>
  <c r="W129" i="35" s="1"/>
  <c r="E214" i="35"/>
  <c r="D219" i="35"/>
  <c r="V129" i="35" s="1"/>
  <c r="D214" i="35"/>
  <c r="I219" i="35"/>
  <c r="AA129" i="35" s="1"/>
  <c r="I214" i="35"/>
  <c r="K219" i="35"/>
  <c r="AC129" i="35" s="1"/>
  <c r="K214" i="35"/>
  <c r="O219" i="35"/>
  <c r="AG129" i="35" s="1"/>
  <c r="O214" i="35"/>
  <c r="H219" i="35"/>
  <c r="Z129" i="35" s="1"/>
  <c r="H214" i="35"/>
  <c r="J214" i="35"/>
  <c r="J219" i="35"/>
  <c r="AB129" i="35" s="1"/>
  <c r="F219" i="35"/>
  <c r="X129" i="35" s="1"/>
  <c r="F214" i="35"/>
  <c r="L219" i="35"/>
  <c r="AD129" i="35" s="1"/>
  <c r="L214" i="35"/>
  <c r="P214" i="35" l="1"/>
  <c r="P219" i="35"/>
  <c r="P220" i="35" s="1"/>
  <c r="AH134" i="35" l="1"/>
  <c r="AH129" i="35"/>
  <c r="B221" i="31"/>
  <c r="B222" i="31" s="1"/>
  <c r="C22" i="39"/>
  <c r="O22" i="39" s="1"/>
  <c r="O27" i="39" l="1"/>
  <c r="Q22" i="39"/>
  <c r="R22" i="39" s="1"/>
  <c r="O24" i="39"/>
  <c r="Q24" i="39" s="1"/>
  <c r="R24" i="39" s="1"/>
  <c r="C24" i="39"/>
  <c r="P28" i="47" l="1"/>
  <c r="R28" i="47" l="1"/>
  <c r="Q28" i="47"/>
</calcChain>
</file>

<file path=xl/comments1.xml><?xml version="1.0" encoding="utf-8"?>
<comments xmlns="http://schemas.openxmlformats.org/spreadsheetml/2006/main">
  <authors>
    <author>Matthew A. Borsick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Assume 30%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Assume 70%
</t>
        </r>
      </text>
    </comment>
  </commentList>
</comments>
</file>

<file path=xl/comments2.xml><?xml version="1.0" encoding="utf-8"?>
<comments xmlns="http://schemas.openxmlformats.org/spreadsheetml/2006/main">
  <authors>
    <author>Matthew A. Borsick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$15.95/hr was used last year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$24.16/hr was used for last year
</t>
        </r>
      </text>
    </comment>
  </commentList>
</comments>
</file>

<file path=xl/comments3.xml><?xml version="1.0" encoding="utf-8"?>
<comments xmlns="http://schemas.openxmlformats.org/spreadsheetml/2006/main">
  <authors>
    <author>Matthew A. Borsick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1.00 FTE MHP converted to 1.00 Mental Health Coordinator (Cost Neutral)</t>
        </r>
      </text>
    </comment>
  </commentList>
</comments>
</file>

<file path=xl/comments4.xml><?xml version="1.0" encoding="utf-8"?>
<comments xmlns="http://schemas.openxmlformats.org/spreadsheetml/2006/main">
  <authors>
    <author>Matthew A. Borsick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Linda Spradley- Outlier, do not use for avg.</t>
        </r>
      </text>
    </comment>
  </commentList>
</comments>
</file>

<file path=xl/comments5.xml><?xml version="1.0" encoding="utf-8"?>
<comments xmlns="http://schemas.openxmlformats.org/spreadsheetml/2006/main">
  <authors>
    <author>Matthew A. Borsick</author>
  </authors>
  <commentList>
    <comment ref="Q32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Revised to $7,000</t>
        </r>
      </text>
    </comment>
    <comment ref="P51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Ft Bend has had 4 Hep C patients arrive to the facility over the past 9 months. Of those 4 patients, 1 patient was taking Harvoni but we did not need to continue treatment due to a grant the patient was using to cover the cost of the medication. It was decided we would begin the 2016 budget at $60K which would cover 30 days of treatment for 2 patients.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Revised from $60K down to $0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Revised Dental down to $6K and Med Sup down to $40K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reduced to $4,650</t>
        </r>
      </text>
    </comment>
    <comment ref="R95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Reduced to $5K
</t>
        </r>
      </text>
    </comment>
    <comment ref="Q101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Removed Network access fees</t>
        </r>
      </text>
    </comment>
  </commentList>
</comments>
</file>

<file path=xl/comments6.xml><?xml version="1.0" encoding="utf-8"?>
<comments xmlns="http://schemas.openxmlformats.org/spreadsheetml/2006/main">
  <authors>
    <author>Matthew A. Borsick</author>
  </authors>
  <commentList>
    <comment ref="AF46" authorId="0" shapeId="0">
      <text>
        <r>
          <rPr>
            <b/>
            <sz val="9"/>
            <color indexed="81"/>
            <rFont val="Tahoma"/>
            <family val="2"/>
          </rPr>
          <t>Matthew A. Borsick:</t>
        </r>
        <r>
          <rPr>
            <sz val="9"/>
            <color indexed="81"/>
            <rFont val="Tahoma"/>
            <family val="2"/>
          </rPr>
          <t xml:space="preserve">
Revised due to budget cuts</t>
        </r>
      </text>
    </comment>
  </commentList>
</comments>
</file>

<file path=xl/comments7.xml><?xml version="1.0" encoding="utf-8"?>
<comments xmlns="http://schemas.openxmlformats.org/spreadsheetml/2006/main">
  <authors>
    <author>Matt Reaves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Matt Reaves:</t>
        </r>
        <r>
          <rPr>
            <sz val="9"/>
            <color indexed="81"/>
            <rFont val="Tahoma"/>
            <family val="2"/>
          </rPr>
          <t xml:space="preserve">
$350,000 is our CAP rate - Not summed from offsite expenses above.  Linked to Expense page.</t>
        </r>
      </text>
    </comment>
  </commentList>
</comments>
</file>

<file path=xl/sharedStrings.xml><?xml version="1.0" encoding="utf-8"?>
<sst xmlns="http://schemas.openxmlformats.org/spreadsheetml/2006/main" count="9172" uniqueCount="2924">
  <si>
    <t>Budget</t>
  </si>
  <si>
    <t>Total</t>
  </si>
  <si>
    <t>Dentist</t>
  </si>
  <si>
    <t>Pharmacy</t>
  </si>
  <si>
    <t>HIV Medications</t>
  </si>
  <si>
    <t>Travel</t>
  </si>
  <si>
    <t>Dental Assistant</t>
  </si>
  <si>
    <t>X-Ray</t>
  </si>
  <si>
    <t>POSITION</t>
  </si>
  <si>
    <t>Mon</t>
  </si>
  <si>
    <t>Tue</t>
  </si>
  <si>
    <t>Wed</t>
  </si>
  <si>
    <t>Thu</t>
  </si>
  <si>
    <t>Fri</t>
  </si>
  <si>
    <t>Sat</t>
  </si>
  <si>
    <t>Sun</t>
  </si>
  <si>
    <t>Hrs/WK</t>
  </si>
  <si>
    <t>FTE</t>
  </si>
  <si>
    <t>RN</t>
  </si>
  <si>
    <t>TOTAL HOURS/FTE-Day</t>
  </si>
  <si>
    <t>TOTAL HOURS/FTE-Evening</t>
  </si>
  <si>
    <t>TOTAL HOURS/FTE per week</t>
  </si>
  <si>
    <t>FTEs</t>
  </si>
  <si>
    <t>Annualized</t>
  </si>
  <si>
    <t>Med Claims Expense</t>
  </si>
  <si>
    <t>Legal Expense</t>
  </si>
  <si>
    <t>Ins - General</t>
  </si>
  <si>
    <t>Ins - Med Mal</t>
  </si>
  <si>
    <t>Ins - Workers Comp</t>
  </si>
  <si>
    <t>Other</t>
  </si>
  <si>
    <t>Medical Director*</t>
  </si>
  <si>
    <t>Depreciation</t>
  </si>
  <si>
    <t>Ambulance</t>
  </si>
  <si>
    <t>Correct Care Solutions</t>
  </si>
  <si>
    <t>CMA</t>
  </si>
  <si>
    <t>TOTAL HOURS/FTE-Night</t>
  </si>
  <si>
    <t>ADP:</t>
  </si>
  <si>
    <t>H.S.A. (RN)</t>
  </si>
  <si>
    <t>NP*</t>
  </si>
  <si>
    <t>Day</t>
  </si>
  <si>
    <t>Eve</t>
  </si>
  <si>
    <t>Night</t>
  </si>
  <si>
    <t>W/E</t>
  </si>
  <si>
    <t>HOURS</t>
  </si>
  <si>
    <t>TOTALS</t>
  </si>
  <si>
    <t>CHECK</t>
  </si>
  <si>
    <t>Other:</t>
  </si>
  <si>
    <t>Backfill</t>
  </si>
  <si>
    <t>Fringe</t>
  </si>
  <si>
    <t>Medical Records Clerk</t>
  </si>
  <si>
    <t>DON</t>
  </si>
  <si>
    <t>Psychiatrist</t>
  </si>
  <si>
    <t>Office Visits</t>
  </si>
  <si>
    <t>Pro Fees</t>
  </si>
  <si>
    <t>Dialysis</t>
  </si>
  <si>
    <t>Management Fee</t>
  </si>
  <si>
    <t>OB/GYN</t>
  </si>
  <si>
    <t>LVN</t>
  </si>
  <si>
    <t>MHP</t>
  </si>
  <si>
    <t>Fort Bend County</t>
  </si>
  <si>
    <r>
      <rPr>
        <b/>
        <sz val="11"/>
        <rFont val="Arial"/>
        <family val="2"/>
      </rPr>
      <t>Year 1</t>
    </r>
    <r>
      <rPr>
        <sz val="11"/>
        <rFont val="Arial"/>
        <family val="2"/>
      </rPr>
      <t xml:space="preserve">
(10/1/2013 - 9/30/2014) </t>
    </r>
  </si>
  <si>
    <r>
      <rPr>
        <b/>
        <sz val="11"/>
        <rFont val="Arial"/>
        <family val="2"/>
      </rPr>
      <t>Year 2</t>
    </r>
    <r>
      <rPr>
        <sz val="11"/>
        <rFont val="Arial"/>
        <family val="2"/>
      </rPr>
      <t xml:space="preserve">
(10/1/14 - 9/30/15) </t>
    </r>
  </si>
  <si>
    <t xml:space="preserve">Employee Benefits and Salaries </t>
  </si>
  <si>
    <t>Offsite Expenses - (Inpatient; Outpatient; Specialty; ER)</t>
  </si>
  <si>
    <t>All Medical Supplies</t>
  </si>
  <si>
    <t>All Other Ancillary Services - (Please indicate what it includes)</t>
  </si>
  <si>
    <t>Administrative Costs - (Please indicate what it includes)</t>
  </si>
  <si>
    <t>First Aid Protective Devices</t>
  </si>
  <si>
    <t xml:space="preserve">Fort Bend County Jail </t>
  </si>
  <si>
    <t xml:space="preserve">DAY SHIFT </t>
  </si>
  <si>
    <t xml:space="preserve">EVENING SHIFT </t>
  </si>
  <si>
    <t xml:space="preserve">NIGHT SHIFT </t>
  </si>
  <si>
    <t>Administrative Assistant</t>
  </si>
  <si>
    <t>37 intakes/day currently staffed 24/7 by an LPN</t>
  </si>
  <si>
    <t>Insurance</t>
  </si>
  <si>
    <t>Year 1 Costs</t>
  </si>
  <si>
    <t>%</t>
  </si>
  <si>
    <t>Personnel Costs</t>
  </si>
  <si>
    <t>Salaries</t>
  </si>
  <si>
    <t>Overtime</t>
  </si>
  <si>
    <t>Total Personnel Costs</t>
  </si>
  <si>
    <t>Pharmacy Costs</t>
  </si>
  <si>
    <t>Pych meds</t>
  </si>
  <si>
    <t>All other Meds</t>
  </si>
  <si>
    <t>Total Pharmacy Costs</t>
  </si>
  <si>
    <t>On-site Variable Costs</t>
  </si>
  <si>
    <t>On-site Labs</t>
  </si>
  <si>
    <t>Eyeglasses</t>
  </si>
  <si>
    <t>Total On-site Variable Costs</t>
  </si>
  <si>
    <t>Off-site Expenses</t>
  </si>
  <si>
    <t>Inpatient Hospital &amp; Physician</t>
  </si>
  <si>
    <t>Emergency Room</t>
  </si>
  <si>
    <t>Outpatient Specialty</t>
  </si>
  <si>
    <t>Outpatient 1-Day Surgeries</t>
  </si>
  <si>
    <t>Outpatient X-Ray</t>
  </si>
  <si>
    <t>Dialysis Treatments</t>
  </si>
  <si>
    <t>Total Off-site Expenses</t>
  </si>
  <si>
    <t>On-site Administrative Expenses</t>
  </si>
  <si>
    <t>NCCHC Dues</t>
  </si>
  <si>
    <t>Recruitment</t>
  </si>
  <si>
    <t>Microsoft User Licenses</t>
  </si>
  <si>
    <t>Total On-site Administrative</t>
  </si>
  <si>
    <t>Total Costs:</t>
  </si>
  <si>
    <t>Management Fee:</t>
  </si>
  <si>
    <t>Total Start-Up Costs</t>
  </si>
  <si>
    <t>Total Year One Costs:</t>
  </si>
  <si>
    <t>Start - Up Costs</t>
  </si>
  <si>
    <t>Computers</t>
  </si>
  <si>
    <t>Scanners</t>
  </si>
  <si>
    <t>On-site X-Ray</t>
  </si>
  <si>
    <t>Dental Supplies</t>
  </si>
  <si>
    <t>Medical Supplies</t>
  </si>
  <si>
    <t>Medical &amp; Dental Equipment</t>
  </si>
  <si>
    <t>CCS Budget Cost Worksheet - Fort Bend, TX</t>
  </si>
  <si>
    <t>Medical Waste</t>
  </si>
  <si>
    <t>Long Distance &amp; Phones</t>
  </si>
  <si>
    <t>Dell 3330dn Laser Printers</t>
  </si>
  <si>
    <t>14K Page Toner</t>
  </si>
  <si>
    <t>Large Copier FAX/Printer/Scanner</t>
  </si>
  <si>
    <t>H.S.A. Fax</t>
  </si>
  <si>
    <t>Time Clocks &amp; licenses</t>
  </si>
  <si>
    <t>Shredding</t>
  </si>
  <si>
    <t>CorEMR</t>
  </si>
  <si>
    <t>Dialysis Clinic</t>
  </si>
  <si>
    <t>Depreciation (digital X-Ray)</t>
  </si>
  <si>
    <t>PERSONNEL COSTS</t>
  </si>
  <si>
    <t>Salaries &amp; Wages</t>
  </si>
  <si>
    <t>Benefits</t>
  </si>
  <si>
    <t>Contract Labor</t>
  </si>
  <si>
    <t>TOTAL PERSONNEL</t>
  </si>
  <si>
    <t>COSTS</t>
  </si>
  <si>
    <t>OTHER COSTS</t>
  </si>
  <si>
    <t xml:space="preserve">Other On-Site </t>
  </si>
  <si>
    <t>Supplies</t>
  </si>
  <si>
    <t>Off - Site Expense</t>
  </si>
  <si>
    <t>Professional Fees</t>
  </si>
  <si>
    <t>Other Expenses</t>
  </si>
  <si>
    <t>TOTAL OTHER COSTS</t>
  </si>
  <si>
    <t xml:space="preserve">TOTAL OPERATING </t>
  </si>
  <si>
    <t>TOTAL PRICING</t>
  </si>
  <si>
    <t>TOTAL START UP</t>
  </si>
  <si>
    <t xml:space="preserve">Budget </t>
  </si>
  <si>
    <t>Year 1</t>
  </si>
  <si>
    <t>Year 2</t>
  </si>
  <si>
    <t>CPI</t>
  </si>
  <si>
    <t>Year 2 Costs</t>
  </si>
  <si>
    <t>Trended Expense Statement</t>
  </si>
  <si>
    <t>For the twelve months ending</t>
  </si>
  <si>
    <t xml:space="preserve">REVISED - ATTACHMENT 7 </t>
  </si>
  <si>
    <t>RFP PRICE PROPOSAL COST SHEET</t>
  </si>
  <si>
    <t xml:space="preserve">CCS Budget Cost Worksheet </t>
  </si>
  <si>
    <t>Fort Bend, Texas</t>
  </si>
  <si>
    <t>Grand Total</t>
  </si>
  <si>
    <t>DENTAL</t>
  </si>
  <si>
    <t>Employee Benefits and Salaries</t>
  </si>
  <si>
    <t>MEDICAL</t>
  </si>
  <si>
    <t>MENTAL HEALTH</t>
  </si>
  <si>
    <t>SUBSTANCE ABUSE TREATMENT</t>
  </si>
  <si>
    <t>ASSESSMENT AND REENTRY CASE MANAGEMENT</t>
  </si>
  <si>
    <t>Pharmaceutical Services &amp; Supplies</t>
  </si>
  <si>
    <t>*Estimated Annual</t>
  </si>
  <si>
    <t>*Management Fee</t>
  </si>
  <si>
    <t>Office Supplies</t>
  </si>
  <si>
    <t>Med</t>
  </si>
  <si>
    <t>Dent</t>
  </si>
  <si>
    <t>Psych</t>
  </si>
  <si>
    <t>On-site Dialysis</t>
  </si>
  <si>
    <t>None</t>
  </si>
  <si>
    <t>*Substance Abuse Treatment and Assessment and Reentry Case Management are not part of Roll -Up Pricing.</t>
  </si>
  <si>
    <t>Final Grand Total</t>
  </si>
  <si>
    <t>(Included in Medical Supplies)</t>
  </si>
  <si>
    <t>Per Staffing Matrix Provided by FBC</t>
  </si>
  <si>
    <t>EMT</t>
  </si>
  <si>
    <t>Old</t>
  </si>
  <si>
    <t>New</t>
  </si>
  <si>
    <t>Variance</t>
  </si>
  <si>
    <t>ORIGINAL - ALT</t>
  </si>
  <si>
    <t>Mental health</t>
  </si>
  <si>
    <t>Dental+ Medical</t>
  </si>
  <si>
    <t>vacancy</t>
  </si>
  <si>
    <t>salary</t>
  </si>
  <si>
    <t>offsite expense</t>
  </si>
  <si>
    <t>Med supplies</t>
  </si>
  <si>
    <t>dental supplies</t>
  </si>
  <si>
    <t>onsite variable</t>
  </si>
  <si>
    <t>OSV total</t>
  </si>
  <si>
    <t>Admin</t>
  </si>
  <si>
    <t>start up</t>
  </si>
  <si>
    <t>mgt fee</t>
  </si>
  <si>
    <t>pharm</t>
  </si>
  <si>
    <t>Mental Health Total</t>
  </si>
  <si>
    <t>mh</t>
  </si>
  <si>
    <t>dental</t>
  </si>
  <si>
    <t>med</t>
  </si>
  <si>
    <t>CCS and County will share 50-50 for the first $120,000 above or below annual budget.</t>
  </si>
  <si>
    <t>All variances beyond $120,000 will be credited or debited to Fort Bend County.</t>
  </si>
  <si>
    <t>Correct Care Solutions, LLC</t>
  </si>
  <si>
    <t>Budgeted Income Statement</t>
  </si>
  <si>
    <t>YTD TOTAL</t>
  </si>
  <si>
    <t>Acct #</t>
  </si>
  <si>
    <t>LOC</t>
  </si>
  <si>
    <t>Acct.#</t>
  </si>
  <si>
    <t>12 Mth. Total</t>
  </si>
  <si>
    <t>400000</t>
  </si>
  <si>
    <t>REVENUE</t>
  </si>
  <si>
    <t>401000</t>
  </si>
  <si>
    <t>Base</t>
  </si>
  <si>
    <t>410000</t>
  </si>
  <si>
    <t>Excess</t>
  </si>
  <si>
    <t>Contract Credits</t>
  </si>
  <si>
    <t>705000</t>
  </si>
  <si>
    <t>E-chart</t>
  </si>
  <si>
    <t>407000</t>
  </si>
  <si>
    <t>Claims Repricing Services</t>
  </si>
  <si>
    <t>Medication Verification</t>
  </si>
  <si>
    <t>UCARE</t>
  </si>
  <si>
    <t>406000</t>
  </si>
  <si>
    <t>Utilization Management</t>
  </si>
  <si>
    <t>601000</t>
  </si>
  <si>
    <t>Interest Income</t>
  </si>
  <si>
    <t>615000</t>
  </si>
  <si>
    <t>609000</t>
  </si>
  <si>
    <t>TOTAL REVENUE</t>
  </si>
  <si>
    <t>605000</t>
  </si>
  <si>
    <t>606000</t>
  </si>
  <si>
    <t>610000</t>
  </si>
  <si>
    <t>OPERATING EXPENSES</t>
  </si>
  <si>
    <t>611000</t>
  </si>
  <si>
    <t>Payroll:</t>
  </si>
  <si>
    <t>612000</t>
  </si>
  <si>
    <t>Salaries - Regional Mgmt &amp; Support</t>
  </si>
  <si>
    <t>613000</t>
  </si>
  <si>
    <t>Salaries - Physicians &amp; Med Directors</t>
  </si>
  <si>
    <t>614000</t>
  </si>
  <si>
    <t>Salaries - HSA &amp; DON</t>
  </si>
  <si>
    <t>626000</t>
  </si>
  <si>
    <t>Salaries - Dental</t>
  </si>
  <si>
    <t>625000</t>
  </si>
  <si>
    <t>Salaries - Medical Support</t>
  </si>
  <si>
    <t>621000</t>
  </si>
  <si>
    <t>Salaries - PA/NP/ARNP</t>
  </si>
  <si>
    <t>622000</t>
  </si>
  <si>
    <t>Salaries - RN's</t>
  </si>
  <si>
    <t>627000</t>
  </si>
  <si>
    <t>Salaries - LPN's</t>
  </si>
  <si>
    <t>623000</t>
  </si>
  <si>
    <t>Salaries - CMA's</t>
  </si>
  <si>
    <t>628000</t>
  </si>
  <si>
    <t>Salaries - Mental Health</t>
  </si>
  <si>
    <t>629000</t>
  </si>
  <si>
    <t>Salaries - Home Office OH</t>
  </si>
  <si>
    <t>631000</t>
  </si>
  <si>
    <t>Salaries - Intake</t>
  </si>
  <si>
    <t>632000</t>
  </si>
  <si>
    <t>Salaries - Human Resources</t>
  </si>
  <si>
    <t>624000</t>
  </si>
  <si>
    <t>Salaries - Accounting</t>
  </si>
  <si>
    <t>402000</t>
  </si>
  <si>
    <t>Salaries - Network Development</t>
  </si>
  <si>
    <t>404000</t>
  </si>
  <si>
    <t>Salaries - IT</t>
  </si>
  <si>
    <t>640000</t>
  </si>
  <si>
    <t>Salaries - Legal</t>
  </si>
  <si>
    <t>641000</t>
  </si>
  <si>
    <t>Salaries - Training</t>
  </si>
  <si>
    <t>645000</t>
  </si>
  <si>
    <t>Salaries - Clinical</t>
  </si>
  <si>
    <t>646000</t>
  </si>
  <si>
    <t>Salaries - Operations</t>
  </si>
  <si>
    <t>691000</t>
  </si>
  <si>
    <t>Salaries - Business Development</t>
  </si>
  <si>
    <t>644000</t>
  </si>
  <si>
    <t>Staffing Vacancies</t>
  </si>
  <si>
    <t>692000</t>
  </si>
  <si>
    <t>KDOC Reimbursement</t>
  </si>
  <si>
    <t>695000</t>
  </si>
  <si>
    <t>694000</t>
  </si>
  <si>
    <t xml:space="preserve"> Total Salaries</t>
  </si>
  <si>
    <t>684000</t>
  </si>
  <si>
    <t>685000</t>
  </si>
  <si>
    <t xml:space="preserve"> Contract Labor</t>
  </si>
  <si>
    <t>686000</t>
  </si>
  <si>
    <t>687000</t>
  </si>
  <si>
    <t>Payroll Taxes</t>
  </si>
  <si>
    <t>682000</t>
  </si>
  <si>
    <t>Employee Benefits</t>
  </si>
  <si>
    <t>689000</t>
  </si>
  <si>
    <t>Employee Vacation Benefit</t>
  </si>
  <si>
    <t>690000</t>
  </si>
  <si>
    <t>Insurance - EE Basic Life</t>
  </si>
  <si>
    <t>700000</t>
  </si>
  <si>
    <t>401(k) Employer Match</t>
  </si>
  <si>
    <t>701000</t>
  </si>
  <si>
    <t>702000</t>
  </si>
  <si>
    <t xml:space="preserve"> Total Benefits</t>
  </si>
  <si>
    <t>746000</t>
  </si>
  <si>
    <t xml:space="preserve"> (as % of salaries)</t>
  </si>
  <si>
    <t>740000</t>
  </si>
  <si>
    <t>748000</t>
  </si>
  <si>
    <t>741000</t>
  </si>
  <si>
    <t>TOTAL PAYROLL / BENEFITS</t>
  </si>
  <si>
    <t>743000</t>
  </si>
  <si>
    <t>744000</t>
  </si>
  <si>
    <t>745000</t>
  </si>
  <si>
    <t>Travel:</t>
  </si>
  <si>
    <t>731000</t>
  </si>
  <si>
    <t>732000</t>
  </si>
  <si>
    <t>Travel - CORE</t>
  </si>
  <si>
    <t>721000</t>
  </si>
  <si>
    <t>Meals &amp; Entertainment</t>
  </si>
  <si>
    <t>750000</t>
  </si>
  <si>
    <t>751000</t>
  </si>
  <si>
    <t>TOTAL TRAVEL</t>
  </si>
  <si>
    <t>664000</t>
  </si>
  <si>
    <t>752000</t>
  </si>
  <si>
    <t>710000</t>
  </si>
  <si>
    <t>INSURANCE:</t>
  </si>
  <si>
    <t>715000</t>
  </si>
  <si>
    <t>Insurance - Malpractice Premiums</t>
  </si>
  <si>
    <t>711000</t>
  </si>
  <si>
    <t>Insurance - Malpractice Claims</t>
  </si>
  <si>
    <t>716000</t>
  </si>
  <si>
    <t>Legal - Med Mal</t>
  </si>
  <si>
    <t>720000</t>
  </si>
  <si>
    <t>Insurance - Malpractice Tail</t>
  </si>
  <si>
    <t>725000</t>
  </si>
  <si>
    <t>Insurance - Performance Bond</t>
  </si>
  <si>
    <t>722000</t>
  </si>
  <si>
    <t>Insurance - General</t>
  </si>
  <si>
    <t>727000</t>
  </si>
  <si>
    <t>Insurance - Reinsurance</t>
  </si>
  <si>
    <t>723000</t>
  </si>
  <si>
    <t>Insurance - Workers Compensation</t>
  </si>
  <si>
    <t>730000</t>
  </si>
  <si>
    <t>TOTAL INSURANCE</t>
  </si>
  <si>
    <t>735000</t>
  </si>
  <si>
    <t>753000</t>
  </si>
  <si>
    <t>651000</t>
  </si>
  <si>
    <t>MEDICAL SERVICES</t>
  </si>
  <si>
    <t>652000</t>
  </si>
  <si>
    <t>653000</t>
  </si>
  <si>
    <t>ON-SITE SERVICES</t>
  </si>
  <si>
    <t>Professional Services:</t>
  </si>
  <si>
    <t>654000</t>
  </si>
  <si>
    <t>Physician Fees</t>
  </si>
  <si>
    <t>655000</t>
  </si>
  <si>
    <t>Dentist Fees</t>
  </si>
  <si>
    <t>656000</t>
  </si>
  <si>
    <t>Psychiatric Fees</t>
  </si>
  <si>
    <t>659000</t>
  </si>
  <si>
    <t>Ancillary Fees</t>
  </si>
  <si>
    <t>660000</t>
  </si>
  <si>
    <t>696000</t>
  </si>
  <si>
    <t>TOTAL ON-SITE PROFESSIONAL SERVICES</t>
  </si>
  <si>
    <t>661000</t>
  </si>
  <si>
    <t>662000</t>
  </si>
  <si>
    <t>Pharmacy Supplies:</t>
  </si>
  <si>
    <t>665000</t>
  </si>
  <si>
    <t>Pharmacy-Cap Adjustments</t>
  </si>
  <si>
    <t>666000</t>
  </si>
  <si>
    <t>Pharmacy-HIV</t>
  </si>
  <si>
    <t>667000</t>
  </si>
  <si>
    <t>Pharmacy-Psych</t>
  </si>
  <si>
    <t>668000</t>
  </si>
  <si>
    <t>Pharmacy-Other</t>
  </si>
  <si>
    <t>670000</t>
  </si>
  <si>
    <t>Pharmacy-Backup</t>
  </si>
  <si>
    <t>671000</t>
  </si>
  <si>
    <t>Pharmacy Reimbursement</t>
  </si>
  <si>
    <t>672000</t>
  </si>
  <si>
    <t>673000</t>
  </si>
  <si>
    <t>TOTAL PHARMACY SUPPLIES</t>
  </si>
  <si>
    <t>674000</t>
  </si>
  <si>
    <t>675000</t>
  </si>
  <si>
    <t>676000</t>
  </si>
  <si>
    <t>Laboratory Services</t>
  </si>
  <si>
    <t>677000</t>
  </si>
  <si>
    <t>678000</t>
  </si>
  <si>
    <t>405000</t>
  </si>
  <si>
    <t>TOTAL OTHER</t>
  </si>
  <si>
    <t>950000</t>
  </si>
  <si>
    <t>658000</t>
  </si>
  <si>
    <t>Supplies:</t>
  </si>
  <si>
    <t>758000</t>
  </si>
  <si>
    <t>809000</t>
  </si>
  <si>
    <t>801000</t>
  </si>
  <si>
    <t>Equipment - Non Capital</t>
  </si>
  <si>
    <t>805000</t>
  </si>
  <si>
    <t>Mental Health Supplies</t>
  </si>
  <si>
    <t>810000</t>
  </si>
  <si>
    <t>962000</t>
  </si>
  <si>
    <t>TOTAL SUPPLIES</t>
  </si>
  <si>
    <t>952000</t>
  </si>
  <si>
    <t>TOTAL ON-SITE SERVICES</t>
  </si>
  <si>
    <t>OFF-SITE SERVICES</t>
  </si>
  <si>
    <t>Hospitalization Services:</t>
  </si>
  <si>
    <t>Hospitalization</t>
  </si>
  <si>
    <t>Claims Adjustment</t>
  </si>
  <si>
    <t>Emergency Room &amp; Ambulance</t>
  </si>
  <si>
    <t>TOTAL HOSPITALIZATION SERVICES</t>
  </si>
  <si>
    <t>Physician Visits:</t>
  </si>
  <si>
    <t>TOTAL PHYSICIAN VISITS</t>
  </si>
  <si>
    <t>Outpatient One Day</t>
  </si>
  <si>
    <t>Dental Services</t>
  </si>
  <si>
    <t>TOTAL OFF-SITE SERVICES</t>
  </si>
  <si>
    <t>TOTAL MEDICAL SERVICES &amp; SUPPLIES</t>
  </si>
  <si>
    <t>Contract Reimbursements:</t>
  </si>
  <si>
    <t>Contract Reimbursements</t>
  </si>
  <si>
    <t>TOTAL CONTRACT REIMBURSEMENTS</t>
  </si>
  <si>
    <t>Other Expenses:</t>
  </si>
  <si>
    <t>Accounting Fees</t>
  </si>
  <si>
    <t>Advertising &amp; Promotions</t>
  </si>
  <si>
    <t>Bank Charges</t>
  </si>
  <si>
    <t>Community Relations</t>
  </si>
  <si>
    <t>Consulting</t>
  </si>
  <si>
    <t>Contributions</t>
  </si>
  <si>
    <t>Data Processing Fees &amp; Supplies</t>
  </si>
  <si>
    <t>Dues &amp; Subscriptions</t>
  </si>
  <si>
    <t>Employee Education &amp; Training</t>
  </si>
  <si>
    <t>Home Office Training Activities</t>
  </si>
  <si>
    <t>Employee Goodwill</t>
  </si>
  <si>
    <t>Employee Recruitment</t>
  </si>
  <si>
    <t>Legal Fees</t>
  </si>
  <si>
    <t>Licenses Fees</t>
  </si>
  <si>
    <t>Maintenance Contracts</t>
  </si>
  <si>
    <t>Meetings &amp; Registration</t>
  </si>
  <si>
    <t>Outside Services - Nonmedical</t>
  </si>
  <si>
    <t>Payroll Services</t>
  </si>
  <si>
    <t>Postage and Mailings</t>
  </si>
  <si>
    <t>Printing &amp; Forms</t>
  </si>
  <si>
    <t>Recreational Therapy Activities</t>
  </si>
  <si>
    <t>Rent - Equipment</t>
  </si>
  <si>
    <t>Rent - Office</t>
  </si>
  <si>
    <t>Repairs &amp; Maintenance</t>
  </si>
  <si>
    <t>Telephone</t>
  </si>
  <si>
    <t>TOTAL OTHER EXPENSES</t>
  </si>
  <si>
    <t>TOTAL OPERATING EXPENSES</t>
  </si>
  <si>
    <t>EBITDA</t>
  </si>
  <si>
    <t>Interest Expense</t>
  </si>
  <si>
    <t>Amortization</t>
  </si>
  <si>
    <t>Stock Compensation Expense</t>
  </si>
  <si>
    <t>Tax Expense</t>
  </si>
  <si>
    <t>Transaction Cost Expense</t>
  </si>
  <si>
    <t>Audax Management Fee</t>
  </si>
  <si>
    <t>NET INCOME</t>
  </si>
  <si>
    <t>Regional Overhead</t>
  </si>
  <si>
    <t>Home Office Overhead</t>
  </si>
  <si>
    <t>Fort Bend, TX</t>
  </si>
  <si>
    <t>0753</t>
  </si>
  <si>
    <t>0755</t>
  </si>
  <si>
    <t>Trended Budgeted Expense Statement</t>
  </si>
  <si>
    <t>For the Twelve Months Ending September 30, 2015</t>
  </si>
  <si>
    <t>Prior Year</t>
  </si>
  <si>
    <t xml:space="preserve">% 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</si>
  <si>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</si>
  <si>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</si>
  <si>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</si>
  <si>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</si>
  <si>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</si>
  <si>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</si>
  <si>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</si>
  <si>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</si>
  <si>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</si>
  <si>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</si>
  <si>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</si>
  <si>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</si>
  <si>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Dec (Inc) from PY</t>
  </si>
  <si>
    <t xml:space="preserve">   Wages &amp; Benefits</t>
  </si>
  <si>
    <t>Note 1</t>
  </si>
  <si>
    <t xml:space="preserve">   Travel</t>
  </si>
  <si>
    <t>Note 2</t>
  </si>
  <si>
    <t xml:space="preserve">   Insurance</t>
  </si>
  <si>
    <t>Note 3</t>
  </si>
  <si>
    <t xml:space="preserve">   On-Site Professional Fees</t>
  </si>
  <si>
    <t xml:space="preserve">   Pharmacy</t>
  </si>
  <si>
    <t>Note 4</t>
  </si>
  <si>
    <t xml:space="preserve">   Other On-Site</t>
  </si>
  <si>
    <t>Note 5</t>
  </si>
  <si>
    <t xml:space="preserve">   Supplies</t>
  </si>
  <si>
    <t>Note 6</t>
  </si>
  <si>
    <t xml:space="preserve">   Off-Site Services</t>
  </si>
  <si>
    <t>Note 7</t>
  </si>
  <si>
    <t xml:space="preserve">   Other Expenses</t>
  </si>
  <si>
    <t>Note 8</t>
  </si>
  <si>
    <t>-</t>
  </si>
  <si>
    <t>DIRECT EXPENSE</t>
  </si>
  <si>
    <t>Note 9</t>
  </si>
  <si>
    <t>TOTAL EXPENSE</t>
  </si>
  <si>
    <t>Basis for calculations:</t>
  </si>
  <si>
    <t>Pricing Invoice</t>
  </si>
  <si>
    <t>Mgmt. Invoice</t>
  </si>
  <si>
    <t>Fort Bend County Jail, TX</t>
  </si>
  <si>
    <r>
      <rPr>
        <b/>
        <sz val="10"/>
        <rFont val="Arial"/>
        <family val="2"/>
      </rPr>
      <t>Note 9</t>
    </r>
    <r>
      <rPr>
        <sz val="10"/>
        <color indexed="0"/>
        <rFont val="Arial"/>
        <family val="2"/>
      </rPr>
      <t>: Increased management fee by 3%, per the contract.</t>
    </r>
  </si>
  <si>
    <t>PR Tax adj (Jan and Feb Higher)</t>
  </si>
  <si>
    <t>Total Off-Site Expenses</t>
  </si>
  <si>
    <t>Total On-Site Administrative Expenses</t>
  </si>
  <si>
    <t>Total On-Site Variable Expenses</t>
  </si>
  <si>
    <t>Pharmacy Expenses</t>
  </si>
  <si>
    <t>FY 2015 Costs</t>
  </si>
  <si>
    <t>Psych Medications</t>
  </si>
  <si>
    <t>All Other Medications</t>
  </si>
  <si>
    <t>Medication Reimbursements</t>
  </si>
  <si>
    <t>Back-up Medications</t>
  </si>
  <si>
    <t>Total Year Fiscal Year 2015 Costs:</t>
  </si>
  <si>
    <t>On-Site X-Ray</t>
  </si>
  <si>
    <t>On-Site Labs</t>
  </si>
  <si>
    <t>On-Site Dialysis</t>
  </si>
  <si>
    <t>Medical Equipment</t>
  </si>
  <si>
    <t>Inpatient Hospitalization</t>
  </si>
  <si>
    <t>Equipment Rental</t>
  </si>
  <si>
    <t>License Fees</t>
  </si>
  <si>
    <t>Outside Services</t>
  </si>
  <si>
    <t>All Other Admin Expenses</t>
  </si>
  <si>
    <t>Medical Malpractice Insurance</t>
  </si>
  <si>
    <t>Workers Compensation</t>
  </si>
  <si>
    <t>Fiscal Year 2015</t>
  </si>
  <si>
    <t>CCS Budget Cost Worksheet v2</t>
  </si>
  <si>
    <r>
      <rPr>
        <b/>
        <sz val="10"/>
        <rFont val="Arial"/>
        <family val="2"/>
      </rPr>
      <t>Note 1:</t>
    </r>
    <r>
      <rPr>
        <sz val="10"/>
        <color indexed="0"/>
        <rFont val="Arial"/>
        <family val="2"/>
      </rPr>
      <t xml:space="preserve"> Wages, Benefits, &amp; Pro. Fees based off of contracted staffing matrix.</t>
    </r>
  </si>
  <si>
    <t xml:space="preserve">             Year 2 budget kept consistent with Year 1 budget.</t>
  </si>
  <si>
    <r>
      <rPr>
        <b/>
        <sz val="10"/>
        <rFont val="Arial"/>
        <family val="2"/>
      </rPr>
      <t xml:space="preserve">Note 2: </t>
    </r>
    <r>
      <rPr>
        <sz val="10"/>
        <color indexed="0"/>
        <rFont val="Arial"/>
        <family val="2"/>
      </rPr>
      <t>Calculations based off of 10 month (Oct 2013 - Jul 2014) actual trend.</t>
    </r>
  </si>
  <si>
    <r>
      <rPr>
        <b/>
        <sz val="10"/>
        <rFont val="Arial"/>
        <family val="2"/>
      </rPr>
      <t>Note 3:</t>
    </r>
    <r>
      <rPr>
        <sz val="10"/>
        <color indexed="0"/>
        <rFont val="Arial"/>
        <family val="2"/>
      </rPr>
      <t xml:space="preserve"> Calculations based off of 10 month (Oct 2013 - Jul 2014) actual trend, increased slightly for anticipated premium increases.</t>
    </r>
  </si>
  <si>
    <r>
      <rPr>
        <b/>
        <sz val="10"/>
        <rFont val="Arial"/>
        <family val="2"/>
      </rPr>
      <t>Note 4:</t>
    </r>
    <r>
      <rPr>
        <sz val="10"/>
        <color indexed="0"/>
        <rFont val="Arial"/>
        <family val="2"/>
      </rPr>
      <t xml:space="preserve"> Calculations based off of 10 month (Oct 2013 - Jul 2014) actual trend, increased slightly for variability in acuity.</t>
    </r>
  </si>
  <si>
    <t xml:space="preserve">            Year 2 budget is 13.5% less than Year 1 budget due to better than anticipated experience.</t>
  </si>
  <si>
    <r>
      <rPr>
        <b/>
        <sz val="10"/>
        <rFont val="Arial"/>
        <family val="2"/>
      </rPr>
      <t>Note 5:</t>
    </r>
    <r>
      <rPr>
        <sz val="10"/>
        <color indexed="0"/>
        <rFont val="Arial"/>
        <family val="2"/>
      </rPr>
      <t xml:space="preserve"> Calculations based off of 10 month (Oct 2013 - Jul 2014) actual trend, increased slightly in order to have a small dialysis budget in Year 2.</t>
    </r>
  </si>
  <si>
    <t xml:space="preserve">            Year 2 budget is 22% lower than Year 1 budget due to reduction in the dialysis budget.</t>
  </si>
  <si>
    <r>
      <rPr>
        <b/>
        <sz val="10"/>
        <rFont val="Arial"/>
        <family val="2"/>
      </rPr>
      <t>Note 6:</t>
    </r>
    <r>
      <rPr>
        <sz val="10"/>
        <color indexed="0"/>
        <rFont val="Arial"/>
        <family val="2"/>
      </rPr>
      <t xml:space="preserve"> Calculations based off of 10 month (Oct 2013 - Jul 2014) actual trend, increased slightly for inflationary factor.</t>
    </r>
  </si>
  <si>
    <r>
      <rPr>
        <b/>
        <sz val="10"/>
        <rFont val="Arial"/>
        <family val="2"/>
      </rPr>
      <t>Note 7:</t>
    </r>
    <r>
      <rPr>
        <sz val="10"/>
        <color indexed="0"/>
        <rFont val="Arial"/>
        <family val="2"/>
      </rPr>
      <t xml:space="preserve"> Calculations based off of 10 month (Oct 2013 - Jul 2014) actual trend.</t>
    </r>
  </si>
  <si>
    <t xml:space="preserve">           Year 2 budget is 28% higher than Year 1 budget in accordance with actual trends.</t>
  </si>
  <si>
    <r>
      <rPr>
        <b/>
        <sz val="10"/>
        <rFont val="Arial"/>
        <family val="2"/>
      </rPr>
      <t>Note 8:</t>
    </r>
    <r>
      <rPr>
        <sz val="10"/>
        <color indexed="0"/>
        <rFont val="Arial"/>
        <family val="2"/>
      </rPr>
      <t xml:space="preserve"> Calculations based off of 10 month (Oct 2013 - Jul 2014) actual trend.</t>
    </r>
  </si>
  <si>
    <t xml:space="preserve">           Year 2 budget is 28% lower than Year 1 budget in accordance with actual trends.</t>
  </si>
  <si>
    <t xml:space="preserve">            Year 2 budget is 51% higher than Year 1 budget in accordance with actual trends.</t>
  </si>
  <si>
    <t xml:space="preserve">            Year 2 budget is 17% greater than Year 1 budget in accordance with actual trends.</t>
  </si>
  <si>
    <t xml:space="preserve">             Year 2 budget is 9% higher than Year 1 budget due to contracted 3% increase as well as additional </t>
  </si>
  <si>
    <t xml:space="preserve">             request of 1.0 Clinical Coordinator FTE and 0.2 additional LVN FTE.</t>
  </si>
  <si>
    <t>Trended Detailed Expense Statement</t>
  </si>
  <si>
    <t>9 Month Totals for Trended Averages</t>
  </si>
  <si>
    <t>Days per Month</t>
  </si>
  <si>
    <t>9 Month AVG</t>
  </si>
  <si>
    <t>Operating Expenses</t>
  </si>
  <si>
    <t>(as % of Salaries)</t>
  </si>
  <si>
    <t>Total Payroll and Salaries</t>
  </si>
  <si>
    <t>On-Site Services</t>
  </si>
  <si>
    <t>Total On-Site Services</t>
  </si>
  <si>
    <t>Off-Site Services</t>
  </si>
  <si>
    <t>Total Off-Site Services</t>
  </si>
  <si>
    <t>Total Medical Services &amp; Supplies</t>
  </si>
  <si>
    <t>Total Other Expenses</t>
  </si>
  <si>
    <t>Direct Expense</t>
  </si>
  <si>
    <t>Total Expense</t>
  </si>
  <si>
    <t>Fort Bend County, TX</t>
  </si>
  <si>
    <t>Actual vs Budget Detailed Expense Statement</t>
  </si>
  <si>
    <t>For the Twelve Months Ending September 30, 2014</t>
  </si>
  <si>
    <t>For the Nine Months Ending June 30, 2015</t>
  </si>
  <si>
    <t>MONTH OF SEPTEMBER 2013</t>
  </si>
  <si>
    <t>CONTRACT YEAR-TO-DATE 2014</t>
  </si>
  <si>
    <t>MONTH OF MAY 2014</t>
  </si>
  <si>
    <t>CONTRACT YEAR-TO-DATE 2015</t>
  </si>
  <si>
    <t>Actual</t>
  </si>
  <si>
    <t>Amount</t>
  </si>
  <si>
    <t>Pharmacy - HIV</t>
  </si>
  <si>
    <t>Pharmacy - Psych</t>
  </si>
  <si>
    <t>Pharmacy - Other</t>
  </si>
  <si>
    <t>Pharmacy - Hepatitus</t>
  </si>
  <si>
    <t>Pharmacy - Backup</t>
  </si>
  <si>
    <t>21 Month Total</t>
  </si>
  <si>
    <t>AVG Annualized</t>
  </si>
  <si>
    <t>FY 2016 Budget Amt</t>
  </si>
  <si>
    <t>Off-Site Radiology</t>
  </si>
  <si>
    <t>Months</t>
  </si>
  <si>
    <t>Contract Year 2013-2014 Off-Site</t>
  </si>
  <si>
    <t>Contract Year 2014-2015 Off-Site</t>
  </si>
  <si>
    <t xml:space="preserve">Total Offiste </t>
  </si>
  <si>
    <t>Average per month</t>
  </si>
  <si>
    <t>Estimated Offiste for 2015-2016</t>
  </si>
  <si>
    <t>Paid to Date thru 6/30/2015</t>
  </si>
  <si>
    <t>Paid to Date/Month thru 6/30/2015</t>
  </si>
  <si>
    <t>Paid to Date/Month Annualized</t>
  </si>
  <si>
    <t>New Trend</t>
  </si>
  <si>
    <t>Pulled from Off-Site Stat Tab</t>
  </si>
  <si>
    <t>W/ CPI Inc</t>
  </si>
  <si>
    <t>Budget Amt</t>
  </si>
  <si>
    <t>Network Access Fees</t>
  </si>
  <si>
    <t>3.8% Increase</t>
  </si>
  <si>
    <t>NP</t>
  </si>
  <si>
    <t>Weighted avg</t>
  </si>
  <si>
    <t>Personnel Trend Comparison</t>
  </si>
  <si>
    <t>Departments</t>
  </si>
  <si>
    <t>Prof Fees</t>
  </si>
  <si>
    <t>2016 Budget</t>
  </si>
  <si>
    <t>Forecast</t>
  </si>
  <si>
    <t>Var</t>
  </si>
  <si>
    <t xml:space="preserve">Yr 2 </t>
  </si>
  <si>
    <t>Total Costs</t>
  </si>
  <si>
    <t>Amts</t>
  </si>
  <si>
    <t>EE + Bene</t>
  </si>
  <si>
    <t>Total Pers Cost</t>
  </si>
  <si>
    <t>EST OT @ 3%</t>
  </si>
  <si>
    <t>2016 Projected</t>
  </si>
  <si>
    <t>Diff</t>
  </si>
  <si>
    <t>Pharmacy-Hepatitis</t>
  </si>
  <si>
    <t>747000</t>
  </si>
  <si>
    <t>714000</t>
  </si>
  <si>
    <t>Mental Health Coordinator</t>
  </si>
  <si>
    <t>Revised</t>
  </si>
  <si>
    <t>Reduce by</t>
  </si>
  <si>
    <t>MHC</t>
  </si>
  <si>
    <t>V5 Budget</t>
  </si>
  <si>
    <t>V4 Budget</t>
  </si>
  <si>
    <t>Dental Asst</t>
  </si>
  <si>
    <t>Consolidated</t>
  </si>
  <si>
    <t>Monthly P&amp;L Income Statement</t>
  </si>
  <si>
    <t>YTD Total</t>
  </si>
  <si>
    <t>Avg 152 Days</t>
  </si>
  <si>
    <t>Benefits Expense</t>
  </si>
  <si>
    <t>Employee Expense</t>
  </si>
  <si>
    <t>Incentive Pay</t>
  </si>
  <si>
    <t>Travel &amp; Other</t>
  </si>
  <si>
    <t>Insurance Expense</t>
  </si>
  <si>
    <t>Medical Services</t>
  </si>
  <si>
    <t>On-Site Professional Fees</t>
  </si>
  <si>
    <t>Pharmacy Expense</t>
  </si>
  <si>
    <t>Other On-Site Medical Expense</t>
  </si>
  <si>
    <t>Offsite Healthcare Expense</t>
  </si>
  <si>
    <t>Total Medical Services and Supplies</t>
  </si>
  <si>
    <t>Administrative Expense</t>
  </si>
  <si>
    <t>Facility Expense</t>
  </si>
  <si>
    <t>Other Operating Expense</t>
  </si>
  <si>
    <t>Total Operating Expenses</t>
  </si>
  <si>
    <t>Depreciation Expense</t>
  </si>
  <si>
    <t>Expenses</t>
  </si>
  <si>
    <r>
      <rPr>
        <sz val="8"/>
        <color rgb="FF000000"/>
        <rFont val="Calibri"/>
        <family val="2"/>
      </rPr>
      <t xml:space="preserve">Report Execution Date:
</t>
    </r>
    <r>
      <rPr>
        <sz val="8"/>
        <color rgb="FF000000"/>
        <rFont val="Calibri"/>
        <family val="2"/>
      </rPr>
      <t>6/24/2016 2:12:00 PM CST</t>
    </r>
  </si>
  <si>
    <t>Event &amp; Expense Detail Report</t>
  </si>
  <si>
    <t>Scheduled Date Range: 6/1/2015 - 5/31/2016</t>
  </si>
  <si>
    <t>Regions: Jails</t>
  </si>
  <si>
    <r>
      <rPr>
        <sz val="8"/>
        <color rgb="FF000000"/>
        <rFont val="Calibri"/>
        <family val="2"/>
      </rPr>
      <t xml:space="preserve">Page 1 of 2
</t>
    </r>
  </si>
  <si>
    <t>Pay Date Range: 6/1/2015 - 6/24/2016</t>
  </si>
  <si>
    <t>Accrual Days: 145</t>
  </si>
  <si>
    <t xml:space="preserve"> </t>
  </si>
  <si>
    <t>Date Of Service</t>
  </si>
  <si>
    <t>Discharge</t>
  </si>
  <si>
    <t>Provider</t>
  </si>
  <si>
    <t>Dept</t>
  </si>
  <si>
    <t>Patient Number</t>
  </si>
  <si>
    <t>Patient
Last Name</t>
  </si>
  <si>
    <t>Patient
First Name</t>
  </si>
  <si>
    <t>Type</t>
  </si>
  <si>
    <t>Pre-Book</t>
  </si>
  <si>
    <t>Pre-Exist</t>
  </si>
  <si>
    <t>No Chrg</t>
  </si>
  <si>
    <t>Referral  #</t>
  </si>
  <si>
    <t>Appt ID</t>
  </si>
  <si>
    <t>Standard Cost</t>
  </si>
  <si>
    <t>Paid To Date</t>
  </si>
  <si>
    <t>Expense</t>
  </si>
  <si>
    <t>Denied Claim</t>
  </si>
  <si>
    <t/>
  </si>
  <si>
    <r>
      <rPr>
        <b/>
        <sz val="9"/>
        <color rgb="FF000000"/>
        <rFont val="Arial"/>
        <family val="2"/>
      </rPr>
      <t>Air Ambulance             2 EVENT(S)</t>
    </r>
    <r>
      <rPr>
        <b/>
        <sz val="9"/>
        <color rgb="FF000000"/>
        <rFont val="Arial"/>
        <family val="2"/>
      </rPr>
      <t xml:space="preserve"> </t>
    </r>
  </si>
  <si>
    <t>Jails</t>
  </si>
  <si>
    <t>Memorial Hermann Houston</t>
  </si>
  <si>
    <t xml:space="preserve">0753  </t>
  </si>
  <si>
    <t>P00200908</t>
  </si>
  <si>
    <t>LAZO</t>
  </si>
  <si>
    <t>MIGUEL</t>
  </si>
  <si>
    <t>3108405</t>
  </si>
  <si>
    <t>Memorial Hermann Downtown Houston</t>
  </si>
  <si>
    <t>P91001885</t>
  </si>
  <si>
    <t>ROSALES</t>
  </si>
  <si>
    <t>SANTOS</t>
  </si>
  <si>
    <t>3879857</t>
  </si>
  <si>
    <t xml:space="preserve">2 </t>
  </si>
  <si>
    <t>Fort Bend County Jail, TX Air Ambulance Totals</t>
  </si>
  <si>
    <t>Air Ambulance Totals</t>
  </si>
  <si>
    <r>
      <rPr>
        <b/>
        <sz val="9"/>
        <color rgb="FF000000"/>
        <rFont val="Arial"/>
        <family val="2"/>
      </rPr>
      <t>AMBULANCE             31 EVENT(S)</t>
    </r>
    <r>
      <rPr>
        <b/>
        <sz val="9"/>
        <color rgb="FF000000"/>
        <rFont val="Arial"/>
        <family val="2"/>
      </rPr>
      <t xml:space="preserve"> </t>
    </r>
  </si>
  <si>
    <t>Oakbend</t>
  </si>
  <si>
    <t>P00177978</t>
  </si>
  <si>
    <t>GILLESPIE</t>
  </si>
  <si>
    <t>JOHN</t>
  </si>
  <si>
    <t>2717201</t>
  </si>
  <si>
    <t>Oak Bend</t>
  </si>
  <si>
    <t>P00110379</t>
  </si>
  <si>
    <t>DAVIS</t>
  </si>
  <si>
    <t>EARL</t>
  </si>
  <si>
    <t>2741871</t>
  </si>
  <si>
    <t>2791740</t>
  </si>
  <si>
    <t>oakbend</t>
  </si>
  <si>
    <t>2821884</t>
  </si>
  <si>
    <t>OakBend</t>
  </si>
  <si>
    <t>P00014211</t>
  </si>
  <si>
    <t>ULLRICH</t>
  </si>
  <si>
    <t>JOE</t>
  </si>
  <si>
    <t>2830559</t>
  </si>
  <si>
    <t>P00086260</t>
  </si>
  <si>
    <t>GRIFFIN</t>
  </si>
  <si>
    <t>JASON</t>
  </si>
  <si>
    <t>2873480</t>
  </si>
  <si>
    <t>Oak Bend Medical Center</t>
  </si>
  <si>
    <t>2897509</t>
  </si>
  <si>
    <t>Methodist Sugarland</t>
  </si>
  <si>
    <t>2950343</t>
  </si>
  <si>
    <t>oakbend hospital</t>
  </si>
  <si>
    <t>P00200044</t>
  </si>
  <si>
    <t>DANIELS</t>
  </si>
  <si>
    <t>SHENEA</t>
  </si>
  <si>
    <t>2978093</t>
  </si>
  <si>
    <t>3035231</t>
  </si>
  <si>
    <t>Oakbend hospital</t>
  </si>
  <si>
    <t>3065390</t>
  </si>
  <si>
    <t>Griffin, Jason</t>
  </si>
  <si>
    <t>3080320</t>
  </si>
  <si>
    <t>3108670</t>
  </si>
  <si>
    <t>Oak bend</t>
  </si>
  <si>
    <t>P00097454</t>
  </si>
  <si>
    <t>HIGHTOWER</t>
  </si>
  <si>
    <t>BRYAN</t>
  </si>
  <si>
    <t>3106516</t>
  </si>
  <si>
    <t>3116216</t>
  </si>
  <si>
    <t>oakbend    hosp</t>
  </si>
  <si>
    <t>3132260</t>
  </si>
  <si>
    <t>oakbend  hosp</t>
  </si>
  <si>
    <t>3183539</t>
  </si>
  <si>
    <t>Memorial Hermann</t>
  </si>
  <si>
    <t>P00201400</t>
  </si>
  <si>
    <t>ZHAO</t>
  </si>
  <si>
    <t>SISI</t>
  </si>
  <si>
    <t>S</t>
  </si>
  <si>
    <t>3191246</t>
  </si>
  <si>
    <t>oakbend   hosp</t>
  </si>
  <si>
    <t>3240762</t>
  </si>
  <si>
    <t>OakBend Medical Center</t>
  </si>
  <si>
    <t>P00168276</t>
  </si>
  <si>
    <t>FRIEDMAN</t>
  </si>
  <si>
    <t>THEODORE</t>
  </si>
  <si>
    <t>3278833</t>
  </si>
  <si>
    <t>Oak bend hospital</t>
  </si>
  <si>
    <t>3317734</t>
  </si>
  <si>
    <t>Oak bend Hospital</t>
  </si>
  <si>
    <t>P00194656</t>
  </si>
  <si>
    <t>RHONE</t>
  </si>
  <si>
    <t>MICHAEL</t>
  </si>
  <si>
    <t>3369632</t>
  </si>
  <si>
    <t>Oakbend Medical Center</t>
  </si>
  <si>
    <t>P00186765</t>
  </si>
  <si>
    <t>CABALLERO</t>
  </si>
  <si>
    <t>MARTIN</t>
  </si>
  <si>
    <t>3450509</t>
  </si>
  <si>
    <t>Oak BEnd</t>
  </si>
  <si>
    <t>P92003190</t>
  </si>
  <si>
    <t>ESCOBEDO</t>
  </si>
  <si>
    <t>RICARDO</t>
  </si>
  <si>
    <t>3473875</t>
  </si>
  <si>
    <t>P00204596</t>
  </si>
  <si>
    <t>PAREDES</t>
  </si>
  <si>
    <t>LEONICIO</t>
  </si>
  <si>
    <t>Y</t>
  </si>
  <si>
    <t>3809782</t>
  </si>
  <si>
    <t>3879315</t>
  </si>
  <si>
    <t>P00100056</t>
  </si>
  <si>
    <t>FILLMORE</t>
  </si>
  <si>
    <t>STEPHANIE</t>
  </si>
  <si>
    <t>3884642</t>
  </si>
  <si>
    <t>P00178358</t>
  </si>
  <si>
    <t>ROACH</t>
  </si>
  <si>
    <t>ELLIS</t>
  </si>
  <si>
    <t>3895980</t>
  </si>
  <si>
    <t>3900588</t>
  </si>
  <si>
    <t>P91000340</t>
  </si>
  <si>
    <t>DOMINGUEZ</t>
  </si>
  <si>
    <t>STEVE</t>
  </si>
  <si>
    <t>3933016</t>
  </si>
  <si>
    <t>P00171409</t>
  </si>
  <si>
    <t>TONEY</t>
  </si>
  <si>
    <t>KENTRAIL</t>
  </si>
  <si>
    <t>3960178</t>
  </si>
  <si>
    <t xml:space="preserve">31 </t>
  </si>
  <si>
    <t>Fort Bend County Jail, TX AMBULANCE Totals</t>
  </si>
  <si>
    <t>AMBULANCE Totals</t>
  </si>
  <si>
    <r>
      <rPr>
        <b/>
        <sz val="9"/>
        <color rgb="FF000000"/>
        <rFont val="Arial"/>
        <family val="2"/>
      </rPr>
      <t>EMERGENCY ROOM             481 EVENT(S)</t>
    </r>
    <r>
      <rPr>
        <b/>
        <sz val="9"/>
        <color rgb="FF000000"/>
        <rFont val="Arial"/>
        <family val="2"/>
      </rPr>
      <t xml:space="preserve"> </t>
    </r>
  </si>
  <si>
    <t>St Lukes Sugarland</t>
  </si>
  <si>
    <t>P00198309</t>
  </si>
  <si>
    <t>AGUERO</t>
  </si>
  <si>
    <t>ASHLEY</t>
  </si>
  <si>
    <t>2704262</t>
  </si>
  <si>
    <t>P00198322</t>
  </si>
  <si>
    <t>TOMASELLO</t>
  </si>
  <si>
    <t>MARK</t>
  </si>
  <si>
    <t>2699521</t>
  </si>
  <si>
    <t>P00076622</t>
  </si>
  <si>
    <t>FRENCH</t>
  </si>
  <si>
    <t>WAYNE</t>
  </si>
  <si>
    <t>2708368</t>
  </si>
  <si>
    <t>P00129250</t>
  </si>
  <si>
    <t>SPEARS</t>
  </si>
  <si>
    <t>KIMBERLY</t>
  </si>
  <si>
    <t>2795805</t>
  </si>
  <si>
    <t>P00198417</t>
  </si>
  <si>
    <t>CLAY</t>
  </si>
  <si>
    <t>RUSELL</t>
  </si>
  <si>
    <t>2715821</t>
  </si>
  <si>
    <t>P00094684</t>
  </si>
  <si>
    <t>PEREZ</t>
  </si>
  <si>
    <t>BLAS</t>
  </si>
  <si>
    <t>2715828</t>
  </si>
  <si>
    <t>P00198418</t>
  </si>
  <si>
    <t>PEREZCASTRO</t>
  </si>
  <si>
    <t>JAIME</t>
  </si>
  <si>
    <t>2715843</t>
  </si>
  <si>
    <t>P00192861</t>
  </si>
  <si>
    <t>TAHMASEBI</t>
  </si>
  <si>
    <t>MATT</t>
  </si>
  <si>
    <t>2715807</t>
  </si>
  <si>
    <t>P00193784</t>
  </si>
  <si>
    <t>JENKINS</t>
  </si>
  <si>
    <t>KELAN</t>
  </si>
  <si>
    <t>2718952</t>
  </si>
  <si>
    <t>P00198479</t>
  </si>
  <si>
    <t>REYNA</t>
  </si>
  <si>
    <t>JOSE</t>
  </si>
  <si>
    <t>2723120</t>
  </si>
  <si>
    <t>P00192963</t>
  </si>
  <si>
    <t>VALDEZ</t>
  </si>
  <si>
    <t>2716262</t>
  </si>
  <si>
    <t>P00192225</t>
  </si>
  <si>
    <t>BASS</t>
  </si>
  <si>
    <t>DARLENE</t>
  </si>
  <si>
    <t>2792957</t>
  </si>
  <si>
    <t>West Houston Hospital</t>
  </si>
  <si>
    <t>2722785</t>
  </si>
  <si>
    <t>P00198526</t>
  </si>
  <si>
    <t>JOHNSON</t>
  </si>
  <si>
    <t>2728392</t>
  </si>
  <si>
    <t>P00174884</t>
  </si>
  <si>
    <t>CLARK</t>
  </si>
  <si>
    <t>DAMIAN</t>
  </si>
  <si>
    <t>2738065</t>
  </si>
  <si>
    <t>P00072028</t>
  </si>
  <si>
    <t>JACKSON</t>
  </si>
  <si>
    <t>SAMUEL</t>
  </si>
  <si>
    <t>2738088</t>
  </si>
  <si>
    <t>P00198642</t>
  </si>
  <si>
    <t>CLINE</t>
  </si>
  <si>
    <t>DEANNA</t>
  </si>
  <si>
    <t>2739014</t>
  </si>
  <si>
    <t>P00142837</t>
  </si>
  <si>
    <t>ROMERO</t>
  </si>
  <si>
    <t>ELIAS</t>
  </si>
  <si>
    <t>2738736</t>
  </si>
  <si>
    <t>P00171313</t>
  </si>
  <si>
    <t>DOTY</t>
  </si>
  <si>
    <t>ERREK</t>
  </si>
  <si>
    <t>2751192</t>
  </si>
  <si>
    <t>Paearland Medical</t>
  </si>
  <si>
    <t>P00198668</t>
  </si>
  <si>
    <t>MCKNIGHT</t>
  </si>
  <si>
    <t>DARRYL</t>
  </si>
  <si>
    <t>2751553</t>
  </si>
  <si>
    <t>P00130394</t>
  </si>
  <si>
    <t>STRAUSS</t>
  </si>
  <si>
    <t>ELDRIDGE</t>
  </si>
  <si>
    <t>2758566</t>
  </si>
  <si>
    <t>P00145222</t>
  </si>
  <si>
    <t>CARRANZA</t>
  </si>
  <si>
    <t>ANTHONY</t>
  </si>
  <si>
    <t>2766570</t>
  </si>
  <si>
    <t>P00198784</t>
  </si>
  <si>
    <t>WELSCH</t>
  </si>
  <si>
    <t>CHRISTOPHER</t>
  </si>
  <si>
    <t>2766514</t>
  </si>
  <si>
    <t>P89000418</t>
  </si>
  <si>
    <t>RICHARDSON</t>
  </si>
  <si>
    <t>KENNETH</t>
  </si>
  <si>
    <t>2766633</t>
  </si>
  <si>
    <t>P00159090</t>
  </si>
  <si>
    <t>ROSENBAUM</t>
  </si>
  <si>
    <t>BRET</t>
  </si>
  <si>
    <t>2766495</t>
  </si>
  <si>
    <t>P00073526</t>
  </si>
  <si>
    <t>THOHUKAL</t>
  </si>
  <si>
    <t>JAISON</t>
  </si>
  <si>
    <t>2774680</t>
  </si>
  <si>
    <t>P00111853</t>
  </si>
  <si>
    <t>CORBIN</t>
  </si>
  <si>
    <t>PAUL</t>
  </si>
  <si>
    <t>2775169</t>
  </si>
  <si>
    <t>P00198850</t>
  </si>
  <si>
    <t>HORBELT</t>
  </si>
  <si>
    <t>ELISHA</t>
  </si>
  <si>
    <t>2778876</t>
  </si>
  <si>
    <t>P00198849</t>
  </si>
  <si>
    <t>RODRIGUEZ-REGGETI</t>
  </si>
  <si>
    <t>SANTIAGO</t>
  </si>
  <si>
    <t>2778882</t>
  </si>
  <si>
    <t>P00184061</t>
  </si>
  <si>
    <t>AVILA</t>
  </si>
  <si>
    <t>ALBERTO</t>
  </si>
  <si>
    <t>2786976</t>
  </si>
  <si>
    <t>P00198884</t>
  </si>
  <si>
    <t>HUGGINS</t>
  </si>
  <si>
    <t>LILLIE</t>
  </si>
  <si>
    <t>2787013</t>
  </si>
  <si>
    <t>Memorial Hermann Katy</t>
  </si>
  <si>
    <t>P00127829</t>
  </si>
  <si>
    <t>ARIZMENDEZ</t>
  </si>
  <si>
    <t>JOHANN</t>
  </si>
  <si>
    <t>2787075</t>
  </si>
  <si>
    <t>P00099404</t>
  </si>
  <si>
    <t>BURLING</t>
  </si>
  <si>
    <t>NICHOLAS</t>
  </si>
  <si>
    <t>2787038</t>
  </si>
  <si>
    <t>P00159463</t>
  </si>
  <si>
    <t>LAU</t>
  </si>
  <si>
    <t>SUNG</t>
  </si>
  <si>
    <t>2785706</t>
  </si>
  <si>
    <t>P00198907</t>
  </si>
  <si>
    <t>VIGILANTE</t>
  </si>
  <si>
    <t>2784018</t>
  </si>
  <si>
    <t>St Lukes</t>
  </si>
  <si>
    <t>P00198946</t>
  </si>
  <si>
    <t>BOONE</t>
  </si>
  <si>
    <t>ANDREW</t>
  </si>
  <si>
    <t>2791657</t>
  </si>
  <si>
    <t>P00103562</t>
  </si>
  <si>
    <t>BRANCH</t>
  </si>
  <si>
    <t>BENNIE</t>
  </si>
  <si>
    <t>2791761</t>
  </si>
  <si>
    <t>Memorial Hermann Sugarland</t>
  </si>
  <si>
    <t>P00166965</t>
  </si>
  <si>
    <t>MCCLINTON</t>
  </si>
  <si>
    <t>RANDOLPH</t>
  </si>
  <si>
    <t>2791627</t>
  </si>
  <si>
    <t>P00186347</t>
  </si>
  <si>
    <t>SMITH</t>
  </si>
  <si>
    <t>BRANDON</t>
  </si>
  <si>
    <t>2793195</t>
  </si>
  <si>
    <t>P00181010</t>
  </si>
  <si>
    <t>CORDOVA</t>
  </si>
  <si>
    <t>RENE</t>
  </si>
  <si>
    <t>2799131</t>
  </si>
  <si>
    <t>P00198995</t>
  </si>
  <si>
    <t>ROMMAL</t>
  </si>
  <si>
    <t>JOSHUA</t>
  </si>
  <si>
    <t>2799040</t>
  </si>
  <si>
    <t>2803559</t>
  </si>
  <si>
    <t>P00182074</t>
  </si>
  <si>
    <t>GOMEZ</t>
  </si>
  <si>
    <t>RUDY</t>
  </si>
  <si>
    <t>2813844</t>
  </si>
  <si>
    <t>P00199070</t>
  </si>
  <si>
    <t>HAAS</t>
  </si>
  <si>
    <t>DOUGLAS</t>
  </si>
  <si>
    <t>2813794</t>
  </si>
  <si>
    <t>P00159878</t>
  </si>
  <si>
    <t>ALHAMAWI</t>
  </si>
  <si>
    <t>ABDULLAH</t>
  </si>
  <si>
    <t>2813825</t>
  </si>
  <si>
    <t>P00194890</t>
  </si>
  <si>
    <t>HARRELL</t>
  </si>
  <si>
    <t>MATTHEW</t>
  </si>
  <si>
    <t>2814147</t>
  </si>
  <si>
    <t>P00081638</t>
  </si>
  <si>
    <t>SIMON</t>
  </si>
  <si>
    <t>KATHLEEN</t>
  </si>
  <si>
    <t>2812224</t>
  </si>
  <si>
    <t>P00195392</t>
  </si>
  <si>
    <t>LEONARD</t>
  </si>
  <si>
    <t>VERNON</t>
  </si>
  <si>
    <t>2817552</t>
  </si>
  <si>
    <t>P00193534</t>
  </si>
  <si>
    <t>RUSSELL</t>
  </si>
  <si>
    <t>TERRY</t>
  </si>
  <si>
    <t>2834185</t>
  </si>
  <si>
    <t>P00173713</t>
  </si>
  <si>
    <t>SIERRA</t>
  </si>
  <si>
    <t>FRANCISCO</t>
  </si>
  <si>
    <t>2822142</t>
  </si>
  <si>
    <t>P00196411</t>
  </si>
  <si>
    <t>WILLIAM</t>
  </si>
  <si>
    <t>2823404</t>
  </si>
  <si>
    <t>P94000538</t>
  </si>
  <si>
    <t>TIJERINA</t>
  </si>
  <si>
    <t>CHRISTIAN</t>
  </si>
  <si>
    <t>2834211</t>
  </si>
  <si>
    <t>P00195825</t>
  </si>
  <si>
    <t>ABOUEKDE</t>
  </si>
  <si>
    <t>HANNY</t>
  </si>
  <si>
    <t>2833826</t>
  </si>
  <si>
    <t>P00199192</t>
  </si>
  <si>
    <t>2833949</t>
  </si>
  <si>
    <t>P94000504</t>
  </si>
  <si>
    <t>YBARRAII</t>
  </si>
  <si>
    <t>STANLEY</t>
  </si>
  <si>
    <t>2833779</t>
  </si>
  <si>
    <t>P00183984</t>
  </si>
  <si>
    <t>MCMAHON</t>
  </si>
  <si>
    <t>LAUREN</t>
  </si>
  <si>
    <t>2836919</t>
  </si>
  <si>
    <t>P00198654</t>
  </si>
  <si>
    <t>DAVALILLO</t>
  </si>
  <si>
    <t>LUIS</t>
  </si>
  <si>
    <t>2843055</t>
  </si>
  <si>
    <t>P00199272</t>
  </si>
  <si>
    <t>FLORES</t>
  </si>
  <si>
    <t>FRANK</t>
  </si>
  <si>
    <t>2850327</t>
  </si>
  <si>
    <t>P00199271</t>
  </si>
  <si>
    <t>GARZA</t>
  </si>
  <si>
    <t>MISTY</t>
  </si>
  <si>
    <t>2850277</t>
  </si>
  <si>
    <t>P94002502</t>
  </si>
  <si>
    <t>WILLIAMS</t>
  </si>
  <si>
    <t>WARRICH</t>
  </si>
  <si>
    <t>2850304</t>
  </si>
  <si>
    <t>P00174990</t>
  </si>
  <si>
    <t>SOSA</t>
  </si>
  <si>
    <t>ALEJANDRO</t>
  </si>
  <si>
    <t>2857472</t>
  </si>
  <si>
    <t>P00158603</t>
  </si>
  <si>
    <t>HUSL</t>
  </si>
  <si>
    <t>DILIAN</t>
  </si>
  <si>
    <t>2857438</t>
  </si>
  <si>
    <t>P00186931</t>
  </si>
  <si>
    <t>CANTU</t>
  </si>
  <si>
    <t>2857521</t>
  </si>
  <si>
    <t>P00199337</t>
  </si>
  <si>
    <t>GABRIEL</t>
  </si>
  <si>
    <t>2857499</t>
  </si>
  <si>
    <t>P00151446</t>
  </si>
  <si>
    <t>MEDINA</t>
  </si>
  <si>
    <t>CARLOS</t>
  </si>
  <si>
    <t>2862873</t>
  </si>
  <si>
    <t>P00199352</t>
  </si>
  <si>
    <t>FOWLER</t>
  </si>
  <si>
    <t>SHAWN</t>
  </si>
  <si>
    <t>2857615</t>
  </si>
  <si>
    <t>2857849</t>
  </si>
  <si>
    <t>Methodist Sugar Land</t>
  </si>
  <si>
    <t>P00153288</t>
  </si>
  <si>
    <t>GOMEZ-CANALES</t>
  </si>
  <si>
    <t>JUAN</t>
  </si>
  <si>
    <t>2857893</t>
  </si>
  <si>
    <t>P00199375</t>
  </si>
  <si>
    <t>LEMON</t>
  </si>
  <si>
    <t>WHITLEY</t>
  </si>
  <si>
    <t>2861837</t>
  </si>
  <si>
    <t>P00110796</t>
  </si>
  <si>
    <t>PHAM</t>
  </si>
  <si>
    <t>BRIAN</t>
  </si>
  <si>
    <t>2862837</t>
  </si>
  <si>
    <t>P00172492</t>
  </si>
  <si>
    <t>WEISHIEMER</t>
  </si>
  <si>
    <t>ROBERT</t>
  </si>
  <si>
    <t>2864216</t>
  </si>
  <si>
    <t>P00199487</t>
  </si>
  <si>
    <t>THOMSPON</t>
  </si>
  <si>
    <t>RYAN</t>
  </si>
  <si>
    <t>2876515</t>
  </si>
  <si>
    <t>P00081769</t>
  </si>
  <si>
    <t>JOHNSON-JR</t>
  </si>
  <si>
    <t>PATRICK</t>
  </si>
  <si>
    <t>2876527</t>
  </si>
  <si>
    <t>P00199505</t>
  </si>
  <si>
    <t>LEWIS</t>
  </si>
  <si>
    <t>2882668</t>
  </si>
  <si>
    <t>2877505</t>
  </si>
  <si>
    <t>2882048</t>
  </si>
  <si>
    <t>P00199529</t>
  </si>
  <si>
    <t>MCKINNEY</t>
  </si>
  <si>
    <t>OLAJUWON</t>
  </si>
  <si>
    <t>2887054</t>
  </si>
  <si>
    <t>P00199558</t>
  </si>
  <si>
    <t>DAMSKI</t>
  </si>
  <si>
    <t>SUSAN</t>
  </si>
  <si>
    <t>2882611</t>
  </si>
  <si>
    <t>3420612</t>
  </si>
  <si>
    <t>P00147452</t>
  </si>
  <si>
    <t>BUFFORD</t>
  </si>
  <si>
    <t>2891524</t>
  </si>
  <si>
    <t>P00099408</t>
  </si>
  <si>
    <t>THORNBERG</t>
  </si>
  <si>
    <t>KEES</t>
  </si>
  <si>
    <t>2897318</t>
  </si>
  <si>
    <t>oak bend</t>
  </si>
  <si>
    <t>P00112291</t>
  </si>
  <si>
    <t>ALVARESJR</t>
  </si>
  <si>
    <t>2894489</t>
  </si>
  <si>
    <t>P00199622</t>
  </si>
  <si>
    <t>TRAVIS</t>
  </si>
  <si>
    <t>2912714</t>
  </si>
  <si>
    <t>P00184298</t>
  </si>
  <si>
    <t>WILSON</t>
  </si>
  <si>
    <t>TODD</t>
  </si>
  <si>
    <t>2896511</t>
  </si>
  <si>
    <t>P00199655</t>
  </si>
  <si>
    <t>MALDONADO</t>
  </si>
  <si>
    <t>REBECA</t>
  </si>
  <si>
    <t>2909247</t>
  </si>
  <si>
    <t>P00109890</t>
  </si>
  <si>
    <t>FLOWERS</t>
  </si>
  <si>
    <t>KEICHA</t>
  </si>
  <si>
    <t>2909291</t>
  </si>
  <si>
    <t>Mthodist Sugarland</t>
  </si>
  <si>
    <t>P00197403</t>
  </si>
  <si>
    <t>BREWSTER</t>
  </si>
  <si>
    <t>DYLLIN</t>
  </si>
  <si>
    <t>2905785</t>
  </si>
  <si>
    <t>P00199685</t>
  </si>
  <si>
    <t>CAMP</t>
  </si>
  <si>
    <t>NATASIA</t>
  </si>
  <si>
    <t>2908423</t>
  </si>
  <si>
    <t>P00199728</t>
  </si>
  <si>
    <t>RAMIREZ</t>
  </si>
  <si>
    <t>2946349</t>
  </si>
  <si>
    <t>P00148988</t>
  </si>
  <si>
    <t>UVALLE</t>
  </si>
  <si>
    <t>2946224</t>
  </si>
  <si>
    <t>P00081141</t>
  </si>
  <si>
    <t>GONZALES</t>
  </si>
  <si>
    <t>ERIK</t>
  </si>
  <si>
    <t>2946259</t>
  </si>
  <si>
    <t>P00165357</t>
  </si>
  <si>
    <t>CEDILLO</t>
  </si>
  <si>
    <t>SILVESTRE</t>
  </si>
  <si>
    <t>2946279</t>
  </si>
  <si>
    <t>P00199871</t>
  </si>
  <si>
    <t>HAAR</t>
  </si>
  <si>
    <t>THOMAS</t>
  </si>
  <si>
    <t>2950595</t>
  </si>
  <si>
    <t>P00096844</t>
  </si>
  <si>
    <t>CORNISH</t>
  </si>
  <si>
    <t>CHANTE</t>
  </si>
  <si>
    <t>2950575</t>
  </si>
  <si>
    <t>P00152889</t>
  </si>
  <si>
    <t>2960121</t>
  </si>
  <si>
    <t>P90000627</t>
  </si>
  <si>
    <t>2961915</t>
  </si>
  <si>
    <t>P00199995</t>
  </si>
  <si>
    <t>ROBERTS</t>
  </si>
  <si>
    <t>CHARLES</t>
  </si>
  <si>
    <t>2960130</t>
  </si>
  <si>
    <t>P00183977</t>
  </si>
  <si>
    <t>RAMIREZGUTIERREZ</t>
  </si>
  <si>
    <t>HECTOR</t>
  </si>
  <si>
    <t>2960104</t>
  </si>
  <si>
    <t>P00134575</t>
  </si>
  <si>
    <t>BENSON</t>
  </si>
  <si>
    <t>KRISTIN</t>
  </si>
  <si>
    <t>2966948</t>
  </si>
  <si>
    <t>2970864</t>
  </si>
  <si>
    <t>P00165991</t>
  </si>
  <si>
    <t>DIAZ</t>
  </si>
  <si>
    <t>DANIEL</t>
  </si>
  <si>
    <t>2975651</t>
  </si>
  <si>
    <t>P00200130</t>
  </si>
  <si>
    <t>ARGUETAGUILLEN</t>
  </si>
  <si>
    <t>NANCY</t>
  </si>
  <si>
    <t>2988011</t>
  </si>
  <si>
    <t>P00200131</t>
  </si>
  <si>
    <t>MARTINEZ-GARCIA</t>
  </si>
  <si>
    <t>LAZARO</t>
  </si>
  <si>
    <t>2988039</t>
  </si>
  <si>
    <t>P00146136</t>
  </si>
  <si>
    <t>JONATHAN</t>
  </si>
  <si>
    <t>3010926</t>
  </si>
  <si>
    <t>P00189547</t>
  </si>
  <si>
    <t>BIAMONTE</t>
  </si>
  <si>
    <t>FONDA</t>
  </si>
  <si>
    <t>3007310</t>
  </si>
  <si>
    <t>P00200208</t>
  </si>
  <si>
    <t>MAYTE</t>
  </si>
  <si>
    <t>3015229</t>
  </si>
  <si>
    <t>P00200366</t>
  </si>
  <si>
    <t>GERHARDS</t>
  </si>
  <si>
    <t>3037263</t>
  </si>
  <si>
    <t>P00200327</t>
  </si>
  <si>
    <t>JONES</t>
  </si>
  <si>
    <t>ALEX</t>
  </si>
  <si>
    <t>3008989</t>
  </si>
  <si>
    <t>P00200087</t>
  </si>
  <si>
    <t>MELCHOR</t>
  </si>
  <si>
    <t>DAVID</t>
  </si>
  <si>
    <t>3015271</t>
  </si>
  <si>
    <t>P00100250</t>
  </si>
  <si>
    <t>DAGOSTINO</t>
  </si>
  <si>
    <t>CARRIE</t>
  </si>
  <si>
    <t>3018995</t>
  </si>
  <si>
    <t>P00200389</t>
  </si>
  <si>
    <t>BUTLER</t>
  </si>
  <si>
    <t>3021493</t>
  </si>
  <si>
    <t>3028061</t>
  </si>
  <si>
    <t>P00200468</t>
  </si>
  <si>
    <t>SANCHEZ</t>
  </si>
  <si>
    <t>RAZIEL</t>
  </si>
  <si>
    <t>3037601</t>
  </si>
  <si>
    <t>P00092884</t>
  </si>
  <si>
    <t>TORRES</t>
  </si>
  <si>
    <t>JEREMY</t>
  </si>
  <si>
    <t>3037653</t>
  </si>
  <si>
    <t>P00200482</t>
  </si>
  <si>
    <t>PARKS</t>
  </si>
  <si>
    <t>NATHANIEL</t>
  </si>
  <si>
    <t>3032780</t>
  </si>
  <si>
    <t>P00200489</t>
  </si>
  <si>
    <t>VASQUEZ</t>
  </si>
  <si>
    <t>3032772</t>
  </si>
  <si>
    <t>P00200491</t>
  </si>
  <si>
    <t>3032785</t>
  </si>
  <si>
    <t>P00147018</t>
  </si>
  <si>
    <t>BARRS</t>
  </si>
  <si>
    <t>TIFFANY</t>
  </si>
  <si>
    <t>3063812</t>
  </si>
  <si>
    <t>P00109703</t>
  </si>
  <si>
    <t>LEE</t>
  </si>
  <si>
    <t>3291196</t>
  </si>
  <si>
    <t>P00200546</t>
  </si>
  <si>
    <t>RASHANEKA</t>
  </si>
  <si>
    <t>3063722</t>
  </si>
  <si>
    <t>P00200599</t>
  </si>
  <si>
    <t>DOMBCHIK</t>
  </si>
  <si>
    <t>JONATHON</t>
  </si>
  <si>
    <t>3063754</t>
  </si>
  <si>
    <t>P00200627</t>
  </si>
  <si>
    <t>CUTLIP</t>
  </si>
  <si>
    <t>KRISTI</t>
  </si>
  <si>
    <t>3059382</t>
  </si>
  <si>
    <t>3056384</t>
  </si>
  <si>
    <t>P00200628</t>
  </si>
  <si>
    <t>TOLEDO</t>
  </si>
  <si>
    <t>CRISTHAIN</t>
  </si>
  <si>
    <t>3063770</t>
  </si>
  <si>
    <t>P00010232</t>
  </si>
  <si>
    <t>MORALES</t>
  </si>
  <si>
    <t>3060033</t>
  </si>
  <si>
    <t>Emergency Center Ben Taub Houston</t>
  </si>
  <si>
    <t>3067878</t>
  </si>
  <si>
    <t>P00200704</t>
  </si>
  <si>
    <t>MUSGROVE</t>
  </si>
  <si>
    <t>KARL</t>
  </si>
  <si>
    <t>3069481</t>
  </si>
  <si>
    <t>P00200710</t>
  </si>
  <si>
    <t>SLOAN</t>
  </si>
  <si>
    <t>LESLIE</t>
  </si>
  <si>
    <t>3067828</t>
  </si>
  <si>
    <t>P00099671</t>
  </si>
  <si>
    <t>SAIZ</t>
  </si>
  <si>
    <t>3088999</t>
  </si>
  <si>
    <t>P00200768</t>
  </si>
  <si>
    <t>SMITHSON</t>
  </si>
  <si>
    <t>ERIC</t>
  </si>
  <si>
    <t>3088977</t>
  </si>
  <si>
    <t>P00180389</t>
  </si>
  <si>
    <t>YANES</t>
  </si>
  <si>
    <t>BENJAMIN</t>
  </si>
  <si>
    <t>3081733</t>
  </si>
  <si>
    <t>P00078858</t>
  </si>
  <si>
    <t>GUEVARA</t>
  </si>
  <si>
    <t>BELINDA</t>
  </si>
  <si>
    <t>3082046</t>
  </si>
  <si>
    <t>P00200827</t>
  </si>
  <si>
    <t>ANDRAS</t>
  </si>
  <si>
    <t>TRISTAN</t>
  </si>
  <si>
    <t>3096772</t>
  </si>
  <si>
    <t>P00200571</t>
  </si>
  <si>
    <t>COLEMAN</t>
  </si>
  <si>
    <t>EVONNA</t>
  </si>
  <si>
    <t>3094009</t>
  </si>
  <si>
    <t>P00200914</t>
  </si>
  <si>
    <t>LORENZO</t>
  </si>
  <si>
    <t>MANUELA</t>
  </si>
  <si>
    <t>3113240</t>
  </si>
  <si>
    <t>P00199990</t>
  </si>
  <si>
    <t>SCHMITT</t>
  </si>
  <si>
    <t>KYNA</t>
  </si>
  <si>
    <t>3113212</t>
  </si>
  <si>
    <t>P00200936</t>
  </si>
  <si>
    <t>CORREA-IZQUIERDO</t>
  </si>
  <si>
    <t>3113191</t>
  </si>
  <si>
    <t>P00191223</t>
  </si>
  <si>
    <t>BLACK</t>
  </si>
  <si>
    <t>JERMANY</t>
  </si>
  <si>
    <t>3111363</t>
  </si>
  <si>
    <t>P00200956</t>
  </si>
  <si>
    <t>MACRORY</t>
  </si>
  <si>
    <t>SEAN</t>
  </si>
  <si>
    <t>3119799</t>
  </si>
  <si>
    <t>P00200968</t>
  </si>
  <si>
    <t>SHANKEESHA</t>
  </si>
  <si>
    <t>3119545</t>
  </si>
  <si>
    <t>P00173258</t>
  </si>
  <si>
    <t>WIEBER</t>
  </si>
  <si>
    <t>SCOTT</t>
  </si>
  <si>
    <t>3119711</t>
  </si>
  <si>
    <t>P00201010</t>
  </si>
  <si>
    <t>BLEVINS</t>
  </si>
  <si>
    <t>FREDERICK</t>
  </si>
  <si>
    <t>3135759</t>
  </si>
  <si>
    <t>Methodist Sugarland Hospital</t>
  </si>
  <si>
    <t>P00147994</t>
  </si>
  <si>
    <t>GISENTANER</t>
  </si>
  <si>
    <t>3117743</t>
  </si>
  <si>
    <t>P00195927</t>
  </si>
  <si>
    <t>HARRISIII</t>
  </si>
  <si>
    <t>LEROY</t>
  </si>
  <si>
    <t>3304057</t>
  </si>
  <si>
    <t>P00200975</t>
  </si>
  <si>
    <t>CHANCELLOR</t>
  </si>
  <si>
    <t>3118574</t>
  </si>
  <si>
    <t>P00169809</t>
  </si>
  <si>
    <t>SUMMERS</t>
  </si>
  <si>
    <t>3128688</t>
  </si>
  <si>
    <t>P00201120</t>
  </si>
  <si>
    <t>CROCKETT</t>
  </si>
  <si>
    <t>GEORGE</t>
  </si>
  <si>
    <t>3135803</t>
  </si>
  <si>
    <t>oak bend  hosp ,  williams  way</t>
  </si>
  <si>
    <t>P00194968</t>
  </si>
  <si>
    <t>PHELPS</t>
  </si>
  <si>
    <t>JACQUANAE</t>
  </si>
  <si>
    <t>3131264</t>
  </si>
  <si>
    <t>P00160765</t>
  </si>
  <si>
    <t>REED</t>
  </si>
  <si>
    <t>3135855</t>
  </si>
  <si>
    <t>P00200472</t>
  </si>
  <si>
    <t>BALDWIN</t>
  </si>
  <si>
    <t>JAMMIE</t>
  </si>
  <si>
    <t>3133467</t>
  </si>
  <si>
    <t>P94003108</t>
  </si>
  <si>
    <t>HILL</t>
  </si>
  <si>
    <t>3149014</t>
  </si>
  <si>
    <t>P00200895</t>
  </si>
  <si>
    <t>MUISE</t>
  </si>
  <si>
    <t>RONALD</t>
  </si>
  <si>
    <t>3196813</t>
  </si>
  <si>
    <t>P00201238</t>
  </si>
  <si>
    <t>CAMBRELEN</t>
  </si>
  <si>
    <t>WINED</t>
  </si>
  <si>
    <t>3148969</t>
  </si>
  <si>
    <t>P00141090</t>
  </si>
  <si>
    <t>DEREK</t>
  </si>
  <si>
    <t>3148994</t>
  </si>
  <si>
    <t>P00186601</t>
  </si>
  <si>
    <t>ORTA</t>
  </si>
  <si>
    <t>BRITANY</t>
  </si>
  <si>
    <t>3161248</t>
  </si>
  <si>
    <t>P00198402</t>
  </si>
  <si>
    <t>STUKES</t>
  </si>
  <si>
    <t>3161289</t>
  </si>
  <si>
    <t>P00201271</t>
  </si>
  <si>
    <t>SOPHIA</t>
  </si>
  <si>
    <t>3161414</t>
  </si>
  <si>
    <t>P00196984</t>
  </si>
  <si>
    <t>LYNN</t>
  </si>
  <si>
    <t>3161385</t>
  </si>
  <si>
    <t>P00201276</t>
  </si>
  <si>
    <t>MOORE</t>
  </si>
  <si>
    <t>JEFFREY</t>
  </si>
  <si>
    <t>3161314</t>
  </si>
  <si>
    <t>P00112745</t>
  </si>
  <si>
    <t>ANZALDUA</t>
  </si>
  <si>
    <t>MICHEAL</t>
  </si>
  <si>
    <t>3163690</t>
  </si>
  <si>
    <t>P00185297</t>
  </si>
  <si>
    <t>BERRY</t>
  </si>
  <si>
    <t>DWAYNE</t>
  </si>
  <si>
    <t>3161258</t>
  </si>
  <si>
    <t>P00114987</t>
  </si>
  <si>
    <t>CASERES</t>
  </si>
  <si>
    <t>JUSTIN</t>
  </si>
  <si>
    <t>3167330</t>
  </si>
  <si>
    <t>P00070864</t>
  </si>
  <si>
    <t>HOWARD</t>
  </si>
  <si>
    <t>TILFORD</t>
  </si>
  <si>
    <t>3170536</t>
  </si>
  <si>
    <t>P00070534</t>
  </si>
  <si>
    <t>RAMOS</t>
  </si>
  <si>
    <t>ARTURO</t>
  </si>
  <si>
    <t>3166147</t>
  </si>
  <si>
    <t>3172660</t>
  </si>
  <si>
    <t>P00201403</t>
  </si>
  <si>
    <t>DAVENPORT</t>
  </si>
  <si>
    <t>TOMMY</t>
  </si>
  <si>
    <t>3187632</t>
  </si>
  <si>
    <t>P00153924</t>
  </si>
  <si>
    <t>BROOKS</t>
  </si>
  <si>
    <t>GRANT</t>
  </si>
  <si>
    <t>3187608</t>
  </si>
  <si>
    <t>P00007483</t>
  </si>
  <si>
    <t>GIRTMAN</t>
  </si>
  <si>
    <t>TELELOWIN</t>
  </si>
  <si>
    <t>3192492</t>
  </si>
  <si>
    <t>P00148548</t>
  </si>
  <si>
    <t>ALEXANDER</t>
  </si>
  <si>
    <t>3187535</t>
  </si>
  <si>
    <t>P00201447</t>
  </si>
  <si>
    <t>LOLITA</t>
  </si>
  <si>
    <t>3187715</t>
  </si>
  <si>
    <t>P00201474</t>
  </si>
  <si>
    <t>STEWART</t>
  </si>
  <si>
    <t>3191310</t>
  </si>
  <si>
    <t>P00128347</t>
  </si>
  <si>
    <t>SKEEN</t>
  </si>
  <si>
    <t>3201912</t>
  </si>
  <si>
    <t>P00201558</t>
  </si>
  <si>
    <t>ANDERSON</t>
  </si>
  <si>
    <t>RHONDA</t>
  </si>
  <si>
    <t>3214231</t>
  </si>
  <si>
    <t>P00133501</t>
  </si>
  <si>
    <t>GARCIA</t>
  </si>
  <si>
    <t>CHRISTINA</t>
  </si>
  <si>
    <t>3214212</t>
  </si>
  <si>
    <t>Oak bend 59</t>
  </si>
  <si>
    <t>P00176146</t>
  </si>
  <si>
    <t>JARNOT</t>
  </si>
  <si>
    <t>SELENA</t>
  </si>
  <si>
    <t>3210988</t>
  </si>
  <si>
    <t>P00201576</t>
  </si>
  <si>
    <t>MCMULLEN</t>
  </si>
  <si>
    <t>CODY</t>
  </si>
  <si>
    <t>3214267</t>
  </si>
  <si>
    <t>P00189332</t>
  </si>
  <si>
    <t>WISE</t>
  </si>
  <si>
    <t>3219596</t>
  </si>
  <si>
    <t>P00107461</t>
  </si>
  <si>
    <t>BAKER</t>
  </si>
  <si>
    <t>3239273</t>
  </si>
  <si>
    <t>P00201732</t>
  </si>
  <si>
    <t>LEONEL</t>
  </si>
  <si>
    <t>3240686</t>
  </si>
  <si>
    <t>Methodist</t>
  </si>
  <si>
    <t>P00201103</t>
  </si>
  <si>
    <t>BARBIER-TRAN</t>
  </si>
  <si>
    <t>DIANA</t>
  </si>
  <si>
    <t>3261152</t>
  </si>
  <si>
    <t>P00194658</t>
  </si>
  <si>
    <t>DEOCHOAGALVEZ</t>
  </si>
  <si>
    <t>GIOVANNI</t>
  </si>
  <si>
    <t>3273560</t>
  </si>
  <si>
    <t>P92002683</t>
  </si>
  <si>
    <t>GONZALEZ</t>
  </si>
  <si>
    <t>RUBEN</t>
  </si>
  <si>
    <t>3273509</t>
  </si>
  <si>
    <t>P00201901</t>
  </si>
  <si>
    <t>RUDD</t>
  </si>
  <si>
    <t>JESSE</t>
  </si>
  <si>
    <t>3273363</t>
  </si>
  <si>
    <t>P00153145</t>
  </si>
  <si>
    <t>PAIGE</t>
  </si>
  <si>
    <t>TYRONE</t>
  </si>
  <si>
    <t>3273429</t>
  </si>
  <si>
    <t>P00201928</t>
  </si>
  <si>
    <t>BRYANT</t>
  </si>
  <si>
    <t>RICHARD</t>
  </si>
  <si>
    <t>3273328</t>
  </si>
  <si>
    <t>Houston Methodist Sugar Land Hospital</t>
  </si>
  <si>
    <t>P00173984</t>
  </si>
  <si>
    <t>BROWN</t>
  </si>
  <si>
    <t>MARKUS</t>
  </si>
  <si>
    <t>3275774</t>
  </si>
  <si>
    <t>P00201939</t>
  </si>
  <si>
    <t>DESAI</t>
  </si>
  <si>
    <t>VIMAL</t>
  </si>
  <si>
    <t>3269926</t>
  </si>
  <si>
    <t>P00115629</t>
  </si>
  <si>
    <t>KRISTAN</t>
  </si>
  <si>
    <t>3286183</t>
  </si>
  <si>
    <t>P00146706</t>
  </si>
  <si>
    <t>GARNER</t>
  </si>
  <si>
    <t>3304579</t>
  </si>
  <si>
    <t>P00120469</t>
  </si>
  <si>
    <t>RODRIGUEZ</t>
  </si>
  <si>
    <t>3296292</t>
  </si>
  <si>
    <t>Old oak bend</t>
  </si>
  <si>
    <t>3301066</t>
  </si>
  <si>
    <t>3305710</t>
  </si>
  <si>
    <t>P00186328</t>
  </si>
  <si>
    <t>JAMES</t>
  </si>
  <si>
    <t>3318910</t>
  </si>
  <si>
    <t>P00202183</t>
  </si>
  <si>
    <t>MARTINEZ</t>
  </si>
  <si>
    <t>MARIA</t>
  </si>
  <si>
    <t>3318938</t>
  </si>
  <si>
    <t>P00074299</t>
  </si>
  <si>
    <t>PARSON</t>
  </si>
  <si>
    <t>WILLIE</t>
  </si>
  <si>
    <t>3311615</t>
  </si>
  <si>
    <t>P00195592</t>
  </si>
  <si>
    <t>JENNIFER</t>
  </si>
  <si>
    <t>3315954</t>
  </si>
  <si>
    <t>P00202204</t>
  </si>
  <si>
    <t>MILLER</t>
  </si>
  <si>
    <t>3332776</t>
  </si>
  <si>
    <t>3326639</t>
  </si>
  <si>
    <t>P00202238</t>
  </si>
  <si>
    <t>VEROHOEF</t>
  </si>
  <si>
    <t>3329700</t>
  </si>
  <si>
    <t>Old Oak Bend</t>
  </si>
  <si>
    <t>3325207</t>
  </si>
  <si>
    <t>P00165760</t>
  </si>
  <si>
    <t>KUNNACHERRY</t>
  </si>
  <si>
    <t>3332814</t>
  </si>
  <si>
    <t>P00202287</t>
  </si>
  <si>
    <t>GROMATSKI</t>
  </si>
  <si>
    <t>EDWARD</t>
  </si>
  <si>
    <t>3334209</t>
  </si>
  <si>
    <t>P00202280</t>
  </si>
  <si>
    <t>RILEY</t>
  </si>
  <si>
    <t>STEVEN</t>
  </si>
  <si>
    <t>3332795</t>
  </si>
  <si>
    <t>Wharton South Texas Med Ct(Gulf Coast)</t>
  </si>
  <si>
    <t>P00131987</t>
  </si>
  <si>
    <t>CORONADO</t>
  </si>
  <si>
    <t>3355723</t>
  </si>
  <si>
    <t>P91002347</t>
  </si>
  <si>
    <t>HUNTER</t>
  </si>
  <si>
    <t>HAROLD</t>
  </si>
  <si>
    <t>3355819</t>
  </si>
  <si>
    <t>P00151021</t>
  </si>
  <si>
    <t>JOECOLI</t>
  </si>
  <si>
    <t>3355599</t>
  </si>
  <si>
    <t>P00202125</t>
  </si>
  <si>
    <t>CREEL</t>
  </si>
  <si>
    <t>3355475</t>
  </si>
  <si>
    <t>P00115783</t>
  </si>
  <si>
    <t>RHYNE</t>
  </si>
  <si>
    <t>3355683</t>
  </si>
  <si>
    <t>P00202364</t>
  </si>
  <si>
    <t>ROGERS</t>
  </si>
  <si>
    <t>BLAIN</t>
  </si>
  <si>
    <t>3355504</t>
  </si>
  <si>
    <t>P00172176</t>
  </si>
  <si>
    <t>SHANKLIN</t>
  </si>
  <si>
    <t>DEVAIRR</t>
  </si>
  <si>
    <t>3355393</t>
  </si>
  <si>
    <t>P00202366</t>
  </si>
  <si>
    <t>UMANZOR</t>
  </si>
  <si>
    <t>KELLY</t>
  </si>
  <si>
    <t>3355523</t>
  </si>
  <si>
    <t>P00148965</t>
  </si>
  <si>
    <t>VILLARREAL</t>
  </si>
  <si>
    <t>MARIE</t>
  </si>
  <si>
    <t>3355450</t>
  </si>
  <si>
    <t>P00202389</t>
  </si>
  <si>
    <t>FRIEND</t>
  </si>
  <si>
    <t>3355885</t>
  </si>
  <si>
    <t>P00202407</t>
  </si>
  <si>
    <t>GOATES</t>
  </si>
  <si>
    <t>SARA</t>
  </si>
  <si>
    <t>3355912</t>
  </si>
  <si>
    <t>P00154399</t>
  </si>
  <si>
    <t>STEPHENS</t>
  </si>
  <si>
    <t>SHAH</t>
  </si>
  <si>
    <t>3355740</t>
  </si>
  <si>
    <t>P00152346</t>
  </si>
  <si>
    <t>HUMMEL</t>
  </si>
  <si>
    <t>HAYDEN</t>
  </si>
  <si>
    <t>3355558</t>
  </si>
  <si>
    <t>P00196284</t>
  </si>
  <si>
    <t>BARKER</t>
  </si>
  <si>
    <t>3361561</t>
  </si>
  <si>
    <t>P00183367</t>
  </si>
  <si>
    <t>VICTOR</t>
  </si>
  <si>
    <t>3355620</t>
  </si>
  <si>
    <t>P00202434</t>
  </si>
  <si>
    <t>TIJANI</t>
  </si>
  <si>
    <t>OWOLABI</t>
  </si>
  <si>
    <t>3370831</t>
  </si>
  <si>
    <t>P00194201</t>
  </si>
  <si>
    <t>SOMICH</t>
  </si>
  <si>
    <t>3365482</t>
  </si>
  <si>
    <t>P00164342</t>
  </si>
  <si>
    <t>HERNANDEZ</t>
  </si>
  <si>
    <t>3381429</t>
  </si>
  <si>
    <t>P00124813</t>
  </si>
  <si>
    <t>KEITH</t>
  </si>
  <si>
    <t>3385117</t>
  </si>
  <si>
    <t>P00202508</t>
  </si>
  <si>
    <t>3385142</t>
  </si>
  <si>
    <t>P00104906</t>
  </si>
  <si>
    <t>FRANKLIN</t>
  </si>
  <si>
    <t>3385067</t>
  </si>
  <si>
    <t>P00196643</t>
  </si>
  <si>
    <t>ATUESTA</t>
  </si>
  <si>
    <t>3414452</t>
  </si>
  <si>
    <t>P00202574</t>
  </si>
  <si>
    <t>MAYORGA</t>
  </si>
  <si>
    <t>GILBERT</t>
  </si>
  <si>
    <t>3398356</t>
  </si>
  <si>
    <t>P00202562</t>
  </si>
  <si>
    <t>PETERS</t>
  </si>
  <si>
    <t>KENIZE</t>
  </si>
  <si>
    <t>3414378</t>
  </si>
  <si>
    <t>P00202643</t>
  </si>
  <si>
    <t>GONZALEZ-OLVERA</t>
  </si>
  <si>
    <t>BERNAVE</t>
  </si>
  <si>
    <t>3414490</t>
  </si>
  <si>
    <t>P00202667</t>
  </si>
  <si>
    <t>STEVENS</t>
  </si>
  <si>
    <t>3406980</t>
  </si>
  <si>
    <t>3414533</t>
  </si>
  <si>
    <t>P00139490</t>
  </si>
  <si>
    <t>3420472</t>
  </si>
  <si>
    <t>P00202729</t>
  </si>
  <si>
    <t>VELEZ</t>
  </si>
  <si>
    <t>3425793</t>
  </si>
  <si>
    <t>P00202724</t>
  </si>
  <si>
    <t>DERRON</t>
  </si>
  <si>
    <t>3437786</t>
  </si>
  <si>
    <t>P00200123</t>
  </si>
  <si>
    <t>PEIPER</t>
  </si>
  <si>
    <t>3424913</t>
  </si>
  <si>
    <t>P00202744</t>
  </si>
  <si>
    <t>WILLIAMS-TAYLOR</t>
  </si>
  <si>
    <t>SHAN</t>
  </si>
  <si>
    <t>3429980</t>
  </si>
  <si>
    <t>P92000499</t>
  </si>
  <si>
    <t>MARIS</t>
  </si>
  <si>
    <t>COURTNEY</t>
  </si>
  <si>
    <t>3437641</t>
  </si>
  <si>
    <t>P00202796</t>
  </si>
  <si>
    <t>DURAN</t>
  </si>
  <si>
    <t>OSWALDO</t>
  </si>
  <si>
    <t>3437724</t>
  </si>
  <si>
    <t>P00202773</t>
  </si>
  <si>
    <t>GALVAN</t>
  </si>
  <si>
    <t>RAFAEL</t>
  </si>
  <si>
    <t>3437675</t>
  </si>
  <si>
    <t>P00008887</t>
  </si>
  <si>
    <t>HAGLER</t>
  </si>
  <si>
    <t>3436410</t>
  </si>
  <si>
    <t>P00202794</t>
  </si>
  <si>
    <t>LY</t>
  </si>
  <si>
    <t>ELGIZA</t>
  </si>
  <si>
    <t>3437662</t>
  </si>
  <si>
    <t>P00202766</t>
  </si>
  <si>
    <t>ANDRADE</t>
  </si>
  <si>
    <t>ARMANDO</t>
  </si>
  <si>
    <t>3443367</t>
  </si>
  <si>
    <t>P00169668</t>
  </si>
  <si>
    <t>ANDY</t>
  </si>
  <si>
    <t>3438731</t>
  </si>
  <si>
    <t>P00202848</t>
  </si>
  <si>
    <t>RAHMING</t>
  </si>
  <si>
    <t>DERRICK</t>
  </si>
  <si>
    <t>3448369</t>
  </si>
  <si>
    <t>P00168605</t>
  </si>
  <si>
    <t>SIA</t>
  </si>
  <si>
    <t>3466373</t>
  </si>
  <si>
    <t>P00202913</t>
  </si>
  <si>
    <t>ALFREDO</t>
  </si>
  <si>
    <t>3466353</t>
  </si>
  <si>
    <t>P00018584</t>
  </si>
  <si>
    <t>MARIN</t>
  </si>
  <si>
    <t>3466280</t>
  </si>
  <si>
    <t>P00202989</t>
  </si>
  <si>
    <t>FOREMAN</t>
  </si>
  <si>
    <t>STACIE</t>
  </si>
  <si>
    <t>3471970</t>
  </si>
  <si>
    <t>P00201994</t>
  </si>
  <si>
    <t>CLAYTON</t>
  </si>
  <si>
    <t>KYLER</t>
  </si>
  <si>
    <t>3488505</t>
  </si>
  <si>
    <t>P00203046</t>
  </si>
  <si>
    <t>HARRISON</t>
  </si>
  <si>
    <t>ALFRED</t>
  </si>
  <si>
    <t>3488588</t>
  </si>
  <si>
    <t>P00203052</t>
  </si>
  <si>
    <t>MCMANUS</t>
  </si>
  <si>
    <t>MELISSA</t>
  </si>
  <si>
    <t>3488118</t>
  </si>
  <si>
    <t>P00203066</t>
  </si>
  <si>
    <t>3488418</t>
  </si>
  <si>
    <t>P00016629</t>
  </si>
  <si>
    <t>TAYLOR</t>
  </si>
  <si>
    <t>3488186</t>
  </si>
  <si>
    <t>P00171411</t>
  </si>
  <si>
    <t>POUDRIER</t>
  </si>
  <si>
    <t>3488768</t>
  </si>
  <si>
    <t>P00203094</t>
  </si>
  <si>
    <t>GUTHRIE</t>
  </si>
  <si>
    <t>ZACHARY</t>
  </si>
  <si>
    <t>3488036</t>
  </si>
  <si>
    <t>First Choice Emergency Room</t>
  </si>
  <si>
    <t>P00203108</t>
  </si>
  <si>
    <t>HUDSON-ONEAL</t>
  </si>
  <si>
    <t>3486802</t>
  </si>
  <si>
    <t>P00141412</t>
  </si>
  <si>
    <t>DWIGHT</t>
  </si>
  <si>
    <t>3502178</t>
  </si>
  <si>
    <t>P00203120</t>
  </si>
  <si>
    <t>GAMBLE</t>
  </si>
  <si>
    <t>3503808</t>
  </si>
  <si>
    <t>P00203183</t>
  </si>
  <si>
    <t>BABU</t>
  </si>
  <si>
    <t>3516513</t>
  </si>
  <si>
    <t>P00141882</t>
  </si>
  <si>
    <t>REAGAN</t>
  </si>
  <si>
    <t>JOSEPH</t>
  </si>
  <si>
    <t>3516537</t>
  </si>
  <si>
    <t>P00202873</t>
  </si>
  <si>
    <t>SOLIS</t>
  </si>
  <si>
    <t>LOURDES</t>
  </si>
  <si>
    <t>FED</t>
  </si>
  <si>
    <t>3510262</t>
  </si>
  <si>
    <t>Oakbrnd</t>
  </si>
  <si>
    <t>P00144090</t>
  </si>
  <si>
    <t>3516549</t>
  </si>
  <si>
    <t>P00203235</t>
  </si>
  <si>
    <t>ALVAREZ</t>
  </si>
  <si>
    <t>JULIO</t>
  </si>
  <si>
    <t>3515068</t>
  </si>
  <si>
    <t>P00203238</t>
  </si>
  <si>
    <t>RAIN</t>
  </si>
  <si>
    <t>3516576</t>
  </si>
  <si>
    <t>P00203259</t>
  </si>
  <si>
    <t>FOWLKES</t>
  </si>
  <si>
    <t>TANYA</t>
  </si>
  <si>
    <t>3527681</t>
  </si>
  <si>
    <t>P00203283</t>
  </si>
  <si>
    <t>YOLANDA</t>
  </si>
  <si>
    <t>3527721</t>
  </si>
  <si>
    <t>P00203281</t>
  </si>
  <si>
    <t>REYNOLDS</t>
  </si>
  <si>
    <t>CYNTHIA</t>
  </si>
  <si>
    <t>3527700</t>
  </si>
  <si>
    <t>P00203292</t>
  </si>
  <si>
    <t>HRYSZKO</t>
  </si>
  <si>
    <t>3532984</t>
  </si>
  <si>
    <t>P00203296</t>
  </si>
  <si>
    <t>ROBERTSON</t>
  </si>
  <si>
    <t>3539401</t>
  </si>
  <si>
    <t>P00185048</t>
  </si>
  <si>
    <t>TIPTON</t>
  </si>
  <si>
    <t>JADE</t>
  </si>
  <si>
    <t>3549411</t>
  </si>
  <si>
    <t>P00203330</t>
  </si>
  <si>
    <t>WADE</t>
  </si>
  <si>
    <t>3549864</t>
  </si>
  <si>
    <t>P00203255</t>
  </si>
  <si>
    <t>ALTON</t>
  </si>
  <si>
    <t>3541727</t>
  </si>
  <si>
    <t>P00102534</t>
  </si>
  <si>
    <t>3552903</t>
  </si>
  <si>
    <t>P00203440</t>
  </si>
  <si>
    <t>MAY</t>
  </si>
  <si>
    <t>3579916</t>
  </si>
  <si>
    <t>P00144409</t>
  </si>
  <si>
    <t>BOLANOS</t>
  </si>
  <si>
    <t>3582358</t>
  </si>
  <si>
    <t>Ben Taub</t>
  </si>
  <si>
    <t>P00203501</t>
  </si>
  <si>
    <t>MADELEINE</t>
  </si>
  <si>
    <t>3607947</t>
  </si>
  <si>
    <t>P00196721</t>
  </si>
  <si>
    <t>3575685</t>
  </si>
  <si>
    <t>P00008471</t>
  </si>
  <si>
    <t>ARNOLD</t>
  </si>
  <si>
    <t>3594981</t>
  </si>
  <si>
    <t>P00199145</t>
  </si>
  <si>
    <t>KOUROUMA</t>
  </si>
  <si>
    <t>EHILE</t>
  </si>
  <si>
    <t>3597286</t>
  </si>
  <si>
    <t>Oakbend Hospital</t>
  </si>
  <si>
    <t>P00166638</t>
  </si>
  <si>
    <t>WARE</t>
  </si>
  <si>
    <t>3594207</t>
  </si>
  <si>
    <t>P00203621</t>
  </si>
  <si>
    <t>WALRATH</t>
  </si>
  <si>
    <t>PETER</t>
  </si>
  <si>
    <t>3607886</t>
  </si>
  <si>
    <t>P00203623</t>
  </si>
  <si>
    <t>WORTH</t>
  </si>
  <si>
    <t>LEON</t>
  </si>
  <si>
    <t>3607854</t>
  </si>
  <si>
    <t>P00203677</t>
  </si>
  <si>
    <t>DAVIDSON</t>
  </si>
  <si>
    <t>SHANE</t>
  </si>
  <si>
    <t>3610787</t>
  </si>
  <si>
    <t>P00083482</t>
  </si>
  <si>
    <t>SCHNITZER</t>
  </si>
  <si>
    <t>3613690</t>
  </si>
  <si>
    <t>P00007955</t>
  </si>
  <si>
    <t>ARMSTEAD</t>
  </si>
  <si>
    <t>SAMMIE</t>
  </si>
  <si>
    <t>3608278</t>
  </si>
  <si>
    <t>P00203691</t>
  </si>
  <si>
    <t>HEAVEN</t>
  </si>
  <si>
    <t>3608325</t>
  </si>
  <si>
    <t>P00203689</t>
  </si>
  <si>
    <t>ALLEN</t>
  </si>
  <si>
    <t>3610890</t>
  </si>
  <si>
    <t>Oak Bend Hospital</t>
  </si>
  <si>
    <t>P00126955</t>
  </si>
  <si>
    <t>BANDA</t>
  </si>
  <si>
    <t>JORGE</t>
  </si>
  <si>
    <t>3630144</t>
  </si>
  <si>
    <t>P00090327</t>
  </si>
  <si>
    <t>POLLARD</t>
  </si>
  <si>
    <t>PATTI</t>
  </si>
  <si>
    <t>3641878</t>
  </si>
  <si>
    <t>P00203803</t>
  </si>
  <si>
    <t>VILLANUEVA</t>
  </si>
  <si>
    <t>MILEENA</t>
  </si>
  <si>
    <t>3642061</t>
  </si>
  <si>
    <t>P00202968</t>
  </si>
  <si>
    <t>CLEARY</t>
  </si>
  <si>
    <t>3641909</t>
  </si>
  <si>
    <t>P00163742</t>
  </si>
  <si>
    <t>KALMUS</t>
  </si>
  <si>
    <t>ALBERT</t>
  </si>
  <si>
    <t>3641783</t>
  </si>
  <si>
    <t>P00157756</t>
  </si>
  <si>
    <t>SARAH</t>
  </si>
  <si>
    <t>3639151</t>
  </si>
  <si>
    <t>Methodist Suagar Land</t>
  </si>
  <si>
    <t>P00202765</t>
  </si>
  <si>
    <t>HENDERSON</t>
  </si>
  <si>
    <t>JARAAD</t>
  </si>
  <si>
    <t>3637860</t>
  </si>
  <si>
    <t>P00112103</t>
  </si>
  <si>
    <t>MITCHELL</t>
  </si>
  <si>
    <t>3645738</t>
  </si>
  <si>
    <t>P00184146</t>
  </si>
  <si>
    <t>ORTIZ</t>
  </si>
  <si>
    <t>3653683</t>
  </si>
  <si>
    <t>P00203852</t>
  </si>
  <si>
    <t>JERRY</t>
  </si>
  <si>
    <t>3661372</t>
  </si>
  <si>
    <t>3644814</t>
  </si>
  <si>
    <t>P00203868</t>
  </si>
  <si>
    <t>MATTHEWS</t>
  </si>
  <si>
    <t>SOLOMAN</t>
  </si>
  <si>
    <t>3661132</t>
  </si>
  <si>
    <t>P00203855</t>
  </si>
  <si>
    <t>SALAS</t>
  </si>
  <si>
    <t>3661314</t>
  </si>
  <si>
    <t>Methodist Hosp. Sugar land.</t>
  </si>
  <si>
    <t>P93001315</t>
  </si>
  <si>
    <t>DUNN</t>
  </si>
  <si>
    <t>GARRISON</t>
  </si>
  <si>
    <t>3659066</t>
  </si>
  <si>
    <t>P00203910</t>
  </si>
  <si>
    <t>NARANJO</t>
  </si>
  <si>
    <t>MEGHAN</t>
  </si>
  <si>
    <t>3675062</t>
  </si>
  <si>
    <t>P00128100</t>
  </si>
  <si>
    <t>3774921</t>
  </si>
  <si>
    <t>P95001177</t>
  </si>
  <si>
    <t>CLEVEN</t>
  </si>
  <si>
    <t>3669551</t>
  </si>
  <si>
    <t>Ben Taub Houston</t>
  </si>
  <si>
    <t>P00203948</t>
  </si>
  <si>
    <t>GUTIERREZ</t>
  </si>
  <si>
    <t>3675219</t>
  </si>
  <si>
    <t>Methodist Sugar Land Hospital</t>
  </si>
  <si>
    <t>P00193962</t>
  </si>
  <si>
    <t>NOEL</t>
  </si>
  <si>
    <t>SYDNEY</t>
  </si>
  <si>
    <t>3670109</t>
  </si>
  <si>
    <t>P00203153</t>
  </si>
  <si>
    <t>VEGA-BAEZ</t>
  </si>
  <si>
    <t>CLAUDIA</t>
  </si>
  <si>
    <t>3678544</t>
  </si>
  <si>
    <t>3703231</t>
  </si>
  <si>
    <t>P00131362</t>
  </si>
  <si>
    <t>THOMPSON</t>
  </si>
  <si>
    <t>RIASELL</t>
  </si>
  <si>
    <t>3707379</t>
  </si>
  <si>
    <t>P00149801</t>
  </si>
  <si>
    <t>BRADBY</t>
  </si>
  <si>
    <t>3724387</t>
  </si>
  <si>
    <t>P00204223</t>
  </si>
  <si>
    <t>IGLUS</t>
  </si>
  <si>
    <t>ROOSELVELT</t>
  </si>
  <si>
    <t>3731116</t>
  </si>
  <si>
    <t>P00122827</t>
  </si>
  <si>
    <t>3727580</t>
  </si>
  <si>
    <t>P00204230</t>
  </si>
  <si>
    <t>NEWSOME</t>
  </si>
  <si>
    <t>TRAMAYNE</t>
  </si>
  <si>
    <t>3732523</t>
  </si>
  <si>
    <t>P00017028</t>
  </si>
  <si>
    <t>CRUZ</t>
  </si>
  <si>
    <t>3736436</t>
  </si>
  <si>
    <t>P00204276</t>
  </si>
  <si>
    <t>SNYDER</t>
  </si>
  <si>
    <t>JAMIE</t>
  </si>
  <si>
    <t>3745047</t>
  </si>
  <si>
    <t>P00150961</t>
  </si>
  <si>
    <t>RAY</t>
  </si>
  <si>
    <t>KATHRYN</t>
  </si>
  <si>
    <t>3761202</t>
  </si>
  <si>
    <t>P00204324</t>
  </si>
  <si>
    <t>VIDA</t>
  </si>
  <si>
    <t>3761127</t>
  </si>
  <si>
    <t>P00204345</t>
  </si>
  <si>
    <t>LORI</t>
  </si>
  <si>
    <t>3761334</t>
  </si>
  <si>
    <t>P00204346</t>
  </si>
  <si>
    <t>HOLMES</t>
  </si>
  <si>
    <t>AUSTIN</t>
  </si>
  <si>
    <t>3761652</t>
  </si>
  <si>
    <t>P91002583</t>
  </si>
  <si>
    <t>RIVERA</t>
  </si>
  <si>
    <t>3763388</t>
  </si>
  <si>
    <t>P00204348</t>
  </si>
  <si>
    <t>COLTON</t>
  </si>
  <si>
    <t>3761375</t>
  </si>
  <si>
    <t>P00144089</t>
  </si>
  <si>
    <t>ALACAR</t>
  </si>
  <si>
    <t>3759948</t>
  </si>
  <si>
    <t>P90004504</t>
  </si>
  <si>
    <t>CRAIG</t>
  </si>
  <si>
    <t>3758875</t>
  </si>
  <si>
    <t>P00204376</t>
  </si>
  <si>
    <t>MELGAR</t>
  </si>
  <si>
    <t>3764064</t>
  </si>
  <si>
    <t>P00121952</t>
  </si>
  <si>
    <t>JOEY</t>
  </si>
  <si>
    <t>3773656</t>
  </si>
  <si>
    <t>P00138255</t>
  </si>
  <si>
    <t>SEWARD</t>
  </si>
  <si>
    <t>NOAH</t>
  </si>
  <si>
    <t>3764147</t>
  </si>
  <si>
    <t>P00204418</t>
  </si>
  <si>
    <t>MONROE</t>
  </si>
  <si>
    <t>BRENDA</t>
  </si>
  <si>
    <t>3779821</t>
  </si>
  <si>
    <t>P00117163</t>
  </si>
  <si>
    <t>DEASES</t>
  </si>
  <si>
    <t>JOEL</t>
  </si>
  <si>
    <t>3783596</t>
  </si>
  <si>
    <t>P00087065</t>
  </si>
  <si>
    <t>BENITA</t>
  </si>
  <si>
    <t>3780522</t>
  </si>
  <si>
    <t>P00175366</t>
  </si>
  <si>
    <t>CLEMENT</t>
  </si>
  <si>
    <t>3813951</t>
  </si>
  <si>
    <t>P00204526</t>
  </si>
  <si>
    <t>MCCREARY</t>
  </si>
  <si>
    <t>3813816</t>
  </si>
  <si>
    <t>P00204504</t>
  </si>
  <si>
    <t>PITTILLO</t>
  </si>
  <si>
    <t>STEPHEN</t>
  </si>
  <si>
    <t>3811893</t>
  </si>
  <si>
    <t>P00204524</t>
  </si>
  <si>
    <t>3813915</t>
  </si>
  <si>
    <t>P00204539</t>
  </si>
  <si>
    <t>MCCGREGGOR</t>
  </si>
  <si>
    <t>3814004</t>
  </si>
  <si>
    <t>P00204530</t>
  </si>
  <si>
    <t>VASQUEZ-BATZ</t>
  </si>
  <si>
    <t>DARIO</t>
  </si>
  <si>
    <t>3813652</t>
  </si>
  <si>
    <t>P00204543</t>
  </si>
  <si>
    <t>MARA</t>
  </si>
  <si>
    <t>3811832</t>
  </si>
  <si>
    <t>P00204553</t>
  </si>
  <si>
    <t>TAY</t>
  </si>
  <si>
    <t>3811745</t>
  </si>
  <si>
    <t>P00174281</t>
  </si>
  <si>
    <t>RYTRET</t>
  </si>
  <si>
    <t>3797826</t>
  </si>
  <si>
    <t>3805026</t>
  </si>
  <si>
    <t>P00204646</t>
  </si>
  <si>
    <t>MAX</t>
  </si>
  <si>
    <t>3821776</t>
  </si>
  <si>
    <t>P00204751</t>
  </si>
  <si>
    <t>MAKNOJIA</t>
  </si>
  <si>
    <t>SHAHIL</t>
  </si>
  <si>
    <t>3836447</t>
  </si>
  <si>
    <t>P00204777</t>
  </si>
  <si>
    <t>MORENO</t>
  </si>
  <si>
    <t>ALEXANDRIA</t>
  </si>
  <si>
    <t>3855806</t>
  </si>
  <si>
    <t>P00189445</t>
  </si>
  <si>
    <t>STRAUGHN</t>
  </si>
  <si>
    <t>DEONTAE</t>
  </si>
  <si>
    <t>3836331</t>
  </si>
  <si>
    <t>P00142727</t>
  </si>
  <si>
    <t>ROYLAND</t>
  </si>
  <si>
    <t>3836476</t>
  </si>
  <si>
    <t>P00204566</t>
  </si>
  <si>
    <t>MCCLAIN</t>
  </si>
  <si>
    <t>LUCETTE</t>
  </si>
  <si>
    <t>3841566</t>
  </si>
  <si>
    <t>3845112</t>
  </si>
  <si>
    <t>P00204847</t>
  </si>
  <si>
    <t>DICK</t>
  </si>
  <si>
    <t>3851532</t>
  </si>
  <si>
    <t>P00204850</t>
  </si>
  <si>
    <t>ROLF</t>
  </si>
  <si>
    <t>DEXTER</t>
  </si>
  <si>
    <t>3851603</t>
  </si>
  <si>
    <t>P00204855</t>
  </si>
  <si>
    <t>3851637</t>
  </si>
  <si>
    <t>P00204425</t>
  </si>
  <si>
    <t>3855335</t>
  </si>
  <si>
    <t>P00157137</t>
  </si>
  <si>
    <t>HARGRAVE</t>
  </si>
  <si>
    <t>3861318</t>
  </si>
  <si>
    <t>P00204960</t>
  </si>
  <si>
    <t>ISAIAH</t>
  </si>
  <si>
    <t>3867703</t>
  </si>
  <si>
    <t>3867633</t>
  </si>
  <si>
    <t>P00204977</t>
  </si>
  <si>
    <t>TRAN</t>
  </si>
  <si>
    <t>BAO</t>
  </si>
  <si>
    <t>3871612</t>
  </si>
  <si>
    <t>P00173378</t>
  </si>
  <si>
    <t>3879424</t>
  </si>
  <si>
    <t>P00204295</t>
  </si>
  <si>
    <t>3876193</t>
  </si>
  <si>
    <t>P00172017</t>
  </si>
  <si>
    <t>MODASHIA</t>
  </si>
  <si>
    <t>AKASH</t>
  </si>
  <si>
    <t>3879546</t>
  </si>
  <si>
    <t>P00136900</t>
  </si>
  <si>
    <t>STANBURRY</t>
  </si>
  <si>
    <t>KEENAN</t>
  </si>
  <si>
    <t>3879450</t>
  </si>
  <si>
    <t>P00198536</t>
  </si>
  <si>
    <t>FRANCIS</t>
  </si>
  <si>
    <t>CHIRON</t>
  </si>
  <si>
    <t>3879498</t>
  </si>
  <si>
    <t>P00205054</t>
  </si>
  <si>
    <t>VAN</t>
  </si>
  <si>
    <t>RAYMONNY</t>
  </si>
  <si>
    <t>3879393</t>
  </si>
  <si>
    <t>P00154008</t>
  </si>
  <si>
    <t>FOLLIS</t>
  </si>
  <si>
    <t>3889411</t>
  </si>
  <si>
    <t>P00154968</t>
  </si>
  <si>
    <t>3897468</t>
  </si>
  <si>
    <t>P00205094</t>
  </si>
  <si>
    <t>YBARRA</t>
  </si>
  <si>
    <t>3895777</t>
  </si>
  <si>
    <t>P00177065</t>
  </si>
  <si>
    <t>FLETCHER</t>
  </si>
  <si>
    <t>3897492</t>
  </si>
  <si>
    <t>P00205108</t>
  </si>
  <si>
    <t>MENDOZA</t>
  </si>
  <si>
    <t>3895814</t>
  </si>
  <si>
    <t>P00205176</t>
  </si>
  <si>
    <t>BARRENO</t>
  </si>
  <si>
    <t>RAYMUNDO</t>
  </si>
  <si>
    <t>3908305</t>
  </si>
  <si>
    <t>3911058</t>
  </si>
  <si>
    <t>P00205252</t>
  </si>
  <si>
    <t>3919299</t>
  </si>
  <si>
    <t>Memorial hermann</t>
  </si>
  <si>
    <t>P00205254</t>
  </si>
  <si>
    <t>NELSON</t>
  </si>
  <si>
    <t>TIMOTHY</t>
  </si>
  <si>
    <t>3919325</t>
  </si>
  <si>
    <t>P00205263</t>
  </si>
  <si>
    <t>ANGEL</t>
  </si>
  <si>
    <t>INOCENTE</t>
  </si>
  <si>
    <t>3919362</t>
  </si>
  <si>
    <t>P00101668</t>
  </si>
  <si>
    <t>BROUSSARD</t>
  </si>
  <si>
    <t>GENE</t>
  </si>
  <si>
    <t>3930472</t>
  </si>
  <si>
    <t>P00205266</t>
  </si>
  <si>
    <t>PETRIE</t>
  </si>
  <si>
    <t>MICAH</t>
  </si>
  <si>
    <t>3926598</t>
  </si>
  <si>
    <t>P00204511</t>
  </si>
  <si>
    <t>ESQUIVEL</t>
  </si>
  <si>
    <t>JOHNNY</t>
  </si>
  <si>
    <t>3930971</t>
  </si>
  <si>
    <t>P00205379</t>
  </si>
  <si>
    <t>ABD</t>
  </si>
  <si>
    <t>MAHDI</t>
  </si>
  <si>
    <t>3942884</t>
  </si>
  <si>
    <t>P00155203</t>
  </si>
  <si>
    <t>BANKS</t>
  </si>
  <si>
    <t>EUGINA</t>
  </si>
  <si>
    <t>3934243</t>
  </si>
  <si>
    <t>P00197316</t>
  </si>
  <si>
    <t>HAYES</t>
  </si>
  <si>
    <t>ABRAHAM</t>
  </si>
  <si>
    <t>3943060</t>
  </si>
  <si>
    <t>P00205369</t>
  </si>
  <si>
    <t>3942997</t>
  </si>
  <si>
    <t>P00205370</t>
  </si>
  <si>
    <t>JOLLY</t>
  </si>
  <si>
    <t>3943139</t>
  </si>
  <si>
    <t>3942853</t>
  </si>
  <si>
    <t>P00136920</t>
  </si>
  <si>
    <t>SMILEY</t>
  </si>
  <si>
    <t>DEBBIE</t>
  </si>
  <si>
    <t>3942905</t>
  </si>
  <si>
    <t>P00205390</t>
  </si>
  <si>
    <t>ANDREWS</t>
  </si>
  <si>
    <t>3942866</t>
  </si>
  <si>
    <t>P00118121</t>
  </si>
  <si>
    <t>BEAN</t>
  </si>
  <si>
    <t>JARED</t>
  </si>
  <si>
    <t>3943028</t>
  </si>
  <si>
    <t>P00202789</t>
  </si>
  <si>
    <t>TREVINO</t>
  </si>
  <si>
    <t>AARON</t>
  </si>
  <si>
    <t>3936193</t>
  </si>
  <si>
    <t>P00205413</t>
  </si>
  <si>
    <t>ARMENDARIZ</t>
  </si>
  <si>
    <t>3948536</t>
  </si>
  <si>
    <t>P00104365</t>
  </si>
  <si>
    <t>JERMAINE</t>
  </si>
  <si>
    <t>3948516</t>
  </si>
  <si>
    <t>P00205520</t>
  </si>
  <si>
    <t>BENAVIDES</t>
  </si>
  <si>
    <t>3958417</t>
  </si>
  <si>
    <t>P00205482</t>
  </si>
  <si>
    <t>CHILDRESS</t>
  </si>
  <si>
    <t>SUZANNE</t>
  </si>
  <si>
    <t>3958459</t>
  </si>
  <si>
    <t>P00205517</t>
  </si>
  <si>
    <t>GIBBS</t>
  </si>
  <si>
    <t>TENA</t>
  </si>
  <si>
    <t>3958432</t>
  </si>
  <si>
    <t>P00205525</t>
  </si>
  <si>
    <t>JERVONTE</t>
  </si>
  <si>
    <t>3958355</t>
  </si>
  <si>
    <t>3967436</t>
  </si>
  <si>
    <t>P00123294</t>
  </si>
  <si>
    <t>PARTIDA</t>
  </si>
  <si>
    <t>3967462</t>
  </si>
  <si>
    <t>P00146147</t>
  </si>
  <si>
    <t>CHAIREZ</t>
  </si>
  <si>
    <t>RAPHAEL</t>
  </si>
  <si>
    <t>3968562</t>
  </si>
  <si>
    <t>P00138803</t>
  </si>
  <si>
    <t>ANDEL</t>
  </si>
  <si>
    <t>3974647</t>
  </si>
  <si>
    <t>P00170472</t>
  </si>
  <si>
    <t>AWEH</t>
  </si>
  <si>
    <t>PHILIP</t>
  </si>
  <si>
    <t>3974847</t>
  </si>
  <si>
    <t>Houston Methodist</t>
  </si>
  <si>
    <t>P00106838</t>
  </si>
  <si>
    <t>PIRTLE</t>
  </si>
  <si>
    <t>3979118</t>
  </si>
  <si>
    <t>P00114034</t>
  </si>
  <si>
    <t>JESSICA</t>
  </si>
  <si>
    <t>3979153</t>
  </si>
  <si>
    <t>3988812</t>
  </si>
  <si>
    <t>Methodist Hospital</t>
  </si>
  <si>
    <t>3984744</t>
  </si>
  <si>
    <t>OakBend Hospital</t>
  </si>
  <si>
    <t>3984192</t>
  </si>
  <si>
    <t>P00195620</t>
  </si>
  <si>
    <t>WHEELER</t>
  </si>
  <si>
    <t>KEVIN</t>
  </si>
  <si>
    <t>3984273</t>
  </si>
  <si>
    <t>P00205691</t>
  </si>
  <si>
    <t>3999722</t>
  </si>
  <si>
    <t>P00205713</t>
  </si>
  <si>
    <t>AREVALO-GONZALEZ</t>
  </si>
  <si>
    <t>ADRIAN</t>
  </si>
  <si>
    <t>3999667</t>
  </si>
  <si>
    <t>P00205112</t>
  </si>
  <si>
    <t>FANT</t>
  </si>
  <si>
    <t>3999642</t>
  </si>
  <si>
    <t>P00205730</t>
  </si>
  <si>
    <t>FUSILIER</t>
  </si>
  <si>
    <t>4071534</t>
  </si>
  <si>
    <t>P00099649</t>
  </si>
  <si>
    <t>NORMAN</t>
  </si>
  <si>
    <t>LATASHA</t>
  </si>
  <si>
    <t>4009371</t>
  </si>
  <si>
    <t>P00201695</t>
  </si>
  <si>
    <t>SHAVERS</t>
  </si>
  <si>
    <t>3995723</t>
  </si>
  <si>
    <t>P00183377</t>
  </si>
  <si>
    <t>MINDA</t>
  </si>
  <si>
    <t>4004592</t>
  </si>
  <si>
    <t>P00180473</t>
  </si>
  <si>
    <t>CINCORE</t>
  </si>
  <si>
    <t>LOUIS</t>
  </si>
  <si>
    <t>4021084</t>
  </si>
  <si>
    <t>P95000494</t>
  </si>
  <si>
    <t>SOTO</t>
  </si>
  <si>
    <t>PAULA</t>
  </si>
  <si>
    <t>4018799</t>
  </si>
  <si>
    <t>P00205825</t>
  </si>
  <si>
    <t>VICKY</t>
  </si>
  <si>
    <t>4027640</t>
  </si>
  <si>
    <t>OAK BEND</t>
  </si>
  <si>
    <t>P00205724</t>
  </si>
  <si>
    <t>WILGANOWSKI</t>
  </si>
  <si>
    <t>JEROME</t>
  </si>
  <si>
    <t>4021616</t>
  </si>
  <si>
    <t>Mwmorial Hermann</t>
  </si>
  <si>
    <t>P00205834</t>
  </si>
  <si>
    <t>GAMEZ</t>
  </si>
  <si>
    <t>4027708</t>
  </si>
  <si>
    <t>P00112184</t>
  </si>
  <si>
    <t>GAONA</t>
  </si>
  <si>
    <t>JUANITA</t>
  </si>
  <si>
    <t>4022626</t>
  </si>
  <si>
    <t>P00138862</t>
  </si>
  <si>
    <t>MCINTYRE</t>
  </si>
  <si>
    <t>4027921</t>
  </si>
  <si>
    <t>P00189427</t>
  </si>
  <si>
    <t>TANG</t>
  </si>
  <si>
    <t>TOAN</t>
  </si>
  <si>
    <t>4035652</t>
  </si>
  <si>
    <t>P00131595</t>
  </si>
  <si>
    <t>COMPEAN</t>
  </si>
  <si>
    <t>STEFAN</t>
  </si>
  <si>
    <t>4034131</t>
  </si>
  <si>
    <t>P00205881</t>
  </si>
  <si>
    <t>RIVERS</t>
  </si>
  <si>
    <t>REBECCA</t>
  </si>
  <si>
    <t>4034027</t>
  </si>
  <si>
    <t>P00205027</t>
  </si>
  <si>
    <t>HENRY</t>
  </si>
  <si>
    <t>KAYLA</t>
  </si>
  <si>
    <t>4039940</t>
  </si>
  <si>
    <t>P00205904</t>
  </si>
  <si>
    <t>MCNEAL</t>
  </si>
  <si>
    <t>4044069</t>
  </si>
  <si>
    <t>P00149419</t>
  </si>
  <si>
    <t>DIXON</t>
  </si>
  <si>
    <t>VALERIE</t>
  </si>
  <si>
    <t>4044099</t>
  </si>
  <si>
    <t>P00205909</t>
  </si>
  <si>
    <t>SOMERVILLE</t>
  </si>
  <si>
    <t>ELIJAH</t>
  </si>
  <si>
    <t>4044085</t>
  </si>
  <si>
    <t>P00201974</t>
  </si>
  <si>
    <t>BAILEY</t>
  </si>
  <si>
    <t>ERICA</t>
  </si>
  <si>
    <t>4061117</t>
  </si>
  <si>
    <t>P00206053</t>
  </si>
  <si>
    <t>CARLANA</t>
  </si>
  <si>
    <t>4060897</t>
  </si>
  <si>
    <t>P00152367</t>
  </si>
  <si>
    <t>CEASAR</t>
  </si>
  <si>
    <t>ANDRE</t>
  </si>
  <si>
    <t>4061070</t>
  </si>
  <si>
    <t>P00129163</t>
  </si>
  <si>
    <t>4060815</t>
  </si>
  <si>
    <t>P00190038</t>
  </si>
  <si>
    <t>HARPER</t>
  </si>
  <si>
    <t>4060999</t>
  </si>
  <si>
    <t>P00136488</t>
  </si>
  <si>
    <t>MCCRIGHT</t>
  </si>
  <si>
    <t>KRISTEN</t>
  </si>
  <si>
    <t>4060963</t>
  </si>
  <si>
    <t>P00206075</t>
  </si>
  <si>
    <t>PENLAND</t>
  </si>
  <si>
    <t>4060926</t>
  </si>
  <si>
    <t>P00203693</t>
  </si>
  <si>
    <t>4074169</t>
  </si>
  <si>
    <t>P00205824</t>
  </si>
  <si>
    <t>ARMSTRONG</t>
  </si>
  <si>
    <t>4077723</t>
  </si>
  <si>
    <t>P00205996</t>
  </si>
  <si>
    <t>MOLINA-MEDRANO</t>
  </si>
  <si>
    <t>VERONICA</t>
  </si>
  <si>
    <t>4074830</t>
  </si>
  <si>
    <t>P00103034</t>
  </si>
  <si>
    <t>MEDEL</t>
  </si>
  <si>
    <t>EFRAIN</t>
  </si>
  <si>
    <t>4087876</t>
  </si>
  <si>
    <t>P00206250</t>
  </si>
  <si>
    <t>ARMAGAN</t>
  </si>
  <si>
    <t>GURHAN</t>
  </si>
  <si>
    <t>4087673</t>
  </si>
  <si>
    <t>P00199081</t>
  </si>
  <si>
    <t>NICO</t>
  </si>
  <si>
    <t>4087699</t>
  </si>
  <si>
    <t>P00191855</t>
  </si>
  <si>
    <t>DEVON</t>
  </si>
  <si>
    <t>TREVOR</t>
  </si>
  <si>
    <t>4094109</t>
  </si>
  <si>
    <t>P00171595</t>
  </si>
  <si>
    <t>SANDOVAL</t>
  </si>
  <si>
    <t>4093976</t>
  </si>
  <si>
    <t>P00076717</t>
  </si>
  <si>
    <t>BRANT</t>
  </si>
  <si>
    <t>4089624</t>
  </si>
  <si>
    <t>P00206275</t>
  </si>
  <si>
    <t>CANO</t>
  </si>
  <si>
    <t>4094058</t>
  </si>
  <si>
    <t>4094083</t>
  </si>
  <si>
    <t>P00206290</t>
  </si>
  <si>
    <t>WISDOM</t>
  </si>
  <si>
    <t>4093990</t>
  </si>
  <si>
    <t>P00092621</t>
  </si>
  <si>
    <t>CHARCAS</t>
  </si>
  <si>
    <t>4122448</t>
  </si>
  <si>
    <t>P00156479</t>
  </si>
  <si>
    <t>CHEEKS</t>
  </si>
  <si>
    <t>KALEN</t>
  </si>
  <si>
    <t>4120524</t>
  </si>
  <si>
    <t>P93002170</t>
  </si>
  <si>
    <t>MUNKS</t>
  </si>
  <si>
    <t>KELVIN</t>
  </si>
  <si>
    <t>4120658</t>
  </si>
  <si>
    <t>P00206408</t>
  </si>
  <si>
    <t>ISHMAEL</t>
  </si>
  <si>
    <t>KENTON</t>
  </si>
  <si>
    <t>4120626</t>
  </si>
  <si>
    <t>P00149265</t>
  </si>
  <si>
    <t>XAVION</t>
  </si>
  <si>
    <t>4137367</t>
  </si>
  <si>
    <t>P00206394</t>
  </si>
  <si>
    <t>4120355</t>
  </si>
  <si>
    <t>P00206401</t>
  </si>
  <si>
    <t>KARLA</t>
  </si>
  <si>
    <t>4120591</t>
  </si>
  <si>
    <t>P00206400</t>
  </si>
  <si>
    <t>SIMPSON</t>
  </si>
  <si>
    <t>4120570</t>
  </si>
  <si>
    <t>P00206430</t>
  </si>
  <si>
    <t>MOUTON</t>
  </si>
  <si>
    <t>4128569</t>
  </si>
  <si>
    <t xml:space="preserve">481 </t>
  </si>
  <si>
    <t>Fort Bend County Jail, TX EMERGENCY ROOM Totals</t>
  </si>
  <si>
    <t>EMERGENCY ROOM Totals</t>
  </si>
  <si>
    <r>
      <rPr>
        <b/>
        <sz val="9"/>
        <color rgb="FF000000"/>
        <rFont val="Arial"/>
        <family val="2"/>
      </rPr>
      <t>INPATIENT HOSPITALIZATION             29 EVENT(S)</t>
    </r>
    <r>
      <rPr>
        <b/>
        <sz val="9"/>
        <color rgb="FF000000"/>
        <rFont val="Arial"/>
        <family val="2"/>
      </rPr>
      <t xml:space="preserve"> </t>
    </r>
  </si>
  <si>
    <t>2689521</t>
  </si>
  <si>
    <t>Memorial Hermann The Medical Center</t>
  </si>
  <si>
    <t>3981003</t>
  </si>
  <si>
    <t xml:space="preserve">136 Day(s) </t>
  </si>
  <si>
    <t>Fort Bend County Jail, TX INPATIENT HOSPITALIZATION Totals</t>
  </si>
  <si>
    <t>INPATIENT HOSPITALIZATION Totals</t>
  </si>
  <si>
    <r>
      <rPr>
        <b/>
        <sz val="9"/>
        <color rgb="FF000000"/>
        <rFont val="Arial"/>
        <family val="2"/>
      </rPr>
      <t>OBSERVATION             2 EVENT(S)</t>
    </r>
    <r>
      <rPr>
        <b/>
        <sz val="9"/>
        <color rgb="FF000000"/>
        <rFont val="Arial"/>
        <family val="2"/>
      </rPr>
      <t xml:space="preserve"> </t>
    </r>
  </si>
  <si>
    <t>Fort Bend County Jail, TX OBSERVATION Totals</t>
  </si>
  <si>
    <t>OBSERVATION Totals</t>
  </si>
  <si>
    <r>
      <rPr>
        <b/>
        <sz val="9"/>
        <color rgb="FF000000"/>
        <rFont val="Arial"/>
        <family val="2"/>
      </rPr>
      <t>OFFICE VISITS             68 EVENT(S)</t>
    </r>
    <r>
      <rPr>
        <b/>
        <sz val="9"/>
        <color rgb="FF000000"/>
        <rFont val="Arial"/>
        <family val="2"/>
      </rPr>
      <t xml:space="preserve"> </t>
    </r>
  </si>
  <si>
    <t>St. Hope Foundation - Infectious Disease</t>
  </si>
  <si>
    <t>P00193596</t>
  </si>
  <si>
    <t>BARRY</t>
  </si>
  <si>
    <t>2624204</t>
  </si>
  <si>
    <t>physician office - ENT</t>
  </si>
  <si>
    <t>P00185719</t>
  </si>
  <si>
    <t>LAWRENCE</t>
  </si>
  <si>
    <t>ROSS</t>
  </si>
  <si>
    <t>2666947</t>
  </si>
  <si>
    <t>MD office - Neurology</t>
  </si>
  <si>
    <t>2673620</t>
  </si>
  <si>
    <t>2835821</t>
  </si>
  <si>
    <t>Dr. Hoffman - Maxillofacial Surgery</t>
  </si>
  <si>
    <t>P00182409</t>
  </si>
  <si>
    <t>BOUDREAUX</t>
  </si>
  <si>
    <t>2921921</t>
  </si>
  <si>
    <t>P00154395</t>
  </si>
  <si>
    <t>REYES</t>
  </si>
  <si>
    <t>2961967</t>
  </si>
  <si>
    <t>P00087422</t>
  </si>
  <si>
    <t>SALINAS</t>
  </si>
  <si>
    <t>ISABEL</t>
  </si>
  <si>
    <t>2961946</t>
  </si>
  <si>
    <t>MD office - Ortho</t>
  </si>
  <si>
    <t>3074625</t>
  </si>
  <si>
    <t>P92003342</t>
  </si>
  <si>
    <t>3059030</t>
  </si>
  <si>
    <t>P00199987</t>
  </si>
  <si>
    <t>WEBB</t>
  </si>
  <si>
    <t>LARRY</t>
  </si>
  <si>
    <t>3059013</t>
  </si>
  <si>
    <t>MD office - ENT</t>
  </si>
  <si>
    <t>P00018624</t>
  </si>
  <si>
    <t>HAGAR</t>
  </si>
  <si>
    <t>3122388</t>
  </si>
  <si>
    <t>physician   office appt  - Opthalmology</t>
  </si>
  <si>
    <t>3081712</t>
  </si>
  <si>
    <t>P00200807</t>
  </si>
  <si>
    <t>ABBOTT</t>
  </si>
  <si>
    <t>GERALD</t>
  </si>
  <si>
    <t>3166854</t>
  </si>
  <si>
    <t>MD office</t>
  </si>
  <si>
    <t>3162717</t>
  </si>
  <si>
    <t>P00172989</t>
  </si>
  <si>
    <t>EBONE</t>
  </si>
  <si>
    <t>3166843</t>
  </si>
  <si>
    <t>MD office - Neurosurgery</t>
  </si>
  <si>
    <t>3273454</t>
  </si>
  <si>
    <t>custody  car - Opthalmology</t>
  </si>
  <si>
    <t>P00144811</t>
  </si>
  <si>
    <t>HALL</t>
  </si>
  <si>
    <t>3294603</t>
  </si>
  <si>
    <t>3386414</t>
  </si>
  <si>
    <t>3327747</t>
  </si>
  <si>
    <t>P00201098</t>
  </si>
  <si>
    <t>NICHOLSON</t>
  </si>
  <si>
    <t>BRETT</t>
  </si>
  <si>
    <t>3242809</t>
  </si>
  <si>
    <t>P00110104</t>
  </si>
  <si>
    <t>MOSHAY</t>
  </si>
  <si>
    <t>3400738</t>
  </si>
  <si>
    <t>3443619</t>
  </si>
  <si>
    <t>Richmond Bone and Joint - Ortho</t>
  </si>
  <si>
    <t>3381544</t>
  </si>
  <si>
    <t>Dr. Ezekiel - OB</t>
  </si>
  <si>
    <t>3368124</t>
  </si>
  <si>
    <t>Physican office - Ortho</t>
  </si>
  <si>
    <t>P00203169</t>
  </si>
  <si>
    <t>GONZALEZ-PEREZ</t>
  </si>
  <si>
    <t>MARTHA</t>
  </si>
  <si>
    <t>3520255</t>
  </si>
  <si>
    <t>MD office - GI</t>
  </si>
  <si>
    <t>P00089446</t>
  </si>
  <si>
    <t>RHINES</t>
  </si>
  <si>
    <t>3445409</t>
  </si>
  <si>
    <t>P92000592</t>
  </si>
  <si>
    <t>DOCKERY</t>
  </si>
  <si>
    <t>BERNARAD</t>
  </si>
  <si>
    <t>3367923</t>
  </si>
  <si>
    <t>3367834</t>
  </si>
  <si>
    <t>3530228</t>
  </si>
  <si>
    <t>3424486</t>
  </si>
  <si>
    <t>3530205</t>
  </si>
  <si>
    <t>Houston Eye Associates</t>
  </si>
  <si>
    <t>3443602</t>
  </si>
  <si>
    <t>Physicians office - Opthalmology</t>
  </si>
  <si>
    <t>3619378</t>
  </si>
  <si>
    <t>MD Office - Ortho</t>
  </si>
  <si>
    <t>3624555</t>
  </si>
  <si>
    <t>3642635</t>
  </si>
  <si>
    <t>3682648</t>
  </si>
  <si>
    <t>md. office - Cardiothoracic Surgery</t>
  </si>
  <si>
    <t>3648764</t>
  </si>
  <si>
    <t>MD office - GYN</t>
  </si>
  <si>
    <t>P00186349</t>
  </si>
  <si>
    <t>MORRIS</t>
  </si>
  <si>
    <t>ALICIA</t>
  </si>
  <si>
    <t>3670435</t>
  </si>
  <si>
    <t>Phhysician office - Endocrinology</t>
  </si>
  <si>
    <t>P00191431</t>
  </si>
  <si>
    <t>RIBBANS</t>
  </si>
  <si>
    <t>LUKE</t>
  </si>
  <si>
    <t>3550971</t>
  </si>
  <si>
    <t>3707783</t>
  </si>
  <si>
    <t>3707294</t>
  </si>
  <si>
    <t>St. Hope HIV clinic - Infectious Disease</t>
  </si>
  <si>
    <t>P00204264</t>
  </si>
  <si>
    <t>CAMPBELL</t>
  </si>
  <si>
    <t>CULBERTSON</t>
  </si>
  <si>
    <t>3754105</t>
  </si>
  <si>
    <t>Maternal Fetal Specialist Methodest - OB</t>
  </si>
  <si>
    <t>P00204161</t>
  </si>
  <si>
    <t>CANDICE</t>
  </si>
  <si>
    <t>3754264</t>
  </si>
  <si>
    <t>MD office - Gastroenterology</t>
  </si>
  <si>
    <t>3794609</t>
  </si>
  <si>
    <t>P92003765</t>
  </si>
  <si>
    <t>GILES</t>
  </si>
  <si>
    <t>3841672</t>
  </si>
  <si>
    <t>MD office - General Surgery</t>
  </si>
  <si>
    <t>P00160515</t>
  </si>
  <si>
    <t>DIANNA</t>
  </si>
  <si>
    <t>3863609</t>
  </si>
  <si>
    <t>MD office - Urology</t>
  </si>
  <si>
    <t>3863652</t>
  </si>
  <si>
    <t>vascular surgeon - Vascular Surgery</t>
  </si>
  <si>
    <t>3866233</t>
  </si>
  <si>
    <t>Memorial Hermann Cardiology - Cardiology</t>
  </si>
  <si>
    <t>P00199156</t>
  </si>
  <si>
    <t>CASTANEADA</t>
  </si>
  <si>
    <t>CIRILO</t>
  </si>
  <si>
    <t>3862667</t>
  </si>
  <si>
    <t>Physicians office - Ophthalmology</t>
  </si>
  <si>
    <t>3885376</t>
  </si>
  <si>
    <t>P00194385</t>
  </si>
  <si>
    <t>LEDET</t>
  </si>
  <si>
    <t>3841682</t>
  </si>
  <si>
    <t>3841660</t>
  </si>
  <si>
    <t>MD office - Orthopedics</t>
  </si>
  <si>
    <t>3926164</t>
  </si>
  <si>
    <t>P00098692</t>
  </si>
  <si>
    <t>3841793</t>
  </si>
  <si>
    <t>Houston Eye Associates - Ophthalmology</t>
  </si>
  <si>
    <t>P00194069</t>
  </si>
  <si>
    <t>LONDON</t>
  </si>
  <si>
    <t>3862699</t>
  </si>
  <si>
    <t>3931885</t>
  </si>
  <si>
    <t>PO - Rheumatology</t>
  </si>
  <si>
    <t>P00204874</t>
  </si>
  <si>
    <t>MARCUS</t>
  </si>
  <si>
    <t>3882377</t>
  </si>
  <si>
    <t>P00135037</t>
  </si>
  <si>
    <t>LIVINGSTON</t>
  </si>
  <si>
    <t>3954290</t>
  </si>
  <si>
    <t>3968355</t>
  </si>
  <si>
    <t>4011182</t>
  </si>
  <si>
    <t>P00203378</t>
  </si>
  <si>
    <t>SONIA</t>
  </si>
  <si>
    <t>3954349</t>
  </si>
  <si>
    <t>UT Physicians med center - Orthopedics</t>
  </si>
  <si>
    <t>3999364</t>
  </si>
  <si>
    <t>P00205281</t>
  </si>
  <si>
    <t>MENDEZ</t>
  </si>
  <si>
    <t>JULIAN</t>
  </si>
  <si>
    <t>3954417</t>
  </si>
  <si>
    <t>PO</t>
  </si>
  <si>
    <t>P00177136</t>
  </si>
  <si>
    <t>CAMPOS</t>
  </si>
  <si>
    <t>SANDRA</t>
  </si>
  <si>
    <t>3969664</t>
  </si>
  <si>
    <t>Dr. Vachhani - Gastroenterology</t>
  </si>
  <si>
    <t>P00144692</t>
  </si>
  <si>
    <t>WHITE</t>
  </si>
  <si>
    <t>TREY</t>
  </si>
  <si>
    <t>3986078</t>
  </si>
  <si>
    <t>Dr. Vachhani</t>
  </si>
  <si>
    <t>P00203355</t>
  </si>
  <si>
    <t>HUTCHINS</t>
  </si>
  <si>
    <t>LANCE</t>
  </si>
  <si>
    <t>4005597</t>
  </si>
  <si>
    <t>4070111</t>
  </si>
  <si>
    <t>3990227</t>
  </si>
  <si>
    <t xml:space="preserve">68 </t>
  </si>
  <si>
    <t>Fort Bend County Jail, TX OFFICE VISITS Totals</t>
  </si>
  <si>
    <t>OFFICE VISITS Totals</t>
  </si>
  <si>
    <r>
      <rPr>
        <b/>
        <sz val="9"/>
        <color rgb="FF000000"/>
        <rFont val="Arial"/>
        <family val="2"/>
      </rPr>
      <t>OFFICE VISITS WITH PROCEDURES             41 EVENT(S)</t>
    </r>
    <r>
      <rPr>
        <b/>
        <sz val="9"/>
        <color rgb="FF000000"/>
        <rFont val="Arial"/>
        <family val="2"/>
      </rPr>
      <t xml:space="preserve"> </t>
    </r>
  </si>
  <si>
    <t>Dr. Redkos office - Pain Clinic</t>
  </si>
  <si>
    <t>P94002835</t>
  </si>
  <si>
    <t>EDDIE</t>
  </si>
  <si>
    <t>2867977</t>
  </si>
  <si>
    <t>P00199651</t>
  </si>
  <si>
    <t>MIRNA</t>
  </si>
  <si>
    <t>3099265</t>
  </si>
  <si>
    <t>3137030</t>
  </si>
  <si>
    <t>Lake Pointe Dental - Oral Surgery</t>
  </si>
  <si>
    <t>P00179774</t>
  </si>
  <si>
    <t>BRADLEY</t>
  </si>
  <si>
    <t>DOMINQUE</t>
  </si>
  <si>
    <t>3161493</t>
  </si>
  <si>
    <t>3192772</t>
  </si>
  <si>
    <t>Houston Eye Associates - Opthalmology</t>
  </si>
  <si>
    <t>P00073146</t>
  </si>
  <si>
    <t>FREEMAN</t>
  </si>
  <si>
    <t>KARRI</t>
  </si>
  <si>
    <t>3204303</t>
  </si>
  <si>
    <t>3197482</t>
  </si>
  <si>
    <t>3189489</t>
  </si>
  <si>
    <t>P00197687</t>
  </si>
  <si>
    <t>TRET</t>
  </si>
  <si>
    <t>3236128</t>
  </si>
  <si>
    <t>P00201000</t>
  </si>
  <si>
    <t>ROCKY</t>
  </si>
  <si>
    <t>3193350</t>
  </si>
  <si>
    <t>P00081870</t>
  </si>
  <si>
    <t>DALIET</t>
  </si>
  <si>
    <t>3237242</t>
  </si>
  <si>
    <t>P00190008</t>
  </si>
  <si>
    <t>CORTEZ</t>
  </si>
  <si>
    <t>3254885</t>
  </si>
  <si>
    <t>office visit</t>
  </si>
  <si>
    <t>P00196203</t>
  </si>
  <si>
    <t>KNIGHT</t>
  </si>
  <si>
    <t>3222800</t>
  </si>
  <si>
    <t>3276466</t>
  </si>
  <si>
    <t>custody - Cardiology</t>
  </si>
  <si>
    <t>3346342</t>
  </si>
  <si>
    <t>3273316</t>
  </si>
  <si>
    <t>physican office - Cardiology</t>
  </si>
  <si>
    <t>P92003520</t>
  </si>
  <si>
    <t>ROMO</t>
  </si>
  <si>
    <t>3329954</t>
  </si>
  <si>
    <t>3431915</t>
  </si>
  <si>
    <t>physician office - Urology</t>
  </si>
  <si>
    <t>P00182512</t>
  </si>
  <si>
    <t>LOPEZ</t>
  </si>
  <si>
    <t>3378044</t>
  </si>
  <si>
    <t>P00018057</t>
  </si>
  <si>
    <t>FLORENCIA</t>
  </si>
  <si>
    <t>3294626</t>
  </si>
  <si>
    <t>physician office - Opthalmology</t>
  </si>
  <si>
    <t>3489571</t>
  </si>
  <si>
    <t>MD office - Podiatry</t>
  </si>
  <si>
    <t>P00198343</t>
  </si>
  <si>
    <t>MCNAIR</t>
  </si>
  <si>
    <t>3392767</t>
  </si>
  <si>
    <t>3492699</t>
  </si>
  <si>
    <t>physican office - GI</t>
  </si>
  <si>
    <t>P00197223</t>
  </si>
  <si>
    <t>CHAMBLISS</t>
  </si>
  <si>
    <t>3468707</t>
  </si>
  <si>
    <t>Physician office - Cardiology</t>
  </si>
  <si>
    <t>P00202234</t>
  </si>
  <si>
    <t>BELLAMY</t>
  </si>
  <si>
    <t>GARY</t>
  </si>
  <si>
    <t>3524720</t>
  </si>
  <si>
    <t>MD office - Ophthalmology</t>
  </si>
  <si>
    <t>3797899</t>
  </si>
  <si>
    <t>P00195535</t>
  </si>
  <si>
    <t>SHINE</t>
  </si>
  <si>
    <t>BILLY</t>
  </si>
  <si>
    <t>3794595</t>
  </si>
  <si>
    <t>PO - Gastroenterology</t>
  </si>
  <si>
    <t>3853590</t>
  </si>
  <si>
    <t>3887479</t>
  </si>
  <si>
    <t>DR MANZI SUSAN - Neurology</t>
  </si>
  <si>
    <t>P00102742</t>
  </si>
  <si>
    <t>MEARS</t>
  </si>
  <si>
    <t>3828800</t>
  </si>
  <si>
    <t>PO - Ophthalmology</t>
  </si>
  <si>
    <t>3882370</t>
  </si>
  <si>
    <t>3946716</t>
  </si>
  <si>
    <t>Abbu Health - Prosthetics</t>
  </si>
  <si>
    <t>3921649</t>
  </si>
  <si>
    <t>physician office - Ophthalmology</t>
  </si>
  <si>
    <t>3970810</t>
  </si>
  <si>
    <t>PO - Neurology</t>
  </si>
  <si>
    <t>P00204257</t>
  </si>
  <si>
    <t>LITTLE</t>
  </si>
  <si>
    <t>REGINALD</t>
  </si>
  <si>
    <t>3911628</t>
  </si>
  <si>
    <t>PO - Neurosurgery</t>
  </si>
  <si>
    <t>P00196329</t>
  </si>
  <si>
    <t>3911639</t>
  </si>
  <si>
    <t>office - Dermatology</t>
  </si>
  <si>
    <t>P00122454</t>
  </si>
  <si>
    <t>AGUILAR</t>
  </si>
  <si>
    <t>3995633</t>
  </si>
  <si>
    <t>P00109379</t>
  </si>
  <si>
    <t>SHERMAN</t>
  </si>
  <si>
    <t>3861137</t>
  </si>
  <si>
    <t>3958858</t>
  </si>
  <si>
    <t>P00197325</t>
  </si>
  <si>
    <t>TYRONNE</t>
  </si>
  <si>
    <t>4047146</t>
  </si>
  <si>
    <t xml:space="preserve">41 </t>
  </si>
  <si>
    <t>Fort Bend County Jail, TX OFFICE VISITS WITH PROCEDURES Totals</t>
  </si>
  <si>
    <t>OFFICE VISITS WITH PROCEDURES Totals</t>
  </si>
  <si>
    <r>
      <rPr>
        <b/>
        <sz val="9"/>
        <color rgb="FF000000"/>
        <rFont val="Arial"/>
        <family val="2"/>
      </rPr>
      <t>ONE DAY SURGERY             6 EVENT(S)</t>
    </r>
    <r>
      <rPr>
        <b/>
        <sz val="9"/>
        <color rgb="FF000000"/>
        <rFont val="Arial"/>
        <family val="2"/>
      </rPr>
      <t xml:space="preserve"> </t>
    </r>
  </si>
  <si>
    <t>3292033</t>
  </si>
  <si>
    <t>3397188</t>
  </si>
  <si>
    <t>3397205</t>
  </si>
  <si>
    <t>Methodist Sugar Land - Cardiothoracic Surgery</t>
  </si>
  <si>
    <t>3750115</t>
  </si>
  <si>
    <t>Oak Bend - Gastroenterology</t>
  </si>
  <si>
    <t>4064922</t>
  </si>
  <si>
    <t>3944804</t>
  </si>
  <si>
    <t xml:space="preserve">6 </t>
  </si>
  <si>
    <t>Fort Bend County Jail, TX ONE DAY SURGERY Totals</t>
  </si>
  <si>
    <t>ONE DAY SURGERY Totals</t>
  </si>
  <si>
    <r>
      <rPr>
        <b/>
        <sz val="9"/>
        <color rgb="FF000000"/>
        <rFont val="Arial"/>
        <family val="2"/>
      </rPr>
      <t>RADIOLOGY             23 EVENT(S)</t>
    </r>
    <r>
      <rPr>
        <b/>
        <sz val="9"/>
        <color rgb="FF000000"/>
        <rFont val="Arial"/>
        <family val="2"/>
      </rPr>
      <t xml:space="preserve"> </t>
    </r>
  </si>
  <si>
    <t>imaging center - CT</t>
  </si>
  <si>
    <t>2711444</t>
  </si>
  <si>
    <t>hospital - CT</t>
  </si>
  <si>
    <t>P00198852</t>
  </si>
  <si>
    <t>WENDY</t>
  </si>
  <si>
    <t>2960368</t>
  </si>
  <si>
    <t>3115292</t>
  </si>
  <si>
    <t>hospital - MRI</t>
  </si>
  <si>
    <t>P00088408</t>
  </si>
  <si>
    <t>ROBINSON</t>
  </si>
  <si>
    <t>3231359</t>
  </si>
  <si>
    <t>P00197504</t>
  </si>
  <si>
    <t>FURGISON</t>
  </si>
  <si>
    <t>3251101</t>
  </si>
  <si>
    <t>Radiology department - CT</t>
  </si>
  <si>
    <t>3203689</t>
  </si>
  <si>
    <t>Oak Bend Medical Center - Mammogram</t>
  </si>
  <si>
    <t>3367767</t>
  </si>
  <si>
    <t>hospital - Interventional Radiology</t>
  </si>
  <si>
    <t>3611379</t>
  </si>
  <si>
    <t>3623017</t>
  </si>
  <si>
    <t>hospital - PET</t>
  </si>
  <si>
    <t>P00202850</t>
  </si>
  <si>
    <t>SANDERS</t>
  </si>
  <si>
    <t>3590362</t>
  </si>
  <si>
    <t>Radiology dept. - MRI</t>
  </si>
  <si>
    <t>3677474</t>
  </si>
  <si>
    <t>Hospital - Mammogram</t>
  </si>
  <si>
    <t>P00203163</t>
  </si>
  <si>
    <t>ZAMORA</t>
  </si>
  <si>
    <t>3667461</t>
  </si>
  <si>
    <t>Oak Bend - MRI</t>
  </si>
  <si>
    <t>3775617</t>
  </si>
  <si>
    <t>radiology dept - MRI</t>
  </si>
  <si>
    <t>3828789</t>
  </si>
  <si>
    <t>radiology - MRI</t>
  </si>
  <si>
    <t>3881967</t>
  </si>
  <si>
    <t>3882488</t>
  </si>
  <si>
    <t>radiology - CT</t>
  </si>
  <si>
    <t>P00171791</t>
  </si>
  <si>
    <t>CONLEY</t>
  </si>
  <si>
    <t>ANDRES</t>
  </si>
  <si>
    <t>3881921</t>
  </si>
  <si>
    <t>Oak Bend - CT</t>
  </si>
  <si>
    <t>3931891</t>
  </si>
  <si>
    <t>radiology dept - CT</t>
  </si>
  <si>
    <t>3916760</t>
  </si>
  <si>
    <t>Radiology - CT</t>
  </si>
  <si>
    <t>P00078249</t>
  </si>
  <si>
    <t>PERRY</t>
  </si>
  <si>
    <t>3970504</t>
  </si>
  <si>
    <t>3949507</t>
  </si>
  <si>
    <t>P00080772</t>
  </si>
  <si>
    <t>LERMA</t>
  </si>
  <si>
    <t>CORNELIO</t>
  </si>
  <si>
    <t>4031520</t>
  </si>
  <si>
    <t>OAK BEND HOSPITAL - CT</t>
  </si>
  <si>
    <t>P00140169</t>
  </si>
  <si>
    <t>CHURCHWELL</t>
  </si>
  <si>
    <t>STRODE</t>
  </si>
  <si>
    <t>4049760</t>
  </si>
  <si>
    <t xml:space="preserve">23 </t>
  </si>
  <si>
    <t>Fort Bend County Jail, TX RADIOLOGY Totals</t>
  </si>
  <si>
    <t>RADIOLOGY Totals</t>
  </si>
  <si>
    <t>Totals</t>
  </si>
  <si>
    <t>Budgeted</t>
  </si>
  <si>
    <t>Comparable</t>
  </si>
  <si>
    <t>MH</t>
  </si>
  <si>
    <t>LPN</t>
  </si>
  <si>
    <t>Dent Asst</t>
  </si>
  <si>
    <t>Med Support</t>
  </si>
  <si>
    <t>Med Records</t>
  </si>
  <si>
    <t>HSA</t>
  </si>
  <si>
    <t>Admin Support</t>
  </si>
  <si>
    <t>% of Salaries</t>
  </si>
  <si>
    <t>Meals</t>
  </si>
  <si>
    <t>mal prem</t>
  </si>
  <si>
    <t>mal claims</t>
  </si>
  <si>
    <t>WC</t>
  </si>
  <si>
    <t>General</t>
  </si>
  <si>
    <t>Check Calculation</t>
  </si>
  <si>
    <t>Fort Bend TX</t>
  </si>
  <si>
    <t>Medical Malpractice Rate (claims, premiums, legal, and fees)</t>
  </si>
  <si>
    <t>Increase for 2016</t>
  </si>
  <si>
    <t>INSURANCE PRICING ANALYSIS</t>
  </si>
  <si>
    <t>ADP</t>
  </si>
  <si>
    <t>10% Inc</t>
  </si>
  <si>
    <t>Check Figure - Medical Malpractice</t>
  </si>
  <si>
    <t>Workers' Comp Rate (claims, premium, and fees)</t>
  </si>
  <si>
    <t>10% inc</t>
  </si>
  <si>
    <t>**Just for General</t>
  </si>
  <si>
    <t>Check Figure - Workers' Comp</t>
  </si>
  <si>
    <t>Current Trend</t>
  </si>
  <si>
    <t>ADP Factor</t>
  </si>
  <si>
    <t>Fort Bend TX  = 900</t>
  </si>
  <si>
    <t>Subjective</t>
  </si>
  <si>
    <t>Total Check Figure</t>
  </si>
  <si>
    <t>5 months thru 5/31/2016</t>
  </si>
  <si>
    <t>Fort Bend TX Current avg = 894</t>
  </si>
  <si>
    <t>Estimate</t>
  </si>
  <si>
    <t>Net</t>
  </si>
  <si>
    <t>Adj</t>
  </si>
  <si>
    <t>Malpractice Claims</t>
  </si>
  <si>
    <t>Insurance - General**</t>
  </si>
  <si>
    <t>**</t>
  </si>
  <si>
    <t>Med Mal</t>
  </si>
  <si>
    <t>Workers Comp</t>
  </si>
  <si>
    <t>med supplies</t>
  </si>
  <si>
    <t>dental supp</t>
  </si>
  <si>
    <t>waste renoval</t>
  </si>
  <si>
    <t>lab</t>
  </si>
  <si>
    <t>xray</t>
  </si>
  <si>
    <t>ER Amb Obser</t>
  </si>
  <si>
    <t>Inpatient</t>
  </si>
  <si>
    <t>office visit w proc</t>
  </si>
  <si>
    <t>1 day surgery</t>
  </si>
  <si>
    <t>radiology</t>
  </si>
  <si>
    <t>office supplies</t>
  </si>
  <si>
    <t>Dues and Sub</t>
  </si>
  <si>
    <t>Postage and shipping</t>
  </si>
  <si>
    <t>Equipment Rent</t>
  </si>
  <si>
    <t>prop tax</t>
  </si>
  <si>
    <t>Translation services</t>
  </si>
  <si>
    <t>depreciation</t>
  </si>
  <si>
    <t>employee goodwill</t>
  </si>
  <si>
    <t>recruiting</t>
  </si>
  <si>
    <t>education and training</t>
  </si>
  <si>
    <t>All Benefits</t>
  </si>
  <si>
    <t>Total Expenses</t>
  </si>
  <si>
    <t>HIV</t>
  </si>
  <si>
    <t>Returns</t>
  </si>
  <si>
    <t>Total Invoice</t>
  </si>
  <si>
    <t>Credits</t>
  </si>
  <si>
    <t>FORT BEND COUNTY SHERIFFS OFFICE</t>
  </si>
  <si>
    <t>FORMULARY MANAGEMENT REPORT</t>
  </si>
  <si>
    <t>INMATE CENSUS</t>
  </si>
  <si>
    <t>TOTAL RX ORDERS</t>
  </si>
  <si>
    <t>NEW RX ORDERS</t>
  </si>
  <si>
    <t>NF NEW RX ORDERS</t>
  </si>
  <si>
    <t>REFILL RX ORDERS</t>
  </si>
  <si>
    <t>STOCK RX'S</t>
  </si>
  <si>
    <t>PT SPEC RX'S</t>
  </si>
  <si>
    <t>NF RX'S</t>
  </si>
  <si>
    <t>FORM RX'S</t>
  </si>
  <si>
    <t>PSYCH RX'S</t>
  </si>
  <si>
    <t>NF PSYCH RX'S</t>
  </si>
  <si>
    <t>CONTROL RX'S</t>
  </si>
  <si>
    <t>OTC ORDERS</t>
  </si>
  <si>
    <t>INJECT RX'S</t>
  </si>
  <si>
    <t>ANTI-INFECTIVE RX'S</t>
  </si>
  <si>
    <t>BIO-IMMUNO RX'S</t>
  </si>
  <si>
    <t>H2 BLOCKERS RX'S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</si>
  <si>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</si>
  <si>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</si>
  <si>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</si>
  <si>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</si>
  <si>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</si>
  <si>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</si>
  <si>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</si>
  <si>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</si>
  <si>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</si>
  <si>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</si>
  <si>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</si>
  <si>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</si>
  <si>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% CHAN PQ</t>
  </si>
  <si>
    <t>% CHAN PY</t>
  </si>
  <si>
    <t>AVG PQ</t>
  </si>
  <si>
    <t>Y-T-D</t>
  </si>
  <si>
    <t>NSAIDS RX'S</t>
  </si>
  <si>
    <t>PPI RX'S</t>
  </si>
  <si>
    <t>PULMONARY RX'S</t>
  </si>
  <si>
    <t>PULMONARY RX'S (PT SPEC)</t>
  </si>
  <si>
    <t>PULMONARY RX'S (STOCK)</t>
  </si>
  <si>
    <t>CARDIAC RX'S</t>
  </si>
  <si>
    <t>TB RX'S</t>
  </si>
  <si>
    <t>GI RX'S</t>
  </si>
  <si>
    <t>EMEDS</t>
  </si>
  <si>
    <t># INM ON RX'S</t>
  </si>
  <si>
    <t># INM ON RX'S(A)</t>
  </si>
  <si>
    <t># INM ON NF RX'S</t>
  </si>
  <si>
    <t>% INM ON RX'S</t>
  </si>
  <si>
    <t># RX'S/INM</t>
  </si>
  <si>
    <t># RX'S/PTS TREATED</t>
  </si>
  <si>
    <t>% STOCK ORDERS</t>
  </si>
  <si>
    <t>% NF RX'S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</si>
  <si>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</si>
  <si>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</si>
  <si>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</si>
  <si>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</si>
  <si>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</si>
  <si>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</si>
  <si>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</si>
  <si>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</si>
  <si>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</si>
  <si>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</si>
  <si>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</si>
  <si>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</si>
  <si>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% PSYCH RX'S</t>
  </si>
  <si>
    <t>% NF PSYCH RX'S</t>
  </si>
  <si>
    <t># INM ON PSYCHS</t>
  </si>
  <si>
    <t># INM ON PSYCHS(A)</t>
  </si>
  <si>
    <t># INM ON NF PSYCH'S</t>
  </si>
  <si>
    <t>% INM ON PSYCHS</t>
  </si>
  <si>
    <t># INM ON ATYP ANTIPSY</t>
  </si>
  <si>
    <t># INM ON TYP ANTIPSY</t>
  </si>
  <si>
    <t># INM ON ATYP TO TYP</t>
  </si>
  <si>
    <t># INM ON PULMONARY</t>
  </si>
  <si>
    <t>% INM ON PULMONARY</t>
  </si>
  <si>
    <t># INM ON TB</t>
  </si>
  <si>
    <t># INM ON CONTROLS</t>
  </si>
  <si>
    <t># INM ON HEP C</t>
  </si>
  <si>
    <t>COST OF HEP C</t>
  </si>
  <si>
    <t>COST OF HEP B</t>
  </si>
  <si>
    <t># INM ON HIV</t>
  </si>
  <si>
    <t>% INM ON HIV</t>
  </si>
  <si>
    <t>HIV RX'S</t>
  </si>
  <si>
    <t>HIV TOTAL COST</t>
  </si>
  <si>
    <t>HIV COST/INM ON HIV</t>
  </si>
  <si>
    <t>NET COST OF MEDS</t>
  </si>
  <si>
    <t>HANDLING FEE</t>
  </si>
  <si>
    <t>TOTAL MONTHLY COST</t>
  </si>
  <si>
    <t>TOTAL COST/INM</t>
  </si>
  <si>
    <t>COST/INM ON RXS</t>
  </si>
  <si>
    <t>CREDITS</t>
  </si>
  <si>
    <t>TOTAL COST LESS CREDITS</t>
  </si>
  <si>
    <t>TOTAL COST/INM LESS CREDITS</t>
  </si>
  <si>
    <t>COST/INM LESS HIV</t>
  </si>
  <si>
    <t>NF TOTAL COST</t>
  </si>
  <si>
    <t>NF COST/INM</t>
  </si>
  <si>
    <t>FORM TOTAL COST</t>
  </si>
  <si>
    <t>FORM COST/INM</t>
  </si>
  <si>
    <t>CONTROL COST</t>
  </si>
  <si>
    <t>PSYCH COST</t>
  </si>
  <si>
    <t>PSYCH COST/INM</t>
  </si>
  <si>
    <t>FORM PSYCH COST</t>
  </si>
  <si>
    <t>NF PSYCH COST</t>
  </si>
  <si>
    <t>NF PSYCH COST/INM</t>
  </si>
  <si>
    <t>ATYP ANTIPSY COST</t>
  </si>
  <si>
    <t>TYP ANTIPSY COST</t>
  </si>
  <si>
    <t>ANTIDEPRESSANT COST</t>
  </si>
  <si>
    <t>PULMONARY COST (PT SPEC)</t>
  </si>
  <si>
    <t>PULMONARY COST (STOCK)</t>
  </si>
  <si>
    <t>PULMONARY COST/INM (B)</t>
  </si>
  <si>
    <t>OTC TOTAL COST</t>
  </si>
  <si>
    <t>OTC STOCK COST</t>
  </si>
  <si>
    <t>RX STOCK COST</t>
  </si>
  <si>
    <t>STOCK AAC</t>
  </si>
  <si>
    <t>STOCK DISP FEE</t>
  </si>
  <si>
    <t>STOCK COST</t>
  </si>
  <si>
    <t>PT SPEC AAC</t>
  </si>
  <si>
    <t>PT SPEC DISP FEE</t>
  </si>
  <si>
    <t>PT SPEC COST</t>
  </si>
  <si>
    <t>INJECT COST</t>
  </si>
  <si>
    <t>INJECT COST/INM</t>
  </si>
  <si>
    <t>ANTI-INFECTIVE COST</t>
  </si>
  <si>
    <t>ANTI-INFECTIVE COST/INM</t>
  </si>
  <si>
    <t>BIO-IMMUNO TOTAL COST</t>
  </si>
  <si>
    <t>BIO-IMMUNO COST/INM</t>
  </si>
  <si>
    <t>H2 BLOCKERS TOTAL COST</t>
  </si>
  <si>
    <t>NSAIDS TOTAL COST</t>
  </si>
  <si>
    <t>PPI TOTAL COST</t>
  </si>
  <si>
    <t>PULMONARY COST</t>
  </si>
  <si>
    <t>PULMONARY COST/INM</t>
  </si>
  <si>
    <t>NF PULMONARY COST</t>
  </si>
  <si>
    <t>INHALER COST</t>
  </si>
  <si>
    <t>VENTOLIN COST</t>
  </si>
  <si>
    <t>CARDIAC COST</t>
  </si>
  <si>
    <t>GI COST</t>
  </si>
  <si>
    <t>MED SUPPLY COST</t>
  </si>
  <si>
    <t>EMED COST</t>
  </si>
  <si>
    <t>COURIER SERVICE COST</t>
  </si>
  <si>
    <t>ADDTL CHARGES</t>
  </si>
  <si>
    <t>SPECIALTY CHARGES</t>
  </si>
  <si>
    <t>INVOICE TOTAL</t>
  </si>
  <si>
    <t>PSYCH COST/PSYCH INM(A)</t>
  </si>
  <si>
    <t>Discharge Case Manager</t>
  </si>
  <si>
    <t>LVN (Transport Nurse)</t>
  </si>
  <si>
    <t>LVN Pharmacy Manager</t>
  </si>
  <si>
    <t>Psych Tech</t>
  </si>
  <si>
    <t>Medical Director</t>
  </si>
  <si>
    <t>Psych NP</t>
  </si>
  <si>
    <t>LVN (11a-11p)</t>
  </si>
  <si>
    <t>Amended 5/3/24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</si>
</sst>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67" formatCode="0.0"/>
    <numFmt numFmtId="168" formatCode="0.000"/>
    <numFmt numFmtId="169" formatCode="&quot;$&quot;#,##0.00"/>
    <numFmt numFmtId="170" formatCode="_(&quot;$&quot;* #,##0_);_(&quot;$&quot;* \(#,##0\);_(&quot;$&quot;* &quot;-&quot;??_);_(@_)"/>
    <numFmt numFmtId="171" formatCode="###0.0%;\(###0.0%\)"/>
    <numFmt numFmtId="172" formatCode="&quot;$&quot;#,##0;\(&quot;$&quot;#,##0\)"/>
    <numFmt numFmtId="173" formatCode="#,##0;\(#,##0\)"/>
    <numFmt numFmtId="174" formatCode="[$-409]mmm\-yy;@"/>
    <numFmt numFmtId="175" formatCode="#,###,##0.00;\(#,###,##0.00\)"/>
    <numFmt numFmtId="176" formatCode="#,###,##0;\(#,###,##0\)"/>
    <numFmt numFmtId="177" formatCode="&quot;$&quot;#,###,##0.00;\(&quot;$&quot;#,###,##0.00\)"/>
    <numFmt numFmtId="178" formatCode="&quot;$&quot;#,###,##0;\(&quot;$&quot;#,###,##0\)"/>
    <numFmt numFmtId="179" formatCode="#,##0.00%;\(#,##0.00%\)"/>
    <numFmt numFmtId="180" formatCode="_(* #,##0.00_);_(* \(#,##0.00\);_(* &quot;-&quot;_);_(@_)"/>
    <numFmt numFmtId="181" formatCode="_(* #,##0.000_);_(* \(#,##0.000\);_(* &quot;-&quot;??_);_(@_)"/>
    <numFmt numFmtId="182" formatCode="[$-409]mmmm\ d\,\ yyyy;@"/>
    <numFmt numFmtId="183" formatCode="#,##0.00;&quot;(&quot;#,##0.00&quot;)&quot;"/>
    <numFmt numFmtId="184" formatCode="#,##0.00%;&quot;(&quot;#,##0.00%&quot;)&quot;"/>
    <numFmt numFmtId="185" formatCode="#,##0;&quot;(&quot;#,##0&quot;)&quot;"/>
    <numFmt numFmtId="186" formatCode="#,##0.0%;&quot;(&quot;#,##0.0%&quot;)&quot;"/>
    <numFmt numFmtId="187" formatCode="&quot; &quot;#,##0.00&quot; &quot;;&quot; (&quot;#,##0.00&quot;)&quot;;&quot; -&quot;00&quot; &quot;;&quot; &quot;@&quot; &quot;"/>
    <numFmt numFmtId="188" formatCode="yyyy\-mm"/>
    <numFmt numFmtId="189" formatCode="[$-10409]m/d/yyyy"/>
    <numFmt numFmtId="190" formatCode="[$-10409]&quot;$&quot;#,##0.00;\(&quot;$&quot;#,##0.00\)"/>
    <numFmt numFmtId="191" formatCode="[$-10409]0;\(0\)"/>
    <numFmt numFmtId="192" formatCode="###,##0"/>
    <numFmt numFmtId="193" formatCode="#,##0.00%"/>
    <numFmt numFmtId="194" formatCode="&quot;$&quot;###,##0.00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0"/>
      <name val="Arial"/>
      <family val="2"/>
    </font>
    <font>
      <b/>
      <sz val="12"/>
      <color indexed="0"/>
      <name val="Arial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indexed="0"/>
      <name val="Arial"/>
      <family val="2"/>
    </font>
    <font>
      <sz val="10"/>
      <color indexed="8"/>
      <name val="MS Sans Serif"/>
      <family val="2"/>
    </font>
    <font>
      <sz val="10"/>
      <name val="Segoe UI"/>
      <family val="2"/>
    </font>
    <font>
      <b/>
      <sz val="12"/>
      <color indexed="8"/>
      <name val="Arial"/>
      <family val="2"/>
    </font>
    <font>
      <b/>
      <sz val="12"/>
      <color indexed="0"/>
      <name val="Arial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b/>
      <sz val="16"/>
      <color indexed="0"/>
      <name val="Arial"/>
      <family val="2"/>
    </font>
    <font>
      <b/>
      <i/>
      <sz val="10"/>
      <color indexed="0"/>
      <name val="Arial"/>
      <family val="2"/>
    </font>
    <font>
      <sz val="10"/>
      <name val="Calibri"/>
      <family val="2"/>
      <scheme val="minor"/>
    </font>
    <font>
      <sz val="10"/>
      <color indexed="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4D79B"/>
        <bgColor rgb="FFC4D79B"/>
      </patternFill>
    </fill>
    <fill>
      <patternFill patternType="solid">
        <fgColor rgb="FFB8CCE4"/>
        <bgColor rgb="FFB8CCE4"/>
      </patternFill>
    </fill>
    <fill>
      <patternFill patternType="solid">
        <fgColor rgb="FFDCDCDC"/>
        <bgColor rgb="FFDCDCDC"/>
      </patternFill>
    </fill>
    <fill>
      <patternFill patternType="solid">
        <fgColor rgb="FF6495ED"/>
        <bgColor rgb="FF6495ED"/>
      </patternFill>
    </fill>
    <fill>
      <patternFill patternType="solid">
        <fgColor rgb="FF808080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8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5" fillId="10" borderId="0" applyNumberFormat="0" applyBorder="0" applyAlignment="0" applyProtection="0"/>
    <xf numFmtId="0" fontId="36" fillId="27" borderId="29" applyNumberFormat="0" applyAlignment="0" applyProtection="0"/>
    <xf numFmtId="0" fontId="37" fillId="28" borderId="30" applyNumberFormat="0" applyAlignment="0" applyProtection="0"/>
    <xf numFmtId="0" fontId="38" fillId="0" borderId="0" applyNumberFormat="0" applyFill="0" applyBorder="0" applyAlignment="0" applyProtection="0"/>
    <xf numFmtId="173" fontId="52" fillId="0" borderId="0"/>
    <xf numFmtId="172" fontId="52" fillId="0" borderId="0"/>
    <xf numFmtId="171" fontId="52" fillId="0" borderId="0"/>
    <xf numFmtId="0" fontId="39" fillId="11" borderId="0" applyNumberFormat="0" applyBorder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0" fontId="42" fillId="0" borderId="33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29" applyNumberFormat="0" applyAlignment="0" applyProtection="0"/>
    <xf numFmtId="0" fontId="44" fillId="0" borderId="34" applyNumberFormat="0" applyFill="0" applyAlignment="0" applyProtection="0"/>
    <xf numFmtId="0" fontId="45" fillId="29" borderId="0" applyNumberFormat="0" applyBorder="0" applyAlignment="0" applyProtection="0"/>
    <xf numFmtId="0" fontId="52" fillId="0" borderId="0"/>
    <xf numFmtId="0" fontId="8" fillId="30" borderId="35" applyNumberFormat="0" applyFont="0" applyAlignment="0" applyProtection="0"/>
    <xf numFmtId="0" fontId="46" fillId="27" borderId="36" applyNumberFormat="0" applyAlignment="0" applyProtection="0"/>
    <xf numFmtId="0" fontId="50" fillId="0" borderId="0" applyNumberFormat="0" applyBorder="0" applyAlignment="0"/>
    <xf numFmtId="0" fontId="52" fillId="0" borderId="0"/>
    <xf numFmtId="0" fontId="51" fillId="0" borderId="0" applyNumberFormat="0" applyBorder="0" applyAlignment="0"/>
    <xf numFmtId="0" fontId="53" fillId="0" borderId="0"/>
    <xf numFmtId="0" fontId="54" fillId="0" borderId="0"/>
    <xf numFmtId="0" fontId="55" fillId="0" borderId="0"/>
    <xf numFmtId="0" fontId="47" fillId="0" borderId="0" applyNumberFormat="0" applyFill="0" applyBorder="0" applyAlignment="0" applyProtection="0"/>
    <xf numFmtId="0" fontId="48" fillId="0" borderId="37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5" fontId="62" fillId="0" borderId="0"/>
    <xf numFmtId="176" fontId="52" fillId="0" borderId="0"/>
    <xf numFmtId="176" fontId="62" fillId="0" borderId="0"/>
    <xf numFmtId="177" fontId="62" fillId="0" borderId="0"/>
    <xf numFmtId="178" fontId="52" fillId="0" borderId="0"/>
    <xf numFmtId="178" fontId="62" fillId="0" borderId="0"/>
    <xf numFmtId="179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62" fillId="0" borderId="0"/>
    <xf numFmtId="0" fontId="8" fillId="0" borderId="0"/>
    <xf numFmtId="0" fontId="58" fillId="0" borderId="0"/>
    <xf numFmtId="0" fontId="62" fillId="0" borderId="0"/>
    <xf numFmtId="0" fontId="5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65" fillId="33" borderId="40" applyNumberFormat="0" applyProtection="0">
      <alignment horizontal="left" vertical="center" indent="1"/>
    </xf>
    <xf numFmtId="0" fontId="62" fillId="0" borderId="0"/>
    <xf numFmtId="0" fontId="66" fillId="0" borderId="0"/>
    <xf numFmtId="0" fontId="67" fillId="0" borderId="0"/>
    <xf numFmtId="0" fontId="68" fillId="0" borderId="0"/>
    <xf numFmtId="43" fontId="5" fillId="0" borderId="0" applyFont="0" applyFill="0" applyBorder="0" applyAlignment="0" applyProtection="0"/>
    <xf numFmtId="176" fontId="62" fillId="0" borderId="0"/>
    <xf numFmtId="175" fontId="62" fillId="0" borderId="0"/>
    <xf numFmtId="178" fontId="62" fillId="0" borderId="0"/>
    <xf numFmtId="179" fontId="62" fillId="0" borderId="0"/>
    <xf numFmtId="0" fontId="69" fillId="0" borderId="0"/>
    <xf numFmtId="0" fontId="68" fillId="0" borderId="0"/>
    <xf numFmtId="0" fontId="70" fillId="0" borderId="0"/>
    <xf numFmtId="43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52" fillId="0" borderId="0"/>
    <xf numFmtId="43" fontId="4" fillId="0" borderId="0" applyFont="0" applyFill="0" applyBorder="0" applyAlignment="0" applyProtection="0"/>
    <xf numFmtId="0" fontId="72" fillId="0" borderId="0"/>
    <xf numFmtId="0" fontId="4" fillId="0" borderId="0"/>
    <xf numFmtId="175" fontId="52" fillId="0" borderId="0"/>
    <xf numFmtId="176" fontId="52" fillId="0" borderId="0"/>
    <xf numFmtId="177" fontId="52" fillId="0" borderId="0"/>
    <xf numFmtId="178" fontId="52" fillId="0" borderId="0"/>
    <xf numFmtId="179" fontId="52" fillId="0" borderId="0"/>
    <xf numFmtId="0" fontId="4" fillId="0" borderId="0"/>
    <xf numFmtId="0" fontId="52" fillId="0" borderId="0"/>
    <xf numFmtId="0" fontId="8" fillId="0" borderId="0"/>
    <xf numFmtId="0" fontId="52" fillId="0" borderId="0"/>
    <xf numFmtId="0" fontId="52" fillId="0" borderId="0"/>
    <xf numFmtId="9" fontId="4" fillId="0" borderId="0" applyFont="0" applyFill="0" applyBorder="0" applyAlignment="0" applyProtection="0"/>
    <xf numFmtId="0" fontId="52" fillId="0" borderId="0"/>
    <xf numFmtId="0" fontId="53" fillId="0" borderId="0"/>
    <xf numFmtId="0" fontId="54" fillId="0" borderId="0"/>
    <xf numFmtId="0" fontId="55" fillId="0" borderId="0"/>
    <xf numFmtId="43" fontId="4" fillId="0" borderId="0" applyFont="0" applyFill="0" applyBorder="0" applyAlignment="0" applyProtection="0"/>
    <xf numFmtId="176" fontId="52" fillId="0" borderId="0"/>
    <xf numFmtId="175" fontId="52" fillId="0" borderId="0"/>
    <xf numFmtId="178" fontId="52" fillId="0" borderId="0"/>
    <xf numFmtId="179" fontId="52" fillId="0" borderId="0"/>
    <xf numFmtId="0" fontId="55" fillId="0" borderId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0"/>
    <xf numFmtId="183" fontId="76" fillId="0" borderId="0" applyBorder="0" applyProtection="0"/>
    <xf numFmtId="184" fontId="76" fillId="0" borderId="0" applyBorder="0" applyProtection="0"/>
    <xf numFmtId="187" fontId="76" fillId="0" borderId="0" applyFont="0" applyFill="0" applyBorder="0" applyAlignment="0" applyProtection="0"/>
    <xf numFmtId="183" fontId="76" fillId="0" borderId="0" applyBorder="0" applyProtection="0"/>
    <xf numFmtId="0" fontId="2" fillId="0" borderId="0"/>
    <xf numFmtId="43" fontId="2" fillId="0" borderId="0" applyFont="0" applyFill="0" applyBorder="0" applyAlignment="0" applyProtection="0"/>
    <xf numFmtId="0" fontId="80" fillId="0" borderId="0"/>
    <xf numFmtId="9" fontId="2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1" fillId="0" borderId="0"/>
  </cellStyleXfs>
  <cellXfs count="527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166" fontId="0" fillId="0" borderId="0" xfId="0" applyNumberFormat="1" applyAlignment="1">
      <alignment horizontal="center"/>
    </xf>
    <xf numFmtId="0" fontId="0" fillId="0" borderId="0" xfId="0" applyFill="1"/>
    <xf numFmtId="0" fontId="13" fillId="2" borderId="9" xfId="0" applyFont="1" applyFill="1" applyBorder="1" applyAlignment="1">
      <alignment horizontal="right"/>
    </xf>
    <xf numFmtId="167" fontId="13" fillId="2" borderId="4" xfId="0" applyNumberFormat="1" applyFont="1" applyFill="1" applyBorder="1" applyAlignment="1">
      <alignment horizontal="center"/>
    </xf>
    <xf numFmtId="0" fontId="10" fillId="2" borderId="11" xfId="0" applyFont="1" applyFill="1" applyBorder="1"/>
    <xf numFmtId="165" fontId="0" fillId="0" borderId="0" xfId="1" applyNumberFormat="1" applyFont="1"/>
    <xf numFmtId="0" fontId="0" fillId="3" borderId="0" xfId="0" applyFill="1"/>
    <xf numFmtId="0" fontId="9" fillId="0" borderId="0" xfId="0" applyFont="1" applyAlignment="1">
      <alignment horizontal="right"/>
    </xf>
    <xf numFmtId="0" fontId="8" fillId="0" borderId="0" xfId="0" applyFont="1"/>
    <xf numFmtId="0" fontId="14" fillId="0" borderId="0" xfId="0" applyFo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/>
    <xf numFmtId="166" fontId="0" fillId="0" borderId="0" xfId="0" applyNumberFormat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0" fillId="6" borderId="6" xfId="0" applyFont="1" applyFill="1" applyBorder="1"/>
    <xf numFmtId="2" fontId="13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0" fillId="6" borderId="11" xfId="0" applyFont="1" applyFill="1" applyBorder="1"/>
    <xf numFmtId="167" fontId="13" fillId="0" borderId="1" xfId="0" applyNumberFormat="1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4" fontId="11" fillId="0" borderId="2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 horizontal="center"/>
    </xf>
    <xf numFmtId="0" fontId="19" fillId="0" borderId="0" xfId="0" applyFont="1"/>
    <xf numFmtId="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0" fontId="23" fillId="0" borderId="0" xfId="0" applyFont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164" fontId="23" fillId="0" borderId="0" xfId="3" applyNumberFormat="1" applyFont="1" applyAlignment="1">
      <alignment horizontal="center" vertical="center" wrapText="1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23" fillId="0" borderId="0" xfId="3" applyNumberFormat="1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wrapText="1"/>
    </xf>
    <xf numFmtId="164" fontId="26" fillId="0" borderId="0" xfId="3" applyNumberFormat="1" applyFont="1" applyAlignment="1">
      <alignment horizontal="center"/>
    </xf>
    <xf numFmtId="166" fontId="26" fillId="0" borderId="0" xfId="0" applyNumberFormat="1" applyFont="1"/>
    <xf numFmtId="0" fontId="26" fillId="0" borderId="0" xfId="0" applyFont="1"/>
    <xf numFmtId="0" fontId="24" fillId="0" borderId="0" xfId="0" applyFont="1" applyAlignment="1">
      <alignment horizontal="right" wrapText="1"/>
    </xf>
    <xf numFmtId="166" fontId="24" fillId="0" borderId="0" xfId="0" applyNumberFormat="1" applyFont="1"/>
    <xf numFmtId="164" fontId="24" fillId="0" borderId="0" xfId="3" applyNumberFormat="1" applyFont="1" applyAlignment="1">
      <alignment horizontal="center"/>
    </xf>
    <xf numFmtId="166" fontId="23" fillId="0" borderId="0" xfId="0" applyNumberFormat="1" applyFont="1" applyAlignment="1">
      <alignment horizontal="center" wrapText="1"/>
    </xf>
    <xf numFmtId="166" fontId="23" fillId="0" borderId="0" xfId="0" applyNumberFormat="1" applyFont="1" applyAlignment="1">
      <alignment wrapText="1"/>
    </xf>
    <xf numFmtId="2" fontId="9" fillId="0" borderId="20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10" xfId="0" applyNumberFormat="1" applyFill="1" applyBorder="1"/>
    <xf numFmtId="2" fontId="11" fillId="0" borderId="24" xfId="0" applyNumberFormat="1" applyFont="1" applyBorder="1" applyAlignment="1">
      <alignment horizontal="center"/>
    </xf>
    <xf numFmtId="2" fontId="14" fillId="0" borderId="0" xfId="0" applyNumberFormat="1" applyFont="1"/>
    <xf numFmtId="2" fontId="0" fillId="0" borderId="0" xfId="0" applyNumberFormat="1" applyFill="1"/>
    <xf numFmtId="166" fontId="23" fillId="0" borderId="0" xfId="0" applyNumberFormat="1" applyFont="1" applyAlignment="1">
      <alignment horizontal="center"/>
    </xf>
    <xf numFmtId="0" fontId="15" fillId="8" borderId="25" xfId="0" applyFont="1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2" fontId="0" fillId="8" borderId="27" xfId="0" applyNumberFormat="1" applyFill="1" applyBorder="1" applyAlignment="1">
      <alignment horizontal="centerContinuous"/>
    </xf>
    <xf numFmtId="0" fontId="22" fillId="0" borderId="0" xfId="0" applyFont="1"/>
    <xf numFmtId="0" fontId="28" fillId="0" borderId="0" xfId="0" applyFont="1" applyFill="1"/>
    <xf numFmtId="169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166" fontId="0" fillId="0" borderId="0" xfId="0" quotePrefix="1" applyNumberFormat="1" applyBorder="1"/>
    <xf numFmtId="166" fontId="9" fillId="0" borderId="0" xfId="0" quotePrefix="1" applyNumberFormat="1" applyFont="1" applyBorder="1"/>
    <xf numFmtId="166" fontId="31" fillId="0" borderId="0" xfId="0" quotePrefix="1" applyNumberFormat="1" applyFont="1" applyBorder="1"/>
    <xf numFmtId="0" fontId="12" fillId="0" borderId="5" xfId="0" applyFont="1" applyBorder="1" applyAlignment="1">
      <alignment horizontal="left"/>
    </xf>
    <xf numFmtId="166" fontId="0" fillId="0" borderId="5" xfId="0" applyNumberFormat="1" applyBorder="1"/>
    <xf numFmtId="166" fontId="9" fillId="0" borderId="5" xfId="0" quotePrefix="1" applyNumberFormat="1" applyFont="1" applyBorder="1"/>
    <xf numFmtId="0" fontId="12" fillId="0" borderId="0" xfId="0" applyFont="1" applyBorder="1" applyAlignment="1">
      <alignment horizontal="left"/>
    </xf>
    <xf numFmtId="166" fontId="0" fillId="0" borderId="0" xfId="0" applyNumberFormat="1" applyBorder="1"/>
    <xf numFmtId="0" fontId="12" fillId="0" borderId="5" xfId="0" applyFont="1" applyBorder="1"/>
    <xf numFmtId="0" fontId="0" fillId="0" borderId="0" xfId="0" applyAlignment="1">
      <alignment horizontal="right" wrapText="1"/>
    </xf>
    <xf numFmtId="166" fontId="9" fillId="0" borderId="28" xfId="0" quotePrefix="1" applyNumberFormat="1" applyFont="1" applyBorder="1"/>
    <xf numFmtId="164" fontId="32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5" applyFill="1"/>
    <xf numFmtId="0" fontId="8" fillId="0" borderId="0" xfId="5" applyFont="1" applyFill="1"/>
    <xf numFmtId="0" fontId="6" fillId="0" borderId="0" xfId="0" applyFont="1" applyBorder="1"/>
    <xf numFmtId="166" fontId="8" fillId="0" borderId="0" xfId="0" applyNumberFormat="1" applyFont="1" applyAlignment="1">
      <alignment horizontal="left"/>
    </xf>
    <xf numFmtId="166" fontId="8" fillId="0" borderId="0" xfId="0" quotePrefix="1" applyNumberFormat="1" applyFont="1" applyBorder="1" applyAlignment="1">
      <alignment horizontal="left"/>
    </xf>
    <xf numFmtId="1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wrapText="1"/>
    </xf>
    <xf numFmtId="166" fontId="25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0" fontId="11" fillId="0" borderId="8" xfId="0" applyFont="1" applyBorder="1"/>
    <xf numFmtId="0" fontId="11" fillId="0" borderId="6" xfId="0" applyFont="1" applyBorder="1" applyAlignment="1">
      <alignment horizontal="center"/>
    </xf>
    <xf numFmtId="0" fontId="11" fillId="5" borderId="8" xfId="0" applyFont="1" applyFill="1" applyBorder="1"/>
    <xf numFmtId="2" fontId="18" fillId="0" borderId="0" xfId="0" applyNumberFormat="1" applyFont="1"/>
    <xf numFmtId="166" fontId="9" fillId="3" borderId="5" xfId="0" quotePrefix="1" applyNumberFormat="1" applyFont="1" applyFill="1" applyBorder="1"/>
    <xf numFmtId="2" fontId="14" fillId="0" borderId="38" xfId="0" applyNumberFormat="1" applyFont="1" applyBorder="1"/>
    <xf numFmtId="170" fontId="14" fillId="0" borderId="0" xfId="2" applyNumberFormat="1" applyFont="1"/>
    <xf numFmtId="166" fontId="23" fillId="0" borderId="5" xfId="0" applyNumberFormat="1" applyFont="1" applyBorder="1" applyAlignment="1">
      <alignment horizontal="center"/>
    </xf>
    <xf numFmtId="2" fontId="23" fillId="0" borderId="0" xfId="0" applyNumberFormat="1" applyFont="1"/>
    <xf numFmtId="166" fontId="23" fillId="3" borderId="0" xfId="0" applyNumberFormat="1" applyFont="1" applyFill="1"/>
    <xf numFmtId="0" fontId="23" fillId="3" borderId="0" xfId="0" applyFont="1" applyFill="1"/>
    <xf numFmtId="1" fontId="23" fillId="0" borderId="0" xfId="0" applyNumberFormat="1" applyFont="1"/>
    <xf numFmtId="2" fontId="0" fillId="0" borderId="0" xfId="0" applyNumberFormat="1"/>
    <xf numFmtId="0" fontId="9" fillId="0" borderId="5" xfId="0" applyFont="1" applyBorder="1" applyAlignment="1">
      <alignment horizontal="center"/>
    </xf>
    <xf numFmtId="0" fontId="8" fillId="0" borderId="0" xfId="57" applyFont="1"/>
    <xf numFmtId="0" fontId="8" fillId="0" borderId="0" xfId="57"/>
    <xf numFmtId="0" fontId="9" fillId="0" borderId="0" xfId="57" applyFont="1" applyAlignment="1">
      <alignment horizontal="center"/>
    </xf>
    <xf numFmtId="0" fontId="9" fillId="0" borderId="0" xfId="57" applyFont="1" applyFill="1" applyAlignment="1">
      <alignment horizontal="center"/>
    </xf>
    <xf numFmtId="43" fontId="8" fillId="0" borderId="0" xfId="57" applyNumberFormat="1" applyFont="1"/>
    <xf numFmtId="174" fontId="8" fillId="0" borderId="0" xfId="57" applyNumberFormat="1" applyFont="1" applyAlignment="1">
      <alignment horizontal="center"/>
    </xf>
    <xf numFmtId="0" fontId="8" fillId="0" borderId="0" xfId="57" applyFont="1" applyFill="1"/>
    <xf numFmtId="43" fontId="9" fillId="0" borderId="0" xfId="57" applyNumberFormat="1" applyFont="1" applyFill="1" applyBorder="1" applyAlignment="1">
      <alignment horizontal="center"/>
    </xf>
    <xf numFmtId="174" fontId="8" fillId="0" borderId="0" xfId="57" applyNumberFormat="1" applyFont="1" applyFill="1" applyBorder="1" applyAlignment="1">
      <alignment horizontal="center"/>
    </xf>
    <xf numFmtId="41" fontId="8" fillId="2" borderId="0" xfId="58" applyNumberFormat="1" applyFont="1" applyFill="1" applyBorder="1"/>
    <xf numFmtId="1" fontId="59" fillId="0" borderId="0" xfId="57" applyNumberFormat="1" applyFont="1" applyFill="1" applyAlignment="1">
      <alignment horizontal="center"/>
    </xf>
    <xf numFmtId="174" fontId="9" fillId="0" borderId="5" xfId="57" applyNumberFormat="1" applyFont="1" applyFill="1" applyBorder="1" applyAlignment="1">
      <alignment horizontal="center"/>
    </xf>
    <xf numFmtId="174" fontId="8" fillId="0" borderId="0" xfId="57" applyNumberFormat="1" applyFont="1" applyFill="1" applyBorder="1" applyAlignment="1" applyProtection="1">
      <alignment horizontal="center"/>
      <protection locked="0"/>
    </xf>
    <xf numFmtId="0" fontId="9" fillId="0" borderId="5" xfId="57" applyFont="1" applyBorder="1"/>
    <xf numFmtId="0" fontId="9" fillId="0" borderId="0" xfId="57" applyFont="1"/>
    <xf numFmtId="49" fontId="8" fillId="0" borderId="0" xfId="57" applyNumberFormat="1" applyFont="1" applyFill="1"/>
    <xf numFmtId="49" fontId="8" fillId="31" borderId="39" xfId="57" applyNumberFormat="1" applyFont="1" applyFill="1" applyBorder="1"/>
    <xf numFmtId="41" fontId="8" fillId="0" borderId="0" xfId="57" applyNumberFormat="1" applyFont="1" applyFill="1"/>
    <xf numFmtId="41" fontId="8" fillId="0" borderId="0" xfId="57" applyNumberFormat="1"/>
    <xf numFmtId="41" fontId="8" fillId="32" borderId="0" xfId="58" applyNumberFormat="1" applyFont="1" applyFill="1" applyBorder="1"/>
    <xf numFmtId="43" fontId="8" fillId="0" borderId="0" xfId="57" applyNumberFormat="1" applyFont="1" applyFill="1"/>
    <xf numFmtId="41" fontId="8" fillId="32" borderId="0" xfId="57" applyNumberFormat="1" applyFont="1" applyFill="1" applyAlignment="1" applyProtection="1">
      <alignment horizontal="fill"/>
      <protection locked="0"/>
    </xf>
    <xf numFmtId="41" fontId="8" fillId="0" borderId="0" xfId="57" applyNumberFormat="1" applyFont="1" applyFill="1" applyAlignment="1" applyProtection="1">
      <alignment horizontal="fill"/>
      <protection locked="0"/>
    </xf>
    <xf numFmtId="41" fontId="9" fillId="32" borderId="3" xfId="57" applyNumberFormat="1" applyFont="1" applyFill="1" applyBorder="1"/>
    <xf numFmtId="41" fontId="9" fillId="0" borderId="3" xfId="57" applyNumberFormat="1" applyFont="1" applyFill="1" applyBorder="1"/>
    <xf numFmtId="0" fontId="8" fillId="0" borderId="0" xfId="57" applyNumberFormat="1" applyFont="1" applyFill="1" applyAlignment="1" applyProtection="1">
      <alignment horizontal="left"/>
      <protection locked="0"/>
    </xf>
    <xf numFmtId="43" fontId="60" fillId="0" borderId="0" xfId="57" applyNumberFormat="1" applyFont="1" applyFill="1"/>
    <xf numFmtId="49" fontId="8" fillId="0" borderId="0" xfId="57" applyNumberFormat="1" applyFont="1" applyFill="1" applyBorder="1"/>
    <xf numFmtId="0" fontId="8" fillId="0" borderId="0" xfId="57" applyFont="1" applyFill="1" applyBorder="1"/>
    <xf numFmtId="0" fontId="8" fillId="0" borderId="0" xfId="57" applyNumberFormat="1" applyFont="1" applyFill="1" applyBorder="1" applyAlignment="1" applyProtection="1">
      <alignment horizontal="left"/>
      <protection locked="0"/>
    </xf>
    <xf numFmtId="43" fontId="8" fillId="0" borderId="0" xfId="57" applyNumberFormat="1" applyFont="1" applyFill="1" applyBorder="1"/>
    <xf numFmtId="41" fontId="8" fillId="32" borderId="5" xfId="58" applyNumberFormat="1" applyFont="1" applyFill="1" applyBorder="1"/>
    <xf numFmtId="41" fontId="8" fillId="0" borderId="0" xfId="57" applyNumberFormat="1" applyFont="1" applyFill="1" applyBorder="1" applyAlignment="1" applyProtection="1">
      <alignment horizontal="fill"/>
      <protection locked="0"/>
    </xf>
    <xf numFmtId="41" fontId="8" fillId="0" borderId="0" xfId="57" applyNumberFormat="1" applyFont="1" applyFill="1" applyBorder="1"/>
    <xf numFmtId="41" fontId="8" fillId="0" borderId="3" xfId="57" applyNumberFormat="1" applyFont="1" applyFill="1" applyBorder="1"/>
    <xf numFmtId="165" fontId="8" fillId="0" borderId="0" xfId="57" applyNumberFormat="1" applyFont="1" applyFill="1"/>
    <xf numFmtId="165" fontId="8" fillId="32" borderId="0" xfId="58" applyNumberFormat="1" applyFont="1" applyFill="1" applyBorder="1"/>
    <xf numFmtId="43" fontId="61" fillId="0" borderId="0" xfId="57" applyNumberFormat="1" applyFont="1" applyFill="1"/>
    <xf numFmtId="10" fontId="8" fillId="0" borderId="0" xfId="57" applyNumberFormat="1" applyFont="1" applyFill="1"/>
    <xf numFmtId="10" fontId="8" fillId="0" borderId="0" xfId="57" applyNumberFormat="1" applyFont="1" applyFill="1" applyAlignment="1" applyProtection="1">
      <alignment horizontal="left"/>
      <protection locked="0"/>
    </xf>
    <xf numFmtId="10" fontId="8" fillId="32" borderId="0" xfId="59" applyNumberFormat="1" applyFont="1" applyFill="1" applyBorder="1"/>
    <xf numFmtId="10" fontId="8" fillId="0" borderId="0" xfId="57" applyNumberFormat="1" applyFont="1" applyFill="1" applyAlignment="1">
      <alignment horizontal="right"/>
    </xf>
    <xf numFmtId="41" fontId="8" fillId="32" borderId="7" xfId="57" applyNumberFormat="1" applyFont="1" applyFill="1" applyBorder="1"/>
    <xf numFmtId="41" fontId="8" fillId="0" borderId="7" xfId="57" applyNumberFormat="1" applyFont="1" applyFill="1" applyBorder="1"/>
    <xf numFmtId="164" fontId="8" fillId="0" borderId="0" xfId="57" applyNumberFormat="1" applyFont="1" applyFill="1"/>
    <xf numFmtId="41" fontId="8" fillId="32" borderId="3" xfId="57" applyNumberFormat="1" applyFont="1" applyFill="1" applyBorder="1"/>
    <xf numFmtId="164" fontId="8" fillId="32" borderId="0" xfId="57" applyNumberFormat="1" applyFont="1" applyFill="1"/>
    <xf numFmtId="41" fontId="8" fillId="32" borderId="3" xfId="57" applyNumberFormat="1" applyFont="1" applyFill="1" applyBorder="1" applyAlignment="1">
      <alignment horizontal="right"/>
    </xf>
    <xf numFmtId="41" fontId="8" fillId="0" borderId="3" xfId="57" applyNumberFormat="1" applyFont="1" applyFill="1" applyBorder="1" applyAlignment="1">
      <alignment horizontal="right"/>
    </xf>
    <xf numFmtId="41" fontId="8" fillId="32" borderId="0" xfId="57" applyNumberFormat="1" applyFont="1" applyFill="1"/>
    <xf numFmtId="174" fontId="8" fillId="0" borderId="0" xfId="57" applyNumberFormat="1" applyFont="1" applyFill="1" applyAlignment="1">
      <alignment horizontal="center"/>
    </xf>
    <xf numFmtId="164" fontId="8" fillId="32" borderId="0" xfId="59" applyNumberFormat="1" applyFont="1" applyFill="1"/>
    <xf numFmtId="164" fontId="8" fillId="0" borderId="0" xfId="59" applyNumberFormat="1" applyFont="1" applyFill="1"/>
    <xf numFmtId="10" fontId="61" fillId="0" borderId="0" xfId="59" applyNumberFormat="1" applyFont="1" applyFill="1"/>
    <xf numFmtId="41" fontId="8" fillId="32" borderId="7" xfId="58" applyNumberFormat="1" applyFont="1" applyFill="1" applyBorder="1" applyAlignment="1">
      <alignment horizontal="right"/>
    </xf>
    <xf numFmtId="41" fontId="8" fillId="0" borderId="7" xfId="58" applyNumberFormat="1" applyFont="1" applyFill="1" applyBorder="1" applyAlignment="1">
      <alignment horizontal="right"/>
    </xf>
    <xf numFmtId="41" fontId="8" fillId="0" borderId="7" xfId="58" applyNumberFormat="1" applyFont="1" applyFill="1" applyBorder="1"/>
    <xf numFmtId="38" fontId="8" fillId="0" borderId="0" xfId="57" applyNumberFormat="1" applyFont="1"/>
    <xf numFmtId="164" fontId="8" fillId="0" borderId="0" xfId="57" applyNumberFormat="1" applyFont="1"/>
    <xf numFmtId="0" fontId="9" fillId="0" borderId="0" xfId="57" applyFont="1" applyAlignment="1">
      <alignment horizontal="center"/>
    </xf>
    <xf numFmtId="0" fontId="9" fillId="0" borderId="0" xfId="57" applyFont="1" applyFill="1" applyAlignment="1">
      <alignment horizontal="center"/>
    </xf>
    <xf numFmtId="43" fontId="8" fillId="0" borderId="0" xfId="1" applyFont="1" applyFill="1"/>
    <xf numFmtId="165" fontId="8" fillId="0" borderId="0" xfId="1" applyNumberFormat="1" applyFont="1" applyFill="1"/>
    <xf numFmtId="180" fontId="8" fillId="0" borderId="0" xfId="57" applyNumberFormat="1" applyFont="1" applyFill="1"/>
    <xf numFmtId="0" fontId="52" fillId="0" borderId="0" xfId="139"/>
    <xf numFmtId="175" fontId="52" fillId="0" borderId="0" xfId="175"/>
    <xf numFmtId="175" fontId="52" fillId="4" borderId="0" xfId="175" applyFill="1"/>
    <xf numFmtId="0" fontId="9" fillId="32" borderId="0" xfId="139" applyFont="1" applyFill="1" applyBorder="1" applyAlignment="1">
      <alignment horizontal="center"/>
    </xf>
    <xf numFmtId="49" fontId="55" fillId="0" borderId="5" xfId="175" quotePrefix="1" applyNumberFormat="1" applyFont="1" applyBorder="1" applyAlignment="1">
      <alignment horizontal="center"/>
    </xf>
    <xf numFmtId="49" fontId="55" fillId="4" borderId="5" xfId="175" applyNumberFormat="1" applyFont="1" applyFill="1" applyBorder="1" applyAlignment="1">
      <alignment horizontal="center"/>
    </xf>
    <xf numFmtId="0" fontId="9" fillId="32" borderId="5" xfId="139" applyFont="1" applyFill="1" applyBorder="1" applyAlignment="1">
      <alignment horizontal="center"/>
    </xf>
    <xf numFmtId="0" fontId="52" fillId="32" borderId="0" xfId="139" applyFill="1"/>
    <xf numFmtId="0" fontId="55" fillId="0" borderId="0" xfId="139" applyFont="1"/>
    <xf numFmtId="175" fontId="55" fillId="0" borderId="0" xfId="175" applyFont="1"/>
    <xf numFmtId="175" fontId="55" fillId="4" borderId="0" xfId="175" applyFont="1" applyFill="1"/>
    <xf numFmtId="164" fontId="52" fillId="32" borderId="0" xfId="139" applyNumberFormat="1" applyFill="1"/>
    <xf numFmtId="0" fontId="9" fillId="0" borderId="0" xfId="139" applyFont="1" applyAlignment="1">
      <alignment horizontal="left"/>
    </xf>
    <xf numFmtId="165" fontId="52" fillId="0" borderId="0" xfId="176" applyNumberFormat="1" applyFont="1"/>
    <xf numFmtId="165" fontId="52" fillId="4" borderId="0" xfId="176" applyNumberFormat="1" applyFont="1" applyFill="1"/>
    <xf numFmtId="165" fontId="52" fillId="32" borderId="0" xfId="176" applyNumberFormat="1" applyFont="1" applyFill="1"/>
    <xf numFmtId="165" fontId="52" fillId="32" borderId="0" xfId="139" applyNumberFormat="1" applyFill="1"/>
    <xf numFmtId="10" fontId="52" fillId="32" borderId="0" xfId="3" applyNumberFormat="1" applyFont="1" applyFill="1"/>
    <xf numFmtId="0" fontId="52" fillId="0" borderId="0" xfId="139" applyAlignment="1">
      <alignment horizontal="left"/>
    </xf>
    <xf numFmtId="49" fontId="52" fillId="0" borderId="0" xfId="175" applyNumberFormat="1" applyAlignment="1">
      <alignment horizontal="fill"/>
    </xf>
    <xf numFmtId="49" fontId="52" fillId="4" borderId="0" xfId="175" applyNumberFormat="1" applyFill="1" applyAlignment="1">
      <alignment horizontal="fill"/>
    </xf>
    <xf numFmtId="49" fontId="52" fillId="32" borderId="0" xfId="175" applyNumberFormat="1" applyFill="1" applyAlignment="1">
      <alignment horizontal="fill"/>
    </xf>
    <xf numFmtId="10" fontId="52" fillId="32" borderId="0" xfId="175" applyNumberFormat="1" applyFill="1" applyAlignment="1">
      <alignment horizontal="fill"/>
    </xf>
    <xf numFmtId="0" fontId="55" fillId="0" borderId="0" xfId="139" applyFont="1" applyAlignment="1">
      <alignment horizontal="left"/>
    </xf>
    <xf numFmtId="165" fontId="55" fillId="0" borderId="0" xfId="176" applyNumberFormat="1" applyFont="1"/>
    <xf numFmtId="165" fontId="55" fillId="4" borderId="0" xfId="176" applyNumberFormat="1" applyFont="1" applyFill="1"/>
    <xf numFmtId="165" fontId="55" fillId="32" borderId="0" xfId="176" applyNumberFormat="1" applyFont="1" applyFill="1"/>
    <xf numFmtId="10" fontId="52" fillId="32" borderId="0" xfId="139" applyNumberFormat="1" applyFill="1"/>
    <xf numFmtId="0" fontId="9" fillId="0" borderId="0" xfId="139" applyFont="1"/>
    <xf numFmtId="165" fontId="71" fillId="0" borderId="0" xfId="176" applyNumberFormat="1" applyFont="1"/>
    <xf numFmtId="0" fontId="52" fillId="0" borderId="0" xfId="139" applyFill="1"/>
    <xf numFmtId="175" fontId="52" fillId="0" borderId="0" xfId="175" applyFill="1"/>
    <xf numFmtId="165" fontId="52" fillId="0" borderId="0" xfId="139" applyNumberFormat="1"/>
    <xf numFmtId="165" fontId="71" fillId="0" borderId="7" xfId="176" applyNumberFormat="1" applyFont="1" applyBorder="1"/>
    <xf numFmtId="49" fontId="54" fillId="0" borderId="0" xfId="175" applyNumberFormat="1" applyFont="1" applyAlignment="1">
      <alignment horizontal="right"/>
    </xf>
    <xf numFmtId="165" fontId="8" fillId="0" borderId="0" xfId="1" applyNumberFormat="1" applyFont="1"/>
    <xf numFmtId="165" fontId="8" fillId="0" borderId="0" xfId="57" applyNumberFormat="1" applyFont="1"/>
    <xf numFmtId="0" fontId="52" fillId="0" borderId="0" xfId="139" applyFill="1" applyAlignment="1">
      <alignment horizontal="left"/>
    </xf>
    <xf numFmtId="43" fontId="0" fillId="0" borderId="0" xfId="1" applyFont="1"/>
    <xf numFmtId="43" fontId="8" fillId="0" borderId="0" xfId="1" applyFont="1"/>
    <xf numFmtId="164" fontId="0" fillId="0" borderId="0" xfId="3" applyNumberFormat="1" applyFont="1"/>
    <xf numFmtId="10" fontId="8" fillId="0" borderId="0" xfId="57" applyNumberFormat="1" applyFont="1" applyFill="1" applyBorder="1" applyAlignment="1">
      <alignment horizontal="right"/>
    </xf>
    <xf numFmtId="43" fontId="52" fillId="0" borderId="0" xfId="1" applyFont="1"/>
    <xf numFmtId="170" fontId="0" fillId="0" borderId="0" xfId="2" applyNumberFormat="1" applyFont="1"/>
    <xf numFmtId="42" fontId="0" fillId="0" borderId="0" xfId="0" applyNumberFormat="1"/>
    <xf numFmtId="42" fontId="0" fillId="0" borderId="5" xfId="0" applyNumberFormat="1" applyBorder="1"/>
    <xf numFmtId="0" fontId="0" fillId="0" borderId="5" xfId="0" applyBorder="1"/>
    <xf numFmtId="170" fontId="0" fillId="0" borderId="5" xfId="2" applyNumberFormat="1" applyFont="1" applyBorder="1"/>
    <xf numFmtId="164" fontId="0" fillId="0" borderId="5" xfId="3" applyNumberFormat="1" applyFont="1" applyBorder="1"/>
    <xf numFmtId="41" fontId="0" fillId="0" borderId="0" xfId="0" applyNumberFormat="1"/>
    <xf numFmtId="41" fontId="0" fillId="0" borderId="5" xfId="0" applyNumberFormat="1" applyBorder="1"/>
    <xf numFmtId="0" fontId="9" fillId="0" borderId="5" xfId="0" applyFont="1" applyBorder="1"/>
    <xf numFmtId="0" fontId="9" fillId="0" borderId="28" xfId="0" applyFont="1" applyBorder="1"/>
    <xf numFmtId="0" fontId="0" fillId="0" borderId="28" xfId="0" applyBorder="1"/>
    <xf numFmtId="42" fontId="0" fillId="0" borderId="28" xfId="0" applyNumberFormat="1" applyBorder="1"/>
    <xf numFmtId="170" fontId="0" fillId="0" borderId="28" xfId="2" applyNumberFormat="1" applyFont="1" applyBorder="1"/>
    <xf numFmtId="164" fontId="0" fillId="0" borderId="28" xfId="3" applyNumberFormat="1" applyFont="1" applyBorder="1"/>
    <xf numFmtId="165" fontId="60" fillId="0" borderId="5" xfId="1" applyNumberFormat="1" applyFont="1" applyFill="1" applyBorder="1" applyAlignment="1">
      <alignment horizontal="center"/>
    </xf>
    <xf numFmtId="0" fontId="74" fillId="0" borderId="0" xfId="201" applyFont="1" applyAlignment="1">
      <alignment horizontal="centerContinuous"/>
    </xf>
    <xf numFmtId="0" fontId="3" fillId="0" borderId="0" xfId="201" applyAlignment="1">
      <alignment horizontal="centerContinuous"/>
    </xf>
    <xf numFmtId="43" fontId="0" fillId="0" borderId="0" xfId="202" applyFont="1" applyAlignment="1">
      <alignment horizontal="centerContinuous"/>
    </xf>
    <xf numFmtId="0" fontId="3" fillId="0" borderId="0" xfId="201"/>
    <xf numFmtId="182" fontId="75" fillId="0" borderId="0" xfId="201" applyNumberFormat="1" applyFont="1"/>
    <xf numFmtId="43" fontId="0" fillId="0" borderId="0" xfId="202" applyFont="1"/>
    <xf numFmtId="0" fontId="3" fillId="0" borderId="0" xfId="201" applyAlignment="1">
      <alignment horizontal="center"/>
    </xf>
    <xf numFmtId="43" fontId="74" fillId="0" borderId="0" xfId="202" applyNumberFormat="1" applyFont="1" applyAlignment="1">
      <alignment horizontal="center"/>
    </xf>
    <xf numFmtId="43" fontId="3" fillId="0" borderId="0" xfId="201" applyNumberFormat="1" applyAlignment="1">
      <alignment horizontal="center"/>
    </xf>
    <xf numFmtId="174" fontId="74" fillId="0" borderId="5" xfId="202" applyNumberFormat="1" applyFont="1" applyBorder="1" applyAlignment="1">
      <alignment horizontal="center"/>
    </xf>
    <xf numFmtId="0" fontId="74" fillId="0" borderId="0" xfId="201" applyFont="1"/>
    <xf numFmtId="0" fontId="74" fillId="0" borderId="0" xfId="201" applyFont="1" applyAlignment="1">
      <alignment horizontal="left"/>
    </xf>
    <xf numFmtId="0" fontId="3" fillId="0" borderId="0" xfId="201" applyAlignment="1">
      <alignment horizontal="left" indent="1"/>
    </xf>
    <xf numFmtId="165" fontId="0" fillId="0" borderId="0" xfId="202" applyNumberFormat="1" applyFont="1"/>
    <xf numFmtId="165" fontId="3" fillId="0" borderId="0" xfId="201" applyNumberFormat="1"/>
    <xf numFmtId="43" fontId="0" fillId="0" borderId="0" xfId="202" applyNumberFormat="1" applyFont="1"/>
    <xf numFmtId="43" fontId="3" fillId="0" borderId="0" xfId="201" applyNumberFormat="1"/>
    <xf numFmtId="165" fontId="0" fillId="0" borderId="3" xfId="202" applyNumberFormat="1" applyFont="1" applyBorder="1"/>
    <xf numFmtId="165" fontId="0" fillId="0" borderId="0" xfId="202" applyNumberFormat="1" applyFont="1" applyBorder="1"/>
    <xf numFmtId="0" fontId="3" fillId="0" borderId="0" xfId="201" applyAlignment="1">
      <alignment horizontal="left"/>
    </xf>
    <xf numFmtId="164" fontId="0" fillId="0" borderId="0" xfId="203" applyNumberFormat="1" applyFont="1" applyBorder="1"/>
    <xf numFmtId="164" fontId="0" fillId="0" borderId="0" xfId="203" applyNumberFormat="1" applyFont="1"/>
    <xf numFmtId="165" fontId="74" fillId="0" borderId="0" xfId="202" applyNumberFormat="1" applyFont="1"/>
    <xf numFmtId="165" fontId="74" fillId="0" borderId="0" xfId="201" applyNumberFormat="1" applyFont="1"/>
    <xf numFmtId="165" fontId="74" fillId="0" borderId="2" xfId="202" applyNumberFormat="1" applyFont="1" applyBorder="1"/>
    <xf numFmtId="0" fontId="76" fillId="0" borderId="0" xfId="204"/>
    <xf numFmtId="183" fontId="0" fillId="34" borderId="0" xfId="205" applyFont="1" applyFill="1" applyAlignment="1" applyProtection="1"/>
    <xf numFmtId="184" fontId="0" fillId="34" borderId="0" xfId="206" applyFont="1" applyFill="1" applyAlignment="1" applyProtection="1"/>
    <xf numFmtId="0" fontId="76" fillId="34" borderId="0" xfId="204" applyFill="1" applyAlignment="1">
      <alignment horizontal="center"/>
    </xf>
    <xf numFmtId="183" fontId="0" fillId="35" borderId="0" xfId="205" applyFont="1" applyFill="1" applyAlignment="1" applyProtection="1"/>
    <xf numFmtId="184" fontId="0" fillId="35" borderId="0" xfId="206" applyFont="1" applyFill="1" applyAlignment="1" applyProtection="1"/>
    <xf numFmtId="0" fontId="76" fillId="35" borderId="0" xfId="204" applyFill="1" applyAlignment="1">
      <alignment horizontal="center"/>
    </xf>
    <xf numFmtId="49" fontId="78" fillId="34" borderId="45" xfId="205" applyNumberFormat="1" applyFont="1" applyFill="1" applyBorder="1" applyAlignment="1" applyProtection="1">
      <alignment horizontal="left"/>
    </xf>
    <xf numFmtId="183" fontId="78" fillId="34" borderId="46" xfId="205" applyFont="1" applyFill="1" applyBorder="1" applyAlignment="1" applyProtection="1">
      <alignment horizontal="left"/>
    </xf>
    <xf numFmtId="184" fontId="78" fillId="34" borderId="47" xfId="206" applyFont="1" applyFill="1" applyBorder="1" applyAlignment="1" applyProtection="1">
      <alignment horizontal="left"/>
    </xf>
    <xf numFmtId="49" fontId="78" fillId="35" borderId="45" xfId="205" applyNumberFormat="1" applyFont="1" applyFill="1" applyBorder="1" applyAlignment="1" applyProtection="1">
      <alignment horizontal="left"/>
    </xf>
    <xf numFmtId="183" fontId="78" fillId="35" borderId="46" xfId="205" applyFont="1" applyFill="1" applyBorder="1" applyAlignment="1" applyProtection="1">
      <alignment horizontal="left"/>
    </xf>
    <xf numFmtId="184" fontId="78" fillId="35" borderId="47" xfId="206" applyFont="1" applyFill="1" applyBorder="1" applyAlignment="1" applyProtection="1">
      <alignment horizontal="left"/>
    </xf>
    <xf numFmtId="49" fontId="0" fillId="34" borderId="48" xfId="205" applyNumberFormat="1" applyFont="1" applyFill="1" applyBorder="1" applyAlignment="1" applyProtection="1">
      <alignment horizontal="center"/>
    </xf>
    <xf numFmtId="49" fontId="0" fillId="34" borderId="45" xfId="205" applyNumberFormat="1" applyFont="1" applyFill="1" applyBorder="1" applyAlignment="1" applyProtection="1">
      <alignment horizontal="left"/>
    </xf>
    <xf numFmtId="184" fontId="0" fillId="34" borderId="47" xfId="206" applyFont="1" applyFill="1" applyBorder="1" applyAlignment="1" applyProtection="1">
      <alignment horizontal="left"/>
    </xf>
    <xf numFmtId="49" fontId="0" fillId="35" borderId="48" xfId="205" applyNumberFormat="1" applyFont="1" applyFill="1" applyBorder="1" applyAlignment="1" applyProtection="1">
      <alignment horizontal="center"/>
    </xf>
    <xf numFmtId="49" fontId="0" fillId="35" borderId="45" xfId="205" applyNumberFormat="1" applyFont="1" applyFill="1" applyBorder="1" applyAlignment="1" applyProtection="1">
      <alignment horizontal="left"/>
    </xf>
    <xf numFmtId="184" fontId="0" fillId="35" borderId="47" xfId="206" applyFont="1" applyFill="1" applyBorder="1" applyAlignment="1" applyProtection="1">
      <alignment horizontal="left"/>
    </xf>
    <xf numFmtId="185" fontId="0" fillId="34" borderId="0" xfId="205" applyNumberFormat="1" applyFont="1" applyFill="1" applyAlignment="1" applyProtection="1"/>
    <xf numFmtId="186" fontId="0" fillId="34" borderId="0" xfId="206" applyNumberFormat="1" applyFont="1" applyFill="1" applyAlignment="1" applyProtection="1"/>
    <xf numFmtId="185" fontId="0" fillId="35" borderId="0" xfId="205" applyNumberFormat="1" applyFont="1" applyFill="1" applyAlignment="1" applyProtection="1"/>
    <xf numFmtId="186" fontId="0" fillId="35" borderId="0" xfId="206" applyNumberFormat="1" applyFont="1" applyFill="1" applyAlignment="1" applyProtection="1"/>
    <xf numFmtId="49" fontId="0" fillId="34" borderId="0" xfId="205" applyNumberFormat="1" applyFont="1" applyFill="1" applyAlignment="1" applyProtection="1">
      <alignment horizontal="fill"/>
    </xf>
    <xf numFmtId="49" fontId="0" fillId="35" borderId="0" xfId="205" applyNumberFormat="1" applyFont="1" applyFill="1" applyAlignment="1" applyProtection="1">
      <alignment horizontal="fill"/>
    </xf>
    <xf numFmtId="0" fontId="78" fillId="0" borderId="0" xfId="204" applyFont="1" applyAlignment="1">
      <alignment horizontal="center"/>
    </xf>
    <xf numFmtId="187" fontId="0" fillId="0" borderId="0" xfId="207" applyFont="1"/>
    <xf numFmtId="43" fontId="76" fillId="0" borderId="0" xfId="202" applyFont="1"/>
    <xf numFmtId="185" fontId="76" fillId="0" borderId="0" xfId="204" applyNumberFormat="1"/>
    <xf numFmtId="0" fontId="76" fillId="34" borderId="0" xfId="204" applyFill="1"/>
    <xf numFmtId="0" fontId="76" fillId="35" borderId="0" xfId="204" applyFill="1"/>
    <xf numFmtId="0" fontId="76" fillId="0" borderId="0" xfId="204" applyFill="1" applyAlignment="1">
      <alignment horizontal="center"/>
    </xf>
    <xf numFmtId="183" fontId="0" fillId="0" borderId="0" xfId="208" applyFont="1" applyFill="1" applyAlignment="1" applyProtection="1"/>
    <xf numFmtId="184" fontId="0" fillId="0" borderId="0" xfId="206" applyFont="1" applyFill="1" applyAlignment="1" applyProtection="1"/>
    <xf numFmtId="0" fontId="76" fillId="0" borderId="49" xfId="204" applyFill="1" applyBorder="1" applyAlignment="1">
      <alignment horizontal="center"/>
    </xf>
    <xf numFmtId="183" fontId="0" fillId="0" borderId="49" xfId="208" applyFont="1" applyFill="1" applyBorder="1" applyAlignment="1" applyProtection="1"/>
    <xf numFmtId="187" fontId="0" fillId="0" borderId="0" xfId="207" applyFont="1" applyFill="1"/>
    <xf numFmtId="165" fontId="3" fillId="0" borderId="0" xfId="1" applyNumberFormat="1" applyFont="1"/>
    <xf numFmtId="165" fontId="3" fillId="0" borderId="51" xfId="1" applyNumberFormat="1" applyFont="1" applyBorder="1"/>
    <xf numFmtId="165" fontId="3" fillId="0" borderId="52" xfId="1" applyNumberFormat="1" applyFont="1" applyBorder="1"/>
    <xf numFmtId="165" fontId="3" fillId="0" borderId="39" xfId="1" applyNumberFormat="1" applyFont="1" applyBorder="1"/>
    <xf numFmtId="165" fontId="3" fillId="0" borderId="50" xfId="201" applyNumberFormat="1" applyBorder="1"/>
    <xf numFmtId="165" fontId="3" fillId="0" borderId="50" xfId="1" applyNumberFormat="1" applyFont="1" applyBorder="1"/>
    <xf numFmtId="0" fontId="74" fillId="3" borderId="50" xfId="201" applyFont="1" applyFill="1" applyBorder="1"/>
    <xf numFmtId="165" fontId="3" fillId="3" borderId="50" xfId="201" applyNumberFormat="1" applyFill="1" applyBorder="1"/>
    <xf numFmtId="165" fontId="3" fillId="0" borderId="5" xfId="1" applyNumberFormat="1" applyFont="1" applyBorder="1"/>
    <xf numFmtId="168" fontId="0" fillId="0" borderId="21" xfId="0" applyNumberFormat="1" applyBorder="1" applyAlignment="1">
      <alignment horizontal="center"/>
    </xf>
    <xf numFmtId="10" fontId="3" fillId="0" borderId="51" xfId="3" applyNumberFormat="1" applyFont="1" applyBorder="1"/>
    <xf numFmtId="10" fontId="3" fillId="0" borderId="52" xfId="3" applyNumberFormat="1" applyFont="1" applyBorder="1"/>
    <xf numFmtId="10" fontId="3" fillId="0" borderId="39" xfId="3" applyNumberFormat="1" applyFont="1" applyBorder="1"/>
    <xf numFmtId="10" fontId="3" fillId="0" borderId="50" xfId="3" applyNumberFormat="1" applyFont="1" applyBorder="1"/>
    <xf numFmtId="2" fontId="0" fillId="3" borderId="0" xfId="0" applyNumberFormat="1" applyFill="1"/>
    <xf numFmtId="10" fontId="3" fillId="0" borderId="0" xfId="201" applyNumberFormat="1"/>
    <xf numFmtId="10" fontId="3" fillId="0" borderId="50" xfId="201" applyNumberFormat="1" applyBorder="1"/>
    <xf numFmtId="0" fontId="8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43" fontId="0" fillId="0" borderId="0" xfId="0" applyNumberFormat="1"/>
    <xf numFmtId="43" fontId="0" fillId="0" borderId="7" xfId="1" applyFont="1" applyBorder="1"/>
    <xf numFmtId="43" fontId="0" fillId="0" borderId="7" xfId="0" applyNumberFormat="1" applyBorder="1"/>
    <xf numFmtId="165" fontId="3" fillId="0" borderId="0" xfId="1" applyNumberFormat="1" applyFont="1" applyFill="1"/>
    <xf numFmtId="0" fontId="3" fillId="0" borderId="50" xfId="201" applyFill="1" applyBorder="1"/>
    <xf numFmtId="43" fontId="3" fillId="0" borderId="50" xfId="201" applyNumberFormat="1" applyBorder="1"/>
    <xf numFmtId="0" fontId="76" fillId="0" borderId="0" xfId="204" applyAlignment="1">
      <alignment horizontal="center"/>
    </xf>
    <xf numFmtId="39" fontId="76" fillId="0" borderId="0" xfId="1" applyNumberFormat="1" applyFont="1" applyAlignment="1">
      <alignment horizontal="center"/>
    </xf>
    <xf numFmtId="43" fontId="76" fillId="0" borderId="0" xfId="204" applyNumberFormat="1"/>
    <xf numFmtId="168" fontId="14" fillId="0" borderId="0" xfId="0" applyNumberFormat="1" applyFont="1" applyAlignment="1">
      <alignment horizontal="center"/>
    </xf>
    <xf numFmtId="168" fontId="18" fillId="0" borderId="0" xfId="0" applyNumberFormat="1" applyFont="1"/>
    <xf numFmtId="168" fontId="19" fillId="0" borderId="0" xfId="0" applyNumberFormat="1" applyFont="1"/>
    <xf numFmtId="43" fontId="9" fillId="4" borderId="0" xfId="1" applyFont="1" applyFill="1"/>
    <xf numFmtId="0" fontId="74" fillId="0" borderId="0" xfId="209" applyFont="1" applyAlignment="1">
      <alignment horizontal="center"/>
    </xf>
    <xf numFmtId="43" fontId="0" fillId="0" borderId="0" xfId="210" applyFont="1" applyAlignment="1">
      <alignment horizontal="center"/>
    </xf>
    <xf numFmtId="0" fontId="2" fillId="0" borderId="0" xfId="209"/>
    <xf numFmtId="43" fontId="74" fillId="0" borderId="0" xfId="210" applyFont="1" applyAlignment="1">
      <alignment horizontal="center"/>
    </xf>
    <xf numFmtId="188" fontId="74" fillId="0" borderId="5" xfId="210" applyNumberFormat="1" applyFont="1" applyBorder="1" applyAlignment="1">
      <alignment horizontal="center"/>
    </xf>
    <xf numFmtId="0" fontId="74" fillId="0" borderId="0" xfId="209" applyFont="1"/>
    <xf numFmtId="43" fontId="0" fillId="0" borderId="0" xfId="210" applyFont="1"/>
    <xf numFmtId="43" fontId="2" fillId="0" borderId="0" xfId="209" applyNumberFormat="1"/>
    <xf numFmtId="43" fontId="2" fillId="0" borderId="0" xfId="210" applyFont="1" applyBorder="1" applyAlignment="1">
      <alignment horizontal="center"/>
    </xf>
    <xf numFmtId="0" fontId="2" fillId="0" borderId="0" xfId="209" applyFont="1"/>
    <xf numFmtId="43" fontId="74" fillId="0" borderId="3" xfId="210" applyFont="1" applyBorder="1" applyAlignment="1">
      <alignment horizontal="center"/>
    </xf>
    <xf numFmtId="43" fontId="2" fillId="0" borderId="5" xfId="210" applyFont="1" applyBorder="1" applyAlignment="1">
      <alignment horizontal="center"/>
    </xf>
    <xf numFmtId="43" fontId="0" fillId="0" borderId="0" xfId="210" applyFont="1" applyBorder="1" applyAlignment="1">
      <alignment horizontal="center"/>
    </xf>
    <xf numFmtId="43" fontId="74" fillId="0" borderId="7" xfId="210" applyFont="1" applyBorder="1" applyAlignment="1">
      <alignment horizontal="center"/>
    </xf>
    <xf numFmtId="0" fontId="81" fillId="0" borderId="0" xfId="211" applyFont="1" applyFill="1" applyBorder="1"/>
    <xf numFmtId="0" fontId="84" fillId="36" borderId="48" xfId="211" applyNumberFormat="1" applyFont="1" applyFill="1" applyBorder="1" applyAlignment="1">
      <alignment horizontal="center" vertical="center" wrapText="1" readingOrder="1"/>
    </xf>
    <xf numFmtId="0" fontId="76" fillId="0" borderId="0" xfId="211" applyNumberFormat="1" applyFont="1" applyFill="1" applyBorder="1" applyAlignment="1">
      <alignment vertical="top" wrapText="1" readingOrder="1"/>
    </xf>
    <xf numFmtId="0" fontId="76" fillId="0" borderId="0" xfId="211" applyNumberFormat="1" applyFont="1" applyFill="1" applyBorder="1" applyAlignment="1">
      <alignment horizontal="center" vertical="top" wrapText="1" readingOrder="1"/>
    </xf>
    <xf numFmtId="0" fontId="86" fillId="0" borderId="0" xfId="211" applyNumberFormat="1" applyFont="1" applyFill="1" applyBorder="1" applyAlignment="1">
      <alignment vertical="top" wrapText="1" readingOrder="1"/>
    </xf>
    <xf numFmtId="0" fontId="87" fillId="0" borderId="0" xfId="211" applyNumberFormat="1" applyFont="1" applyFill="1" applyBorder="1" applyAlignment="1">
      <alignment vertical="top" wrapText="1" readingOrder="1"/>
    </xf>
    <xf numFmtId="0" fontId="84" fillId="0" borderId="0" xfId="211" applyNumberFormat="1" applyFont="1" applyFill="1" applyBorder="1" applyAlignment="1">
      <alignment horizontal="left" vertical="top" wrapText="1" readingOrder="1"/>
    </xf>
    <xf numFmtId="0" fontId="88" fillId="0" borderId="0" xfId="211" applyNumberFormat="1" applyFont="1" applyFill="1" applyBorder="1" applyAlignment="1">
      <alignment vertical="top" wrapText="1" readingOrder="1"/>
    </xf>
    <xf numFmtId="189" fontId="88" fillId="0" borderId="0" xfId="211" applyNumberFormat="1" applyFont="1" applyFill="1" applyBorder="1" applyAlignment="1">
      <alignment horizontal="left" vertical="top" wrapText="1" readingOrder="1"/>
    </xf>
    <xf numFmtId="0" fontId="88" fillId="0" borderId="0" xfId="211" applyNumberFormat="1" applyFont="1" applyFill="1" applyBorder="1" applyAlignment="1">
      <alignment horizontal="center" vertical="top" wrapText="1" readingOrder="1"/>
    </xf>
    <xf numFmtId="190" fontId="88" fillId="0" borderId="0" xfId="211" applyNumberFormat="1" applyFont="1" applyFill="1" applyBorder="1" applyAlignment="1">
      <alignment horizontal="right" vertical="top" wrapText="1" readingOrder="1"/>
    </xf>
    <xf numFmtId="0" fontId="88" fillId="0" borderId="0" xfId="211" applyNumberFormat="1" applyFont="1" applyFill="1" applyBorder="1" applyAlignment="1">
      <alignment horizontal="right" vertical="top" wrapText="1" readingOrder="1"/>
    </xf>
    <xf numFmtId="0" fontId="84" fillId="36" borderId="0" xfId="211" applyNumberFormat="1" applyFont="1" applyFill="1" applyBorder="1" applyAlignment="1">
      <alignment horizontal="center" vertical="center" wrapText="1" readingOrder="1"/>
    </xf>
    <xf numFmtId="190" fontId="84" fillId="36" borderId="0" xfId="211" applyNumberFormat="1" applyFont="1" applyFill="1" applyBorder="1" applyAlignment="1">
      <alignment horizontal="right" vertical="center" wrapText="1" readingOrder="1"/>
    </xf>
    <xf numFmtId="0" fontId="84" fillId="36" borderId="0" xfId="211" applyNumberFormat="1" applyFont="1" applyFill="1" applyBorder="1" applyAlignment="1">
      <alignment horizontal="right" vertical="center" wrapText="1" readingOrder="1"/>
    </xf>
    <xf numFmtId="0" fontId="84" fillId="37" borderId="0" xfId="211" applyNumberFormat="1" applyFont="1" applyFill="1" applyBorder="1" applyAlignment="1">
      <alignment horizontal="center" vertical="center" wrapText="1" readingOrder="1"/>
    </xf>
    <xf numFmtId="190" fontId="84" fillId="37" borderId="0" xfId="211" applyNumberFormat="1" applyFont="1" applyFill="1" applyBorder="1" applyAlignment="1">
      <alignment horizontal="right" vertical="center" wrapText="1" readingOrder="1"/>
    </xf>
    <xf numFmtId="0" fontId="84" fillId="37" borderId="0" xfId="211" applyNumberFormat="1" applyFont="1" applyFill="1" applyBorder="1" applyAlignment="1">
      <alignment horizontal="right" vertical="center" wrapText="1" readingOrder="1"/>
    </xf>
    <xf numFmtId="0" fontId="84" fillId="0" borderId="0" xfId="211" applyNumberFormat="1" applyFont="1" applyFill="1" applyBorder="1" applyAlignment="1">
      <alignment horizontal="center" vertical="center" wrapText="1" readingOrder="1"/>
    </xf>
    <xf numFmtId="0" fontId="84" fillId="0" borderId="0" xfId="211" applyNumberFormat="1" applyFont="1" applyFill="1" applyBorder="1" applyAlignment="1">
      <alignment horizontal="right" vertical="center" wrapText="1" readingOrder="1"/>
    </xf>
    <xf numFmtId="0" fontId="88" fillId="0" borderId="0" xfId="211" applyNumberFormat="1" applyFont="1" applyFill="1" applyBorder="1" applyAlignment="1">
      <alignment horizontal="left" vertical="top" wrapText="1" readingOrder="1"/>
    </xf>
    <xf numFmtId="0" fontId="76" fillId="38" borderId="0" xfId="211" applyNumberFormat="1" applyFont="1" applyFill="1" applyBorder="1" applyAlignment="1">
      <alignment horizontal="center" vertical="center" wrapText="1" readingOrder="1"/>
    </xf>
    <xf numFmtId="0" fontId="84" fillId="38" borderId="0" xfId="211" applyNumberFormat="1" applyFont="1" applyFill="1" applyBorder="1" applyAlignment="1">
      <alignment horizontal="center" vertical="center" wrapText="1" readingOrder="1"/>
    </xf>
    <xf numFmtId="190" fontId="84" fillId="38" borderId="0" xfId="211" applyNumberFormat="1" applyFont="1" applyFill="1" applyBorder="1" applyAlignment="1">
      <alignment horizontal="right" vertical="center" wrapText="1" readingOrder="1"/>
    </xf>
    <xf numFmtId="0" fontId="84" fillId="38" borderId="0" xfId="211" applyNumberFormat="1" applyFont="1" applyFill="1" applyBorder="1" applyAlignment="1">
      <alignment horizontal="right" vertical="center" wrapText="1" readingOrder="1"/>
    </xf>
    <xf numFmtId="43" fontId="2" fillId="0" borderId="0" xfId="1" applyFont="1"/>
    <xf numFmtId="43" fontId="2" fillId="4" borderId="0" xfId="1" applyFont="1" applyFill="1"/>
    <xf numFmtId="43" fontId="2" fillId="3" borderId="0" xfId="1" applyFont="1" applyFill="1"/>
    <xf numFmtId="9" fontId="2" fillId="0" borderId="0" xfId="3" applyFont="1"/>
    <xf numFmtId="10" fontId="2" fillId="0" borderId="0" xfId="3" applyNumberFormat="1" applyFont="1"/>
    <xf numFmtId="43" fontId="2" fillId="0" borderId="0" xfId="209" applyNumberFormat="1" applyFont="1"/>
    <xf numFmtId="10" fontId="2" fillId="4" borderId="0" xfId="3" applyNumberFormat="1" applyFont="1" applyFill="1"/>
    <xf numFmtId="10" fontId="74" fillId="4" borderId="0" xfId="209" applyNumberFormat="1" applyFont="1" applyFill="1"/>
    <xf numFmtId="43" fontId="74" fillId="0" borderId="0" xfId="1" applyFont="1"/>
    <xf numFmtId="0" fontId="2" fillId="4" borderId="0" xfId="209" applyFill="1"/>
    <xf numFmtId="43" fontId="74" fillId="4" borderId="0" xfId="1" applyFont="1" applyFill="1"/>
    <xf numFmtId="0" fontId="2" fillId="0" borderId="0" xfId="209" applyBorder="1"/>
    <xf numFmtId="0" fontId="74" fillId="0" borderId="0" xfId="209" applyFont="1" applyAlignment="1"/>
    <xf numFmtId="0" fontId="2" fillId="0" borderId="0" xfId="209" applyFill="1" applyBorder="1"/>
    <xf numFmtId="165" fontId="0" fillId="0" borderId="0" xfId="210" applyNumberFormat="1" applyFont="1" applyBorder="1"/>
    <xf numFmtId="165" fontId="0" fillId="0" borderId="0" xfId="210" applyNumberFormat="1" applyFont="1" applyFill="1" applyBorder="1"/>
    <xf numFmtId="165" fontId="0" fillId="7" borderId="0" xfId="210" applyNumberFormat="1" applyFont="1" applyFill="1" applyBorder="1"/>
    <xf numFmtId="14" fontId="74" fillId="0" borderId="0" xfId="209" applyNumberFormat="1" applyFont="1" applyAlignment="1">
      <alignment horizontal="center"/>
    </xf>
    <xf numFmtId="165" fontId="0" fillId="0" borderId="6" xfId="210" applyNumberFormat="1" applyFont="1" applyBorder="1"/>
    <xf numFmtId="165" fontId="2" fillId="0" borderId="0" xfId="209" applyNumberFormat="1" applyBorder="1"/>
    <xf numFmtId="43" fontId="2" fillId="0" borderId="0" xfId="209" applyNumberFormat="1" applyBorder="1"/>
    <xf numFmtId="0" fontId="2" fillId="0" borderId="0" xfId="209" applyFill="1" applyBorder="1" applyAlignment="1">
      <alignment horizontal="left"/>
    </xf>
    <xf numFmtId="0" fontId="2" fillId="0" borderId="0" xfId="209" applyFill="1" applyBorder="1" applyAlignment="1">
      <alignment horizontal="right"/>
    </xf>
    <xf numFmtId="181" fontId="0" fillId="7" borderId="0" xfId="210" applyNumberFormat="1" applyFont="1" applyFill="1" applyBorder="1"/>
    <xf numFmtId="43" fontId="0" fillId="0" borderId="0" xfId="210" applyFont="1" applyFill="1" applyBorder="1"/>
    <xf numFmtId="0" fontId="74" fillId="0" borderId="41" xfId="209" applyFont="1" applyBorder="1" applyAlignment="1">
      <alignment horizontal="center"/>
    </xf>
    <xf numFmtId="0" fontId="74" fillId="39" borderId="41" xfId="209" applyFont="1" applyFill="1" applyBorder="1" applyAlignment="1">
      <alignment horizontal="center"/>
    </xf>
    <xf numFmtId="0" fontId="2" fillId="0" borderId="41" xfId="209" applyBorder="1"/>
    <xf numFmtId="0" fontId="74" fillId="0" borderId="61" xfId="209" applyFont="1" applyBorder="1" applyAlignment="1">
      <alignment horizontal="center"/>
    </xf>
    <xf numFmtId="0" fontId="2" fillId="0" borderId="61" xfId="209" applyBorder="1"/>
    <xf numFmtId="165" fontId="2" fillId="0" borderId="7" xfId="209" applyNumberFormat="1" applyBorder="1"/>
    <xf numFmtId="14" fontId="74" fillId="0" borderId="61" xfId="209" applyNumberFormat="1" applyFont="1" applyBorder="1" applyAlignment="1">
      <alignment horizontal="center"/>
    </xf>
    <xf numFmtId="0" fontId="74" fillId="0" borderId="0" xfId="209" applyFont="1" applyBorder="1" applyAlignment="1">
      <alignment horizontal="center"/>
    </xf>
    <xf numFmtId="0" fontId="74" fillId="0" borderId="62" xfId="209" applyFont="1" applyFill="1" applyBorder="1" applyAlignment="1">
      <alignment horizontal="center"/>
    </xf>
    <xf numFmtId="2" fontId="74" fillId="0" borderId="62" xfId="212" applyNumberFormat="1" applyFont="1" applyBorder="1" applyAlignment="1">
      <alignment horizontal="center"/>
    </xf>
    <xf numFmtId="0" fontId="74" fillId="0" borderId="62" xfId="209" applyFont="1" applyBorder="1" applyAlignment="1">
      <alignment horizontal="center"/>
    </xf>
    <xf numFmtId="0" fontId="2" fillId="0" borderId="0" xfId="209" applyAlignment="1">
      <alignment horizontal="left"/>
    </xf>
    <xf numFmtId="165" fontId="0" fillId="40" borderId="0" xfId="210" applyNumberFormat="1" applyFont="1" applyFill="1"/>
    <xf numFmtId="165" fontId="0" fillId="0" borderId="0" xfId="210" applyNumberFormat="1" applyFont="1"/>
    <xf numFmtId="165" fontId="2" fillId="0" borderId="0" xfId="209" applyNumberFormat="1"/>
    <xf numFmtId="9" fontId="0" fillId="0" borderId="0" xfId="212" applyFont="1" applyBorder="1"/>
    <xf numFmtId="0" fontId="2" fillId="0" borderId="0" xfId="209" applyFill="1"/>
    <xf numFmtId="165" fontId="2" fillId="0" borderId="0" xfId="209" applyNumberFormat="1" applyFont="1"/>
    <xf numFmtId="9" fontId="0" fillId="40" borderId="0" xfId="212" applyFont="1" applyFill="1"/>
    <xf numFmtId="9" fontId="2" fillId="0" borderId="0" xfId="209" applyNumberFormat="1" applyBorder="1"/>
    <xf numFmtId="0" fontId="2" fillId="3" borderId="53" xfId="209" applyFill="1" applyBorder="1"/>
    <xf numFmtId="0" fontId="2" fillId="3" borderId="54" xfId="209" quotePrefix="1" applyFill="1" applyBorder="1" applyAlignment="1">
      <alignment horizontal="center"/>
    </xf>
    <xf numFmtId="165" fontId="2" fillId="3" borderId="55" xfId="209" applyNumberFormat="1" applyFill="1" applyBorder="1"/>
    <xf numFmtId="43" fontId="0" fillId="0" borderId="0" xfId="210" applyFont="1" applyBorder="1"/>
    <xf numFmtId="0" fontId="2" fillId="3" borderId="56" xfId="209" applyFill="1" applyBorder="1"/>
    <xf numFmtId="0" fontId="2" fillId="3" borderId="0" xfId="209" applyFill="1" applyBorder="1"/>
    <xf numFmtId="165" fontId="2" fillId="3" borderId="57" xfId="209" applyNumberFormat="1" applyFill="1" applyBorder="1"/>
    <xf numFmtId="0" fontId="2" fillId="3" borderId="58" xfId="209" applyFill="1" applyBorder="1"/>
    <xf numFmtId="0" fontId="2" fillId="3" borderId="59" xfId="209" applyFill="1" applyBorder="1"/>
    <xf numFmtId="165" fontId="2" fillId="3" borderId="63" xfId="209" applyNumberFormat="1" applyFill="1" applyBorder="1"/>
    <xf numFmtId="0" fontId="2" fillId="4" borderId="0" xfId="209" applyFont="1" applyFill="1"/>
    <xf numFmtId="0" fontId="74" fillId="4" borderId="0" xfId="209" applyFont="1" applyFill="1"/>
    <xf numFmtId="0" fontId="1" fillId="0" borderId="0" xfId="209" applyFont="1"/>
    <xf numFmtId="10" fontId="1" fillId="0" borderId="0" xfId="3" applyNumberFormat="1" applyFont="1"/>
    <xf numFmtId="43" fontId="2" fillId="4" borderId="50" xfId="1" applyFont="1" applyFill="1" applyBorder="1"/>
    <xf numFmtId="0" fontId="1" fillId="0" borderId="0" xfId="216"/>
    <xf numFmtId="0" fontId="90" fillId="0" borderId="0" xfId="216" applyFont="1"/>
    <xf numFmtId="43" fontId="90" fillId="0" borderId="0" xfId="216" applyNumberFormat="1" applyFont="1"/>
    <xf numFmtId="43" fontId="1" fillId="0" borderId="0" xfId="216" applyNumberFormat="1"/>
    <xf numFmtId="0" fontId="91" fillId="0" borderId="64" xfId="216" applyFont="1" applyBorder="1" applyAlignment="1">
      <alignment horizontal="center" vertical="center" wrapText="1"/>
    </xf>
    <xf numFmtId="0" fontId="91" fillId="0" borderId="64" xfId="216" quotePrefix="1" applyFont="1" applyBorder="1"/>
    <xf numFmtId="0" fontId="91" fillId="0" borderId="64" xfId="216" applyFont="1" applyBorder="1"/>
    <xf numFmtId="192" fontId="91" fillId="0" borderId="64" xfId="216" applyNumberFormat="1" applyFont="1" applyBorder="1"/>
    <xf numFmtId="193" fontId="91" fillId="0" borderId="64" xfId="216" applyNumberFormat="1" applyFont="1" applyBorder="1"/>
    <xf numFmtId="4" fontId="91" fillId="0" borderId="64" xfId="216" applyNumberFormat="1" applyFont="1" applyBorder="1"/>
    <xf numFmtId="194" fontId="91" fillId="0" borderId="64" xfId="216" applyNumberFormat="1" applyFont="1" applyBorder="1"/>
    <xf numFmtId="0" fontId="91" fillId="0" borderId="0" xfId="216" applyFont="1"/>
    <xf numFmtId="0" fontId="90" fillId="0" borderId="64" xfId="216" quotePrefix="1" applyFont="1" applyBorder="1"/>
    <xf numFmtId="194" fontId="1" fillId="0" borderId="0" xfId="216" applyNumberFormat="1"/>
    <xf numFmtId="2" fontId="14" fillId="0" borderId="0" xfId="0" applyNumberFormat="1" applyFont="1" applyBorder="1"/>
    <xf numFmtId="0" fontId="11" fillId="0" borderId="4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9" fontId="53" fillId="0" borderId="0" xfId="175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9" fillId="0" borderId="0" xfId="57" applyFont="1" applyAlignment="1">
      <alignment horizontal="center"/>
    </xf>
    <xf numFmtId="0" fontId="9" fillId="0" borderId="0" xfId="57" applyFont="1" applyFill="1" applyAlignment="1">
      <alignment horizontal="center"/>
    </xf>
    <xf numFmtId="0" fontId="9" fillId="0" borderId="0" xfId="57" quotePrefix="1" applyFont="1" applyFill="1" applyAlignment="1">
      <alignment horizontal="center"/>
    </xf>
    <xf numFmtId="43" fontId="74" fillId="0" borderId="0" xfId="210" applyFont="1" applyAlignment="1">
      <alignment horizontal="center"/>
    </xf>
    <xf numFmtId="0" fontId="81" fillId="0" borderId="0" xfId="211" applyFont="1" applyFill="1" applyBorder="1"/>
    <xf numFmtId="0" fontId="82" fillId="0" borderId="0" xfId="211" applyNumberFormat="1" applyFont="1" applyFill="1" applyBorder="1" applyAlignment="1">
      <alignment horizontal="right" vertical="top" wrapText="1" readingOrder="1"/>
    </xf>
    <xf numFmtId="0" fontId="83" fillId="0" borderId="0" xfId="211" applyNumberFormat="1" applyFont="1" applyFill="1" applyBorder="1" applyAlignment="1">
      <alignment horizontal="center" vertical="top" wrapText="1" readingOrder="1"/>
    </xf>
    <xf numFmtId="0" fontId="84" fillId="0" borderId="0" xfId="211" applyNumberFormat="1" applyFont="1" applyFill="1" applyBorder="1" applyAlignment="1">
      <alignment vertical="top" wrapText="1" readingOrder="1"/>
    </xf>
    <xf numFmtId="0" fontId="86" fillId="0" borderId="0" xfId="211" applyNumberFormat="1" applyFont="1" applyFill="1" applyBorder="1" applyAlignment="1">
      <alignment vertical="top" wrapText="1" readingOrder="1"/>
    </xf>
    <xf numFmtId="0" fontId="87" fillId="0" borderId="0" xfId="211" applyNumberFormat="1" applyFont="1" applyFill="1" applyBorder="1" applyAlignment="1">
      <alignment vertical="top" wrapText="1" readingOrder="1"/>
    </xf>
    <xf numFmtId="0" fontId="84" fillId="36" borderId="48" xfId="211" applyNumberFormat="1" applyFont="1" applyFill="1" applyBorder="1" applyAlignment="1">
      <alignment horizontal="center" vertical="center" wrapText="1" readingOrder="1"/>
    </xf>
    <xf numFmtId="0" fontId="81" fillId="0" borderId="46" xfId="211" applyNumberFormat="1" applyFont="1" applyFill="1" applyBorder="1" applyAlignment="1">
      <alignment vertical="top" wrapText="1"/>
    </xf>
    <xf numFmtId="0" fontId="81" fillId="0" borderId="47" xfId="211" applyNumberFormat="1" applyFont="1" applyFill="1" applyBorder="1" applyAlignment="1">
      <alignment vertical="top" wrapText="1"/>
    </xf>
    <xf numFmtId="0" fontId="76" fillId="0" borderId="0" xfId="211" applyNumberFormat="1" applyFont="1" applyFill="1" applyBorder="1" applyAlignment="1">
      <alignment vertical="top" wrapText="1" readingOrder="1"/>
    </xf>
    <xf numFmtId="0" fontId="85" fillId="0" borderId="0" xfId="211" applyNumberFormat="1" applyFont="1" applyFill="1" applyBorder="1" applyAlignment="1">
      <alignment horizontal="center" vertical="top" wrapText="1" readingOrder="1"/>
    </xf>
    <xf numFmtId="189" fontId="88" fillId="0" borderId="0" xfId="211" applyNumberFormat="1" applyFont="1" applyFill="1" applyBorder="1" applyAlignment="1">
      <alignment horizontal="left" vertical="top" wrapText="1" readingOrder="1"/>
    </xf>
    <xf numFmtId="0" fontId="88" fillId="0" borderId="0" xfId="211" applyNumberFormat="1" applyFont="1" applyFill="1" applyBorder="1" applyAlignment="1">
      <alignment vertical="top" wrapText="1" readingOrder="1"/>
    </xf>
    <xf numFmtId="190" fontId="88" fillId="0" borderId="0" xfId="211" applyNumberFormat="1" applyFont="1" applyFill="1" applyBorder="1" applyAlignment="1">
      <alignment horizontal="right" vertical="top" wrapText="1" readingOrder="1"/>
    </xf>
    <xf numFmtId="0" fontId="84" fillId="36" borderId="0" xfId="211" applyNumberFormat="1" applyFont="1" applyFill="1" applyBorder="1" applyAlignment="1">
      <alignment horizontal="center" vertical="center" wrapText="1" readingOrder="1"/>
    </xf>
    <xf numFmtId="0" fontId="84" fillId="36" borderId="0" xfId="211" applyNumberFormat="1" applyFont="1" applyFill="1" applyBorder="1" applyAlignment="1">
      <alignment horizontal="left" vertical="center" wrapText="1" readingOrder="1"/>
    </xf>
    <xf numFmtId="190" fontId="84" fillId="36" borderId="0" xfId="211" applyNumberFormat="1" applyFont="1" applyFill="1" applyBorder="1" applyAlignment="1">
      <alignment horizontal="right" vertical="center" wrapText="1" readingOrder="1"/>
    </xf>
    <xf numFmtId="0" fontId="84" fillId="0" borderId="0" xfId="211" applyNumberFormat="1" applyFont="1" applyFill="1" applyBorder="1" applyAlignment="1">
      <alignment horizontal="left" vertical="top" wrapText="1" readingOrder="1"/>
    </xf>
    <xf numFmtId="0" fontId="84" fillId="0" borderId="0" xfId="211" applyNumberFormat="1" applyFont="1" applyFill="1" applyBorder="1" applyAlignment="1">
      <alignment horizontal="right" vertical="center" wrapText="1" readingOrder="1"/>
    </xf>
    <xf numFmtId="0" fontId="84" fillId="37" borderId="0" xfId="211" applyNumberFormat="1" applyFont="1" applyFill="1" applyBorder="1" applyAlignment="1">
      <alignment horizontal="center" vertical="center" wrapText="1" readingOrder="1"/>
    </xf>
    <xf numFmtId="0" fontId="84" fillId="37" borderId="0" xfId="211" applyNumberFormat="1" applyFont="1" applyFill="1" applyBorder="1" applyAlignment="1">
      <alignment horizontal="left" vertical="center" wrapText="1" readingOrder="1"/>
    </xf>
    <xf numFmtId="190" fontId="84" fillId="37" borderId="0" xfId="211" applyNumberFormat="1" applyFont="1" applyFill="1" applyBorder="1" applyAlignment="1">
      <alignment horizontal="right" vertical="center" wrapText="1" readingOrder="1"/>
    </xf>
    <xf numFmtId="0" fontId="84" fillId="0" borderId="0" xfId="211" applyNumberFormat="1" applyFont="1" applyFill="1" applyBorder="1" applyAlignment="1">
      <alignment horizontal="center" vertical="center" wrapText="1" readingOrder="1"/>
    </xf>
    <xf numFmtId="0" fontId="84" fillId="0" borderId="0" xfId="211" applyNumberFormat="1" applyFont="1" applyFill="1" applyBorder="1" applyAlignment="1">
      <alignment horizontal="left" vertical="center" wrapText="1" readingOrder="1"/>
    </xf>
    <xf numFmtId="191" fontId="88" fillId="0" borderId="0" xfId="211" applyNumberFormat="1" applyFont="1" applyFill="1" applyBorder="1" applyAlignment="1">
      <alignment horizontal="center" vertical="top" wrapText="1" readingOrder="1"/>
    </xf>
    <xf numFmtId="0" fontId="76" fillId="38" borderId="0" xfId="211" applyNumberFormat="1" applyFont="1" applyFill="1" applyBorder="1" applyAlignment="1">
      <alignment horizontal="center" vertical="center" wrapText="1" readingOrder="1"/>
    </xf>
    <xf numFmtId="0" fontId="84" fillId="38" borderId="0" xfId="211" applyNumberFormat="1" applyFont="1" applyFill="1" applyBorder="1" applyAlignment="1">
      <alignment horizontal="right" vertical="center" wrapText="1" readingOrder="1"/>
    </xf>
    <xf numFmtId="0" fontId="84" fillId="38" borderId="0" xfId="211" applyNumberFormat="1" applyFont="1" applyFill="1" applyBorder="1" applyAlignment="1">
      <alignment horizontal="center" vertical="center" wrapText="1" readingOrder="1"/>
    </xf>
    <xf numFmtId="190" fontId="84" fillId="38" borderId="0" xfId="211" applyNumberFormat="1" applyFont="1" applyFill="1" applyBorder="1" applyAlignment="1">
      <alignment horizontal="right" vertical="center" wrapText="1" readingOrder="1"/>
    </xf>
    <xf numFmtId="0" fontId="18" fillId="0" borderId="0" xfId="216" applyFont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7" fillId="8" borderId="17" xfId="0" applyFont="1" applyFill="1" applyBorder="1" applyAlignment="1"/>
    <xf numFmtId="0" fontId="16" fillId="8" borderId="19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7" fillId="8" borderId="20" xfId="0" applyFont="1" applyFill="1" applyBorder="1" applyAlignment="1"/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3" fontId="74" fillId="4" borderId="42" xfId="202" applyFont="1" applyFill="1" applyBorder="1" applyAlignment="1">
      <alignment horizontal="center"/>
    </xf>
    <xf numFmtId="43" fontId="74" fillId="4" borderId="43" xfId="202" applyFont="1" applyFill="1" applyBorder="1" applyAlignment="1">
      <alignment horizontal="center"/>
    </xf>
    <xf numFmtId="43" fontId="74" fillId="4" borderId="44" xfId="202" applyFont="1" applyFill="1" applyBorder="1" applyAlignment="1">
      <alignment horizontal="center"/>
    </xf>
    <xf numFmtId="0" fontId="79" fillId="3" borderId="53" xfId="201" applyFont="1" applyFill="1" applyBorder="1" applyAlignment="1">
      <alignment horizontal="center" vertical="center" wrapText="1"/>
    </xf>
    <xf numFmtId="0" fontId="79" fillId="3" borderId="54" xfId="201" applyFont="1" applyFill="1" applyBorder="1" applyAlignment="1">
      <alignment horizontal="center" vertical="center" wrapText="1"/>
    </xf>
    <xf numFmtId="0" fontId="79" fillId="3" borderId="55" xfId="201" applyFont="1" applyFill="1" applyBorder="1" applyAlignment="1">
      <alignment horizontal="center" vertical="center" wrapText="1"/>
    </xf>
    <xf numFmtId="0" fontId="79" fillId="3" borderId="56" xfId="201" applyFont="1" applyFill="1" applyBorder="1" applyAlignment="1">
      <alignment horizontal="center" vertical="center" wrapText="1"/>
    </xf>
    <xf numFmtId="0" fontId="79" fillId="3" borderId="0" xfId="201" applyFont="1" applyFill="1" applyBorder="1" applyAlignment="1">
      <alignment horizontal="center" vertical="center" wrapText="1"/>
    </xf>
    <xf numFmtId="0" fontId="79" fillId="3" borderId="57" xfId="201" applyFont="1" applyFill="1" applyBorder="1" applyAlignment="1">
      <alignment horizontal="center" vertical="center" wrapText="1"/>
    </xf>
    <xf numFmtId="0" fontId="79" fillId="3" borderId="58" xfId="201" applyFont="1" applyFill="1" applyBorder="1" applyAlignment="1">
      <alignment horizontal="center" vertical="center" wrapText="1"/>
    </xf>
    <xf numFmtId="0" fontId="79" fillId="3" borderId="59" xfId="201" applyFont="1" applyFill="1" applyBorder="1" applyAlignment="1">
      <alignment horizontal="center" vertical="center" wrapText="1"/>
    </xf>
    <xf numFmtId="0" fontId="79" fillId="3" borderId="60" xfId="201" applyFont="1" applyFill="1" applyBorder="1" applyAlignment="1">
      <alignment horizontal="center" vertical="center" wrapText="1"/>
    </xf>
    <xf numFmtId="0" fontId="77" fillId="34" borderId="0" xfId="204" applyFont="1" applyFill="1" applyAlignment="1">
      <alignment horizontal="center"/>
    </xf>
    <xf numFmtId="0" fontId="77" fillId="35" borderId="0" xfId="204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</cellXfs>
  <cellStyles count="21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10" xfId="176"/>
    <cellStyle name="Comma 11" xfId="202"/>
    <cellStyle name="Comma 12" xfId="210"/>
    <cellStyle name="Comma 13" xfId="214"/>
    <cellStyle name="Comma 2" xfId="60"/>
    <cellStyle name="Comma 2 2" xfId="61"/>
    <cellStyle name="Comma 2 2 2" xfId="58"/>
    <cellStyle name="Comma 2 2 3" xfId="62"/>
    <cellStyle name="Comma 2 2 3 2" xfId="63"/>
    <cellStyle name="Comma 2 2 4" xfId="64"/>
    <cellStyle name="Comma 2 3" xfId="65"/>
    <cellStyle name="Comma 2 4" xfId="66"/>
    <cellStyle name="Comma 2 5" xfId="207"/>
    <cellStyle name="Comma 3" xfId="67"/>
    <cellStyle name="Comma 4" xfId="68"/>
    <cellStyle name="Comma 5" xfId="69"/>
    <cellStyle name="Comma 6" xfId="70"/>
    <cellStyle name="Comma 7" xfId="71"/>
    <cellStyle name="Comma 7 2" xfId="173"/>
    <cellStyle name="Comma 8" xfId="72"/>
    <cellStyle name="Comma 9" xfId="165"/>
    <cellStyle name="Comma 9 2" xfId="194"/>
    <cellStyle name="Currency" xfId="2" builtinId="4"/>
    <cellStyle name="Currency 2" xfId="73"/>
    <cellStyle name="Currency 3" xfId="74"/>
    <cellStyle name="Explanatory Text 2" xfId="33"/>
    <cellStyle name="FRxAmtStyle" xfId="34"/>
    <cellStyle name="FRxAmtStyle 2" xfId="75"/>
    <cellStyle name="FRxAmtStyle 2 2" xfId="166"/>
    <cellStyle name="FRxAmtStyle 2 2 2" xfId="195"/>
    <cellStyle name="FRxAmtStyle 2 3" xfId="179"/>
    <cellStyle name="FRxAmtStyle 3" xfId="76"/>
    <cellStyle name="FRxAmtStyle 4" xfId="77"/>
    <cellStyle name="FRxAmtStyle 4 2" xfId="180"/>
    <cellStyle name="FRxAmtStyle 5" xfId="167"/>
    <cellStyle name="FRxAmtStyle 5 2" xfId="196"/>
    <cellStyle name="FRxAmtStyle 5 3" xfId="208"/>
    <cellStyle name="FRxAmtStyle 6" xfId="175"/>
    <cellStyle name="FRxAmtStyle 6 2" xfId="205"/>
    <cellStyle name="FRxCurrStyle" xfId="35"/>
    <cellStyle name="FRxCurrStyle 2" xfId="78"/>
    <cellStyle name="FRxCurrStyle 2 2" xfId="168"/>
    <cellStyle name="FRxCurrStyle 2 2 2" xfId="197"/>
    <cellStyle name="FRxCurrStyle 2 3" xfId="181"/>
    <cellStyle name="FRxCurrStyle 3" xfId="79"/>
    <cellStyle name="FRxCurrStyle 4" xfId="80"/>
    <cellStyle name="FRxCurrStyle 4 2" xfId="182"/>
    <cellStyle name="FRxPcntStyle" xfId="36"/>
    <cellStyle name="FRxPcntStyle 2" xfId="81"/>
    <cellStyle name="FRxPcntStyle 2 2" xfId="183"/>
    <cellStyle name="FRxPcntStyle 3" xfId="169"/>
    <cellStyle name="FRxPcntStyle 3 2" xfId="198"/>
    <cellStyle name="FRxPcntStyle 4" xfId="20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0" xfId="82"/>
    <cellStyle name="Normal 10 2" xfId="83"/>
    <cellStyle name="Normal 11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4"/>
    <cellStyle name="Normal 2 10" xfId="93"/>
    <cellStyle name="Normal 2 2" xfId="45"/>
    <cellStyle name="Normal 2 2 2" xfId="57"/>
    <cellStyle name="Normal 2 2 2 2" xfId="94"/>
    <cellStyle name="Normal 2 3" xfId="95"/>
    <cellStyle name="Normal 2 3 2" xfId="184"/>
    <cellStyle name="Normal 2 4" xfId="178"/>
    <cellStyle name="Normal 2 5" xfId="204"/>
    <cellStyle name="Normal 2_Consolidated  Budge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5"/>
    <cellStyle name="Normal 3 2" xfId="107"/>
    <cellStyle name="Normal 3 3" xfId="108"/>
    <cellStyle name="Normal 3_Consolidated  Budget" xfId="109"/>
    <cellStyle name="Normal 30" xfId="110"/>
    <cellStyle name="Normal 31" xfId="111"/>
    <cellStyle name="Normal 32" xfId="112"/>
    <cellStyle name="Normal 33" xfId="113"/>
    <cellStyle name="Normal 34" xfId="114"/>
    <cellStyle name="Normal 35" xfId="115"/>
    <cellStyle name="Normal 36" xfId="116"/>
    <cellStyle name="Normal 37" xfId="117"/>
    <cellStyle name="Normal 38" xfId="118"/>
    <cellStyle name="Normal 39" xfId="119"/>
    <cellStyle name="Normal 4" xfId="120"/>
    <cellStyle name="Normal 40" xfId="121"/>
    <cellStyle name="Normal 41" xfId="122"/>
    <cellStyle name="Normal 42" xfId="123"/>
    <cellStyle name="Normal 43" xfId="124"/>
    <cellStyle name="Normal 44" xfId="125"/>
    <cellStyle name="Normal 45" xfId="126"/>
    <cellStyle name="Normal 46" xfId="127"/>
    <cellStyle name="Normal 47" xfId="128"/>
    <cellStyle name="Normal 48" xfId="129"/>
    <cellStyle name="Normal 49" xfId="130"/>
    <cellStyle name="Normal 5" xfId="131"/>
    <cellStyle name="Normal 50" xfId="132"/>
    <cellStyle name="Normal 51" xfId="133"/>
    <cellStyle name="Normal 52" xfId="134"/>
    <cellStyle name="Normal 53" xfId="135"/>
    <cellStyle name="Normal 54" xfId="136"/>
    <cellStyle name="Normal 55" xfId="137"/>
    <cellStyle name="Normal 55 2" xfId="138"/>
    <cellStyle name="Normal 56" xfId="139"/>
    <cellStyle name="Normal 57" xfId="140"/>
    <cellStyle name="Normal 58" xfId="141"/>
    <cellStyle name="Normal 59" xfId="142"/>
    <cellStyle name="Normal 59 2" xfId="185"/>
    <cellStyle name="Normal 6" xfId="143"/>
    <cellStyle name="Normal 60" xfId="144"/>
    <cellStyle name="Normal 60 2" xfId="186"/>
    <cellStyle name="Normal 61" xfId="145"/>
    <cellStyle name="Normal 61 2" xfId="187"/>
    <cellStyle name="Normal 62" xfId="146"/>
    <cellStyle name="Normal 63" xfId="147"/>
    <cellStyle name="Normal 63 2" xfId="188"/>
    <cellStyle name="Normal 64" xfId="177"/>
    <cellStyle name="Normal 65" xfId="201"/>
    <cellStyle name="Normal 66" xfId="209"/>
    <cellStyle name="Normal 67" xfId="211"/>
    <cellStyle name="Normal 68" xfId="213"/>
    <cellStyle name="Normal 69" xfId="216"/>
    <cellStyle name="Normal 7" xfId="148"/>
    <cellStyle name="Normal 8" xfId="149"/>
    <cellStyle name="Normal 9" xfId="150"/>
    <cellStyle name="Note 2" xfId="46"/>
    <cellStyle name="Output 2" xfId="47"/>
    <cellStyle name="Percent" xfId="3" builtinId="5"/>
    <cellStyle name="Percent 10" xfId="215"/>
    <cellStyle name="Percent 2" xfId="151"/>
    <cellStyle name="Percent 2 2" xfId="152"/>
    <cellStyle name="Percent 2 3" xfId="59"/>
    <cellStyle name="Percent 2 4" xfId="153"/>
    <cellStyle name="Percent 2 4 2" xfId="154"/>
    <cellStyle name="Percent 2 5" xfId="155"/>
    <cellStyle name="Percent 3" xfId="156"/>
    <cellStyle name="Percent 4" xfId="157"/>
    <cellStyle name="Percent 5" xfId="158"/>
    <cellStyle name="Percent 6" xfId="159"/>
    <cellStyle name="Percent 6 2" xfId="189"/>
    <cellStyle name="Percent 7" xfId="174"/>
    <cellStyle name="Percent 7 2" xfId="200"/>
    <cellStyle name="Percent 8" xfId="203"/>
    <cellStyle name="Percent 9" xfId="212"/>
    <cellStyle name="SAPBEXstdItem" xfId="160"/>
    <cellStyle name="STYLE1" xfId="48"/>
    <cellStyle name="STYLE1 2" xfId="49"/>
    <cellStyle name="STYLE1 3" xfId="161"/>
    <cellStyle name="STYLE1 3 2" xfId="190"/>
    <cellStyle name="STYLE2" xfId="50"/>
    <cellStyle name="STYLE2 2" xfId="51"/>
    <cellStyle name="STYLE2 3" xfId="162"/>
    <cellStyle name="STYLE2 3 2" xfId="191"/>
    <cellStyle name="STYLE3" xfId="52"/>
    <cellStyle name="STYLE3 2" xfId="163"/>
    <cellStyle name="STYLE3 2 2" xfId="192"/>
    <cellStyle name="STYLE4" xfId="53"/>
    <cellStyle name="STYLE4 2" xfId="164"/>
    <cellStyle name="STYLE4 2 2" xfId="193"/>
    <cellStyle name="STYLE4 3" xfId="170"/>
    <cellStyle name="STYLE5" xfId="171"/>
    <cellStyle name="STYLE5 2" xfId="199"/>
    <cellStyle name="STYLE6" xfId="172"/>
    <cellStyle name="Title 2" xfId="54"/>
    <cellStyle name="Total 2" xfId="55"/>
    <cellStyle name="Warning Text 2" xfId="56"/>
  </cellStyles>
  <dxfs count="0"/>
  <tableStyles count="0" defaultTableStyle="TableStyleMedium9" defaultPivotStyle="PivotStyleLight16"/>
  <colors>
    <mruColors>
      <color rgb="FFF5C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152400</xdr:colOff>
      <xdr:row>6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57150"/>
          <a:ext cx="1343025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Insurance%20Pricing\2016%20Sites\Fort%20Bend\Fort%20Bend%20TX%20Insurance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 Bend"/>
      <sheetName val="CCS"/>
      <sheetName val="General detail"/>
    </sheetNames>
    <sheetDataSet>
      <sheetData sheetId="0"/>
      <sheetData sheetId="1">
        <row r="14">
          <cell r="C14">
            <v>1092.8848217778418</v>
          </cell>
        </row>
        <row r="27">
          <cell r="C27">
            <v>110.74869492303274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August2012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49603E"/>
      </a:accent1>
      <a:accent2>
        <a:srgbClr val="6E905D"/>
      </a:accent2>
      <a:accent3>
        <a:srgbClr val="26341F"/>
      </a:accent3>
      <a:accent4>
        <a:srgbClr val="A8A8A8"/>
      </a:accent4>
      <a:accent5>
        <a:srgbClr val="6B5233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zoomScaleSheetLayoutView="100" workbookViewId="0">
      <pane ySplit="7" topLeftCell="A8" activePane="bottomLeft" state="frozenSplit"/>
      <selection pane="bottomLeft" activeCell="G45" sqref="G45"/>
    </sheetView>
  </sheetViews>
  <sheetFormatPr defaultRowHeight="12.75" x14ac:dyDescent="0.2"/>
  <cols>
    <col min="1" max="1" width="26.28515625" style="194" customWidth="1"/>
    <col min="2" max="2" width="6.7109375" style="194" bestFit="1" customWidth="1"/>
    <col min="3" max="14" width="10.85546875" style="195" customWidth="1"/>
    <col min="15" max="15" width="13.140625" style="195" customWidth="1"/>
    <col min="16" max="16" width="10.140625" style="194" bestFit="1" customWidth="1"/>
    <col min="17" max="17" width="16.7109375" style="194" bestFit="1" customWidth="1"/>
    <col min="18" max="257" width="9.140625" style="194"/>
    <col min="258" max="258" width="30.7109375" style="194" customWidth="1"/>
    <col min="259" max="262" width="0" style="194" hidden="1" customWidth="1"/>
    <col min="263" max="271" width="12.7109375" style="194" customWidth="1"/>
    <col min="272" max="513" width="9.140625" style="194"/>
    <col min="514" max="514" width="30.7109375" style="194" customWidth="1"/>
    <col min="515" max="518" width="0" style="194" hidden="1" customWidth="1"/>
    <col min="519" max="527" width="12.7109375" style="194" customWidth="1"/>
    <col min="528" max="769" width="9.140625" style="194"/>
    <col min="770" max="770" width="30.7109375" style="194" customWidth="1"/>
    <col min="771" max="774" width="0" style="194" hidden="1" customWidth="1"/>
    <col min="775" max="783" width="12.7109375" style="194" customWidth="1"/>
    <col min="784" max="1025" width="9.140625" style="194"/>
    <col min="1026" max="1026" width="30.7109375" style="194" customWidth="1"/>
    <col min="1027" max="1030" width="0" style="194" hidden="1" customWidth="1"/>
    <col min="1031" max="1039" width="12.7109375" style="194" customWidth="1"/>
    <col min="1040" max="1281" width="9.140625" style="194"/>
    <col min="1282" max="1282" width="30.7109375" style="194" customWidth="1"/>
    <col min="1283" max="1286" width="0" style="194" hidden="1" customWidth="1"/>
    <col min="1287" max="1295" width="12.7109375" style="194" customWidth="1"/>
    <col min="1296" max="1537" width="9.140625" style="194"/>
    <col min="1538" max="1538" width="30.7109375" style="194" customWidth="1"/>
    <col min="1539" max="1542" width="0" style="194" hidden="1" customWidth="1"/>
    <col min="1543" max="1551" width="12.7109375" style="194" customWidth="1"/>
    <col min="1552" max="1793" width="9.140625" style="194"/>
    <col min="1794" max="1794" width="30.7109375" style="194" customWidth="1"/>
    <col min="1795" max="1798" width="0" style="194" hidden="1" customWidth="1"/>
    <col min="1799" max="1807" width="12.7109375" style="194" customWidth="1"/>
    <col min="1808" max="2049" width="9.140625" style="194"/>
    <col min="2050" max="2050" width="30.7109375" style="194" customWidth="1"/>
    <col min="2051" max="2054" width="0" style="194" hidden="1" customWidth="1"/>
    <col min="2055" max="2063" width="12.7109375" style="194" customWidth="1"/>
    <col min="2064" max="2305" width="9.140625" style="194"/>
    <col min="2306" max="2306" width="30.7109375" style="194" customWidth="1"/>
    <col min="2307" max="2310" width="0" style="194" hidden="1" customWidth="1"/>
    <col min="2311" max="2319" width="12.7109375" style="194" customWidth="1"/>
    <col min="2320" max="2561" width="9.140625" style="194"/>
    <col min="2562" max="2562" width="30.7109375" style="194" customWidth="1"/>
    <col min="2563" max="2566" width="0" style="194" hidden="1" customWidth="1"/>
    <col min="2567" max="2575" width="12.7109375" style="194" customWidth="1"/>
    <col min="2576" max="2817" width="9.140625" style="194"/>
    <col min="2818" max="2818" width="30.7109375" style="194" customWidth="1"/>
    <col min="2819" max="2822" width="0" style="194" hidden="1" customWidth="1"/>
    <col min="2823" max="2831" width="12.7109375" style="194" customWidth="1"/>
    <col min="2832" max="3073" width="9.140625" style="194"/>
    <col min="3074" max="3074" width="30.7109375" style="194" customWidth="1"/>
    <col min="3075" max="3078" width="0" style="194" hidden="1" customWidth="1"/>
    <col min="3079" max="3087" width="12.7109375" style="194" customWidth="1"/>
    <col min="3088" max="3329" width="9.140625" style="194"/>
    <col min="3330" max="3330" width="30.7109375" style="194" customWidth="1"/>
    <col min="3331" max="3334" width="0" style="194" hidden="1" customWidth="1"/>
    <col min="3335" max="3343" width="12.7109375" style="194" customWidth="1"/>
    <col min="3344" max="3585" width="9.140625" style="194"/>
    <col min="3586" max="3586" width="30.7109375" style="194" customWidth="1"/>
    <col min="3587" max="3590" width="0" style="194" hidden="1" customWidth="1"/>
    <col min="3591" max="3599" width="12.7109375" style="194" customWidth="1"/>
    <col min="3600" max="3841" width="9.140625" style="194"/>
    <col min="3842" max="3842" width="30.7109375" style="194" customWidth="1"/>
    <col min="3843" max="3846" width="0" style="194" hidden="1" customWidth="1"/>
    <col min="3847" max="3855" width="12.7109375" style="194" customWidth="1"/>
    <col min="3856" max="4097" width="9.140625" style="194"/>
    <col min="4098" max="4098" width="30.7109375" style="194" customWidth="1"/>
    <col min="4099" max="4102" width="0" style="194" hidden="1" customWidth="1"/>
    <col min="4103" max="4111" width="12.7109375" style="194" customWidth="1"/>
    <col min="4112" max="4353" width="9.140625" style="194"/>
    <col min="4354" max="4354" width="30.7109375" style="194" customWidth="1"/>
    <col min="4355" max="4358" width="0" style="194" hidden="1" customWidth="1"/>
    <col min="4359" max="4367" width="12.7109375" style="194" customWidth="1"/>
    <col min="4368" max="4609" width="9.140625" style="194"/>
    <col min="4610" max="4610" width="30.7109375" style="194" customWidth="1"/>
    <col min="4611" max="4614" width="0" style="194" hidden="1" customWidth="1"/>
    <col min="4615" max="4623" width="12.7109375" style="194" customWidth="1"/>
    <col min="4624" max="4865" width="9.140625" style="194"/>
    <col min="4866" max="4866" width="30.7109375" style="194" customWidth="1"/>
    <col min="4867" max="4870" width="0" style="194" hidden="1" customWidth="1"/>
    <col min="4871" max="4879" width="12.7109375" style="194" customWidth="1"/>
    <col min="4880" max="5121" width="9.140625" style="194"/>
    <col min="5122" max="5122" width="30.7109375" style="194" customWidth="1"/>
    <col min="5123" max="5126" width="0" style="194" hidden="1" customWidth="1"/>
    <col min="5127" max="5135" width="12.7109375" style="194" customWidth="1"/>
    <col min="5136" max="5377" width="9.140625" style="194"/>
    <col min="5378" max="5378" width="30.7109375" style="194" customWidth="1"/>
    <col min="5379" max="5382" width="0" style="194" hidden="1" customWidth="1"/>
    <col min="5383" max="5391" width="12.7109375" style="194" customWidth="1"/>
    <col min="5392" max="5633" width="9.140625" style="194"/>
    <col min="5634" max="5634" width="30.7109375" style="194" customWidth="1"/>
    <col min="5635" max="5638" width="0" style="194" hidden="1" customWidth="1"/>
    <col min="5639" max="5647" width="12.7109375" style="194" customWidth="1"/>
    <col min="5648" max="5889" width="9.140625" style="194"/>
    <col min="5890" max="5890" width="30.7109375" style="194" customWidth="1"/>
    <col min="5891" max="5894" width="0" style="194" hidden="1" customWidth="1"/>
    <col min="5895" max="5903" width="12.7109375" style="194" customWidth="1"/>
    <col min="5904" max="6145" width="9.140625" style="194"/>
    <col min="6146" max="6146" width="30.7109375" style="194" customWidth="1"/>
    <col min="6147" max="6150" width="0" style="194" hidden="1" customWidth="1"/>
    <col min="6151" max="6159" width="12.7109375" style="194" customWidth="1"/>
    <col min="6160" max="6401" width="9.140625" style="194"/>
    <col min="6402" max="6402" width="30.7109375" style="194" customWidth="1"/>
    <col min="6403" max="6406" width="0" style="194" hidden="1" customWidth="1"/>
    <col min="6407" max="6415" width="12.7109375" style="194" customWidth="1"/>
    <col min="6416" max="6657" width="9.140625" style="194"/>
    <col min="6658" max="6658" width="30.7109375" style="194" customWidth="1"/>
    <col min="6659" max="6662" width="0" style="194" hidden="1" customWidth="1"/>
    <col min="6663" max="6671" width="12.7109375" style="194" customWidth="1"/>
    <col min="6672" max="6913" width="9.140625" style="194"/>
    <col min="6914" max="6914" width="30.7109375" style="194" customWidth="1"/>
    <col min="6915" max="6918" width="0" style="194" hidden="1" customWidth="1"/>
    <col min="6919" max="6927" width="12.7109375" style="194" customWidth="1"/>
    <col min="6928" max="7169" width="9.140625" style="194"/>
    <col min="7170" max="7170" width="30.7109375" style="194" customWidth="1"/>
    <col min="7171" max="7174" width="0" style="194" hidden="1" customWidth="1"/>
    <col min="7175" max="7183" width="12.7109375" style="194" customWidth="1"/>
    <col min="7184" max="7425" width="9.140625" style="194"/>
    <col min="7426" max="7426" width="30.7109375" style="194" customWidth="1"/>
    <col min="7427" max="7430" width="0" style="194" hidden="1" customWidth="1"/>
    <col min="7431" max="7439" width="12.7109375" style="194" customWidth="1"/>
    <col min="7440" max="7681" width="9.140625" style="194"/>
    <col min="7682" max="7682" width="30.7109375" style="194" customWidth="1"/>
    <col min="7683" max="7686" width="0" style="194" hidden="1" customWidth="1"/>
    <col min="7687" max="7695" width="12.7109375" style="194" customWidth="1"/>
    <col min="7696" max="7937" width="9.140625" style="194"/>
    <col min="7938" max="7938" width="30.7109375" style="194" customWidth="1"/>
    <col min="7939" max="7942" width="0" style="194" hidden="1" customWidth="1"/>
    <col min="7943" max="7951" width="12.7109375" style="194" customWidth="1"/>
    <col min="7952" max="8193" width="9.140625" style="194"/>
    <col min="8194" max="8194" width="30.7109375" style="194" customWidth="1"/>
    <col min="8195" max="8198" width="0" style="194" hidden="1" customWidth="1"/>
    <col min="8199" max="8207" width="12.7109375" style="194" customWidth="1"/>
    <col min="8208" max="8449" width="9.140625" style="194"/>
    <col min="8450" max="8450" width="30.7109375" style="194" customWidth="1"/>
    <col min="8451" max="8454" width="0" style="194" hidden="1" customWidth="1"/>
    <col min="8455" max="8463" width="12.7109375" style="194" customWidth="1"/>
    <col min="8464" max="8705" width="9.140625" style="194"/>
    <col min="8706" max="8706" width="30.7109375" style="194" customWidth="1"/>
    <col min="8707" max="8710" width="0" style="194" hidden="1" customWidth="1"/>
    <col min="8711" max="8719" width="12.7109375" style="194" customWidth="1"/>
    <col min="8720" max="8961" width="9.140625" style="194"/>
    <col min="8962" max="8962" width="30.7109375" style="194" customWidth="1"/>
    <col min="8963" max="8966" width="0" style="194" hidden="1" customWidth="1"/>
    <col min="8967" max="8975" width="12.7109375" style="194" customWidth="1"/>
    <col min="8976" max="9217" width="9.140625" style="194"/>
    <col min="9218" max="9218" width="30.7109375" style="194" customWidth="1"/>
    <col min="9219" max="9222" width="0" style="194" hidden="1" customWidth="1"/>
    <col min="9223" max="9231" width="12.7109375" style="194" customWidth="1"/>
    <col min="9232" max="9473" width="9.140625" style="194"/>
    <col min="9474" max="9474" width="30.7109375" style="194" customWidth="1"/>
    <col min="9475" max="9478" width="0" style="194" hidden="1" customWidth="1"/>
    <col min="9479" max="9487" width="12.7109375" style="194" customWidth="1"/>
    <col min="9488" max="9729" width="9.140625" style="194"/>
    <col min="9730" max="9730" width="30.7109375" style="194" customWidth="1"/>
    <col min="9731" max="9734" width="0" style="194" hidden="1" customWidth="1"/>
    <col min="9735" max="9743" width="12.7109375" style="194" customWidth="1"/>
    <col min="9744" max="9985" width="9.140625" style="194"/>
    <col min="9986" max="9986" width="30.7109375" style="194" customWidth="1"/>
    <col min="9987" max="9990" width="0" style="194" hidden="1" customWidth="1"/>
    <col min="9991" max="9999" width="12.7109375" style="194" customWidth="1"/>
    <col min="10000" max="10241" width="9.140625" style="194"/>
    <col min="10242" max="10242" width="30.7109375" style="194" customWidth="1"/>
    <col min="10243" max="10246" width="0" style="194" hidden="1" customWidth="1"/>
    <col min="10247" max="10255" width="12.7109375" style="194" customWidth="1"/>
    <col min="10256" max="10497" width="9.140625" style="194"/>
    <col min="10498" max="10498" width="30.7109375" style="194" customWidth="1"/>
    <col min="10499" max="10502" width="0" style="194" hidden="1" customWidth="1"/>
    <col min="10503" max="10511" width="12.7109375" style="194" customWidth="1"/>
    <col min="10512" max="10753" width="9.140625" style="194"/>
    <col min="10754" max="10754" width="30.7109375" style="194" customWidth="1"/>
    <col min="10755" max="10758" width="0" style="194" hidden="1" customWidth="1"/>
    <col min="10759" max="10767" width="12.7109375" style="194" customWidth="1"/>
    <col min="10768" max="11009" width="9.140625" style="194"/>
    <col min="11010" max="11010" width="30.7109375" style="194" customWidth="1"/>
    <col min="11011" max="11014" width="0" style="194" hidden="1" customWidth="1"/>
    <col min="11015" max="11023" width="12.7109375" style="194" customWidth="1"/>
    <col min="11024" max="11265" width="9.140625" style="194"/>
    <col min="11266" max="11266" width="30.7109375" style="194" customWidth="1"/>
    <col min="11267" max="11270" width="0" style="194" hidden="1" customWidth="1"/>
    <col min="11271" max="11279" width="12.7109375" style="194" customWidth="1"/>
    <col min="11280" max="11521" width="9.140625" style="194"/>
    <col min="11522" max="11522" width="30.7109375" style="194" customWidth="1"/>
    <col min="11523" max="11526" width="0" style="194" hidden="1" customWidth="1"/>
    <col min="11527" max="11535" width="12.7109375" style="194" customWidth="1"/>
    <col min="11536" max="11777" width="9.140625" style="194"/>
    <col min="11778" max="11778" width="30.7109375" style="194" customWidth="1"/>
    <col min="11779" max="11782" width="0" style="194" hidden="1" customWidth="1"/>
    <col min="11783" max="11791" width="12.7109375" style="194" customWidth="1"/>
    <col min="11792" max="12033" width="9.140625" style="194"/>
    <col min="12034" max="12034" width="30.7109375" style="194" customWidth="1"/>
    <col min="12035" max="12038" width="0" style="194" hidden="1" customWidth="1"/>
    <col min="12039" max="12047" width="12.7109375" style="194" customWidth="1"/>
    <col min="12048" max="12289" width="9.140625" style="194"/>
    <col min="12290" max="12290" width="30.7109375" style="194" customWidth="1"/>
    <col min="12291" max="12294" width="0" style="194" hidden="1" customWidth="1"/>
    <col min="12295" max="12303" width="12.7109375" style="194" customWidth="1"/>
    <col min="12304" max="12545" width="9.140625" style="194"/>
    <col min="12546" max="12546" width="30.7109375" style="194" customWidth="1"/>
    <col min="12547" max="12550" width="0" style="194" hidden="1" customWidth="1"/>
    <col min="12551" max="12559" width="12.7109375" style="194" customWidth="1"/>
    <col min="12560" max="12801" width="9.140625" style="194"/>
    <col min="12802" max="12802" width="30.7109375" style="194" customWidth="1"/>
    <col min="12803" max="12806" width="0" style="194" hidden="1" customWidth="1"/>
    <col min="12807" max="12815" width="12.7109375" style="194" customWidth="1"/>
    <col min="12816" max="13057" width="9.140625" style="194"/>
    <col min="13058" max="13058" width="30.7109375" style="194" customWidth="1"/>
    <col min="13059" max="13062" width="0" style="194" hidden="1" customWidth="1"/>
    <col min="13063" max="13071" width="12.7109375" style="194" customWidth="1"/>
    <col min="13072" max="13313" width="9.140625" style="194"/>
    <col min="13314" max="13314" width="30.7109375" style="194" customWidth="1"/>
    <col min="13315" max="13318" width="0" style="194" hidden="1" customWidth="1"/>
    <col min="13319" max="13327" width="12.7109375" style="194" customWidth="1"/>
    <col min="13328" max="13569" width="9.140625" style="194"/>
    <col min="13570" max="13570" width="30.7109375" style="194" customWidth="1"/>
    <col min="13571" max="13574" width="0" style="194" hidden="1" customWidth="1"/>
    <col min="13575" max="13583" width="12.7109375" style="194" customWidth="1"/>
    <col min="13584" max="13825" width="9.140625" style="194"/>
    <col min="13826" max="13826" width="30.7109375" style="194" customWidth="1"/>
    <col min="13827" max="13830" width="0" style="194" hidden="1" customWidth="1"/>
    <col min="13831" max="13839" width="12.7109375" style="194" customWidth="1"/>
    <col min="13840" max="14081" width="9.140625" style="194"/>
    <col min="14082" max="14082" width="30.7109375" style="194" customWidth="1"/>
    <col min="14083" max="14086" width="0" style="194" hidden="1" customWidth="1"/>
    <col min="14087" max="14095" width="12.7109375" style="194" customWidth="1"/>
    <col min="14096" max="14337" width="9.140625" style="194"/>
    <col min="14338" max="14338" width="30.7109375" style="194" customWidth="1"/>
    <col min="14339" max="14342" width="0" style="194" hidden="1" customWidth="1"/>
    <col min="14343" max="14351" width="12.7109375" style="194" customWidth="1"/>
    <col min="14352" max="14593" width="9.140625" style="194"/>
    <col min="14594" max="14594" width="30.7109375" style="194" customWidth="1"/>
    <col min="14595" max="14598" width="0" style="194" hidden="1" customWidth="1"/>
    <col min="14599" max="14607" width="12.7109375" style="194" customWidth="1"/>
    <col min="14608" max="14849" width="9.140625" style="194"/>
    <col min="14850" max="14850" width="30.7109375" style="194" customWidth="1"/>
    <col min="14851" max="14854" width="0" style="194" hidden="1" customWidth="1"/>
    <col min="14855" max="14863" width="12.7109375" style="194" customWidth="1"/>
    <col min="14864" max="15105" width="9.140625" style="194"/>
    <col min="15106" max="15106" width="30.7109375" style="194" customWidth="1"/>
    <col min="15107" max="15110" width="0" style="194" hidden="1" customWidth="1"/>
    <col min="15111" max="15119" width="12.7109375" style="194" customWidth="1"/>
    <col min="15120" max="15361" width="9.140625" style="194"/>
    <col min="15362" max="15362" width="30.7109375" style="194" customWidth="1"/>
    <col min="15363" max="15366" width="0" style="194" hidden="1" customWidth="1"/>
    <col min="15367" max="15375" width="12.7109375" style="194" customWidth="1"/>
    <col min="15376" max="15617" width="9.140625" style="194"/>
    <col min="15618" max="15618" width="30.7109375" style="194" customWidth="1"/>
    <col min="15619" max="15622" width="0" style="194" hidden="1" customWidth="1"/>
    <col min="15623" max="15631" width="12.7109375" style="194" customWidth="1"/>
    <col min="15632" max="15873" width="9.140625" style="194"/>
    <col min="15874" max="15874" width="30.7109375" style="194" customWidth="1"/>
    <col min="15875" max="15878" width="0" style="194" hidden="1" customWidth="1"/>
    <col min="15879" max="15887" width="12.7109375" style="194" customWidth="1"/>
    <col min="15888" max="16129" width="9.140625" style="194"/>
    <col min="16130" max="16130" width="30.7109375" style="194" customWidth="1"/>
    <col min="16131" max="16134" width="0" style="194" hidden="1" customWidth="1"/>
    <col min="16135" max="16143" width="12.7109375" style="194" customWidth="1"/>
    <col min="16144" max="16384" width="9.140625" style="194"/>
  </cols>
  <sheetData>
    <row r="1" spans="1:18" ht="15.75" x14ac:dyDescent="0.25">
      <c r="A1" s="462" t="s">
        <v>491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8" ht="15.75" x14ac:dyDescent="0.25">
      <c r="A2" s="462" t="s">
        <v>450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8" ht="15.75" x14ac:dyDescent="0.25">
      <c r="A3" s="462" t="s">
        <v>451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5" spans="1:18" x14ac:dyDescent="0.2">
      <c r="O5" s="196"/>
      <c r="P5" s="197" t="s">
        <v>452</v>
      </c>
      <c r="Q5" s="197" t="s">
        <v>175</v>
      </c>
      <c r="R5" s="197" t="s">
        <v>453</v>
      </c>
    </row>
    <row r="6" spans="1:18" x14ac:dyDescent="0.2">
      <c r="C6" s="198" t="s">
        <v>454</v>
      </c>
      <c r="D6" s="198" t="s">
        <v>455</v>
      </c>
      <c r="E6" s="198" t="s">
        <v>456</v>
      </c>
      <c r="F6" s="198" t="s">
        <v>457</v>
      </c>
      <c r="G6" s="198" t="s">
        <v>458</v>
      </c>
      <c r="H6" s="198" t="s">
        <v>459</v>
      </c>
      <c r="I6" s="198" t="s">
        <v>460</v>
      </c>
      <c r="J6" s="198" t="s">
        <v>461</v>
      </c>
      <c r="K6" s="198" t="s">
        <v>462</v>
      </c>
      <c r="L6" s="198" t="s">
        <v>463</v>
      </c>
      <c r="M6" s="198" t="s">
        <v>464</v>
      </c>
      <c r="N6" s="198" t="s">
        <v>465</v>
      </c>
      <c r="O6" s="199" t="s">
        <v>1</v>
      </c>
      <c r="P6" s="200" t="s">
        <v>0</v>
      </c>
      <c r="Q6" s="200" t="s">
        <v>466</v>
      </c>
      <c r="R6" s="200" t="s">
        <v>175</v>
      </c>
    </row>
    <row r="7" spans="1:18" x14ac:dyDescent="0.2">
      <c r="O7" s="196"/>
      <c r="P7" s="201"/>
      <c r="Q7" s="201"/>
      <c r="R7" s="201"/>
    </row>
    <row r="8" spans="1:18" x14ac:dyDescent="0.2">
      <c r="A8" s="202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201"/>
      <c r="Q8" s="201"/>
      <c r="R8" s="201"/>
    </row>
    <row r="9" spans="1:18" x14ac:dyDescent="0.2">
      <c r="O9" s="196"/>
      <c r="P9" s="201"/>
      <c r="Q9" s="201"/>
      <c r="R9" s="205"/>
    </row>
    <row r="10" spans="1:18" x14ac:dyDescent="0.2">
      <c r="A10" s="231" t="s">
        <v>467</v>
      </c>
      <c r="B10" s="206" t="s">
        <v>468</v>
      </c>
      <c r="C10" s="207" t="e">
        <f>+'Fort Bend 753 v2'!D66</f>
        <v>#REF!</v>
      </c>
      <c r="D10" s="207" t="e">
        <f>+'Fort Bend 753 v2'!E66</f>
        <v>#REF!</v>
      </c>
      <c r="E10" s="207" t="e">
        <f>+'Fort Bend 753 v2'!F66</f>
        <v>#REF!</v>
      </c>
      <c r="F10" s="207" t="e">
        <f>+'Fort Bend 753 v2'!G66</f>
        <v>#REF!</v>
      </c>
      <c r="G10" s="207" t="e">
        <f>+'Fort Bend 753 v2'!H66</f>
        <v>#REF!</v>
      </c>
      <c r="H10" s="207" t="e">
        <f>+'Fort Bend 753 v2'!I66</f>
        <v>#REF!</v>
      </c>
      <c r="I10" s="207" t="e">
        <f>+'Fort Bend 753 v2'!J66</f>
        <v>#REF!</v>
      </c>
      <c r="J10" s="207" t="e">
        <f>+'Fort Bend 753 v2'!K66</f>
        <v>#REF!</v>
      </c>
      <c r="K10" s="207" t="e">
        <f>+'Fort Bend 753 v2'!L66</f>
        <v>#REF!</v>
      </c>
      <c r="L10" s="207" t="e">
        <f>+'Fort Bend 753 v2'!M66</f>
        <v>#REF!</v>
      </c>
      <c r="M10" s="207" t="e">
        <f>+'Fort Bend 753 v2'!N66</f>
        <v>#REF!</v>
      </c>
      <c r="N10" s="207" t="e">
        <f>+'Fort Bend 753 v2'!O66</f>
        <v>#REF!</v>
      </c>
      <c r="O10" s="208" t="e">
        <f>SUM(C10:N10)</f>
        <v>#REF!</v>
      </c>
      <c r="P10" s="209">
        <v>1710714.4342656001</v>
      </c>
      <c r="Q10" s="210" t="e">
        <f>+P10-O10</f>
        <v>#REF!</v>
      </c>
      <c r="R10" s="211" t="e">
        <f>+Q10/P10</f>
        <v>#REF!</v>
      </c>
    </row>
    <row r="11" spans="1:18" x14ac:dyDescent="0.2">
      <c r="A11" s="212" t="s">
        <v>469</v>
      </c>
      <c r="B11" s="206" t="s">
        <v>470</v>
      </c>
      <c r="C11" s="207">
        <f>'Fort Bend 753 v2'!D74</f>
        <v>1528.7671232876712</v>
      </c>
      <c r="D11" s="207">
        <f>'Fort Bend 753 v2'!E74</f>
        <v>1479.4520547945203</v>
      </c>
      <c r="E11" s="207">
        <f>'Fort Bend 753 v2'!F74</f>
        <v>1528.7671232876712</v>
      </c>
      <c r="F11" s="207">
        <f>'Fort Bend 753 v2'!G74</f>
        <v>1528.7671232876712</v>
      </c>
      <c r="G11" s="207">
        <f>'Fort Bend 753 v2'!H74</f>
        <v>1380.8219178082193</v>
      </c>
      <c r="H11" s="207">
        <f>'Fort Bend 753 v2'!I74</f>
        <v>1528.7671232876712</v>
      </c>
      <c r="I11" s="207">
        <f>'Fort Bend 753 v2'!J74</f>
        <v>1479.4520547945203</v>
      </c>
      <c r="J11" s="207">
        <f>'Fort Bend 753 v2'!K74</f>
        <v>1528.7671232876712</v>
      </c>
      <c r="K11" s="207">
        <f>'Fort Bend 753 v2'!L74</f>
        <v>1479.4520547945203</v>
      </c>
      <c r="L11" s="207">
        <f>'Fort Bend 753 v2'!M74</f>
        <v>1528.7671232876712</v>
      </c>
      <c r="M11" s="207">
        <f>'Fort Bend 753 v2'!N74</f>
        <v>1528.7671232876712</v>
      </c>
      <c r="N11" s="207">
        <f>'Fort Bend 753 v2'!O74</f>
        <v>1479.4520547945203</v>
      </c>
      <c r="O11" s="208">
        <f t="shared" ref="O11:O18" si="0">SUM(C11:N11)</f>
        <v>18000</v>
      </c>
      <c r="P11" s="209">
        <v>18000</v>
      </c>
      <c r="Q11" s="210">
        <f t="shared" ref="Q11:Q24" si="1">+P11-O11</f>
        <v>0</v>
      </c>
      <c r="R11" s="211">
        <f t="shared" ref="R11:R18" si="2">+Q11/P11</f>
        <v>0</v>
      </c>
    </row>
    <row r="12" spans="1:18" x14ac:dyDescent="0.2">
      <c r="A12" s="212" t="s">
        <v>471</v>
      </c>
      <c r="B12" s="206" t="s">
        <v>472</v>
      </c>
      <c r="C12" s="207">
        <f>'Fort Bend 753 v2'!D87</f>
        <v>9690.6849315068484</v>
      </c>
      <c r="D12" s="207">
        <f>'Fort Bend 753 v2'!E87</f>
        <v>9378.0821917808225</v>
      </c>
      <c r="E12" s="207">
        <f>'Fort Bend 753 v2'!F87</f>
        <v>9690.6849315068484</v>
      </c>
      <c r="F12" s="207">
        <f>'Fort Bend 753 v2'!G87</f>
        <v>9690.6849315068484</v>
      </c>
      <c r="G12" s="207">
        <f>'Fort Bend 753 v2'!H87</f>
        <v>8752.8767123287671</v>
      </c>
      <c r="H12" s="207">
        <f>'Fort Bend 753 v2'!I87</f>
        <v>9690.6849315068484</v>
      </c>
      <c r="I12" s="207">
        <f>'Fort Bend 753 v2'!J87</f>
        <v>9378.0821917808225</v>
      </c>
      <c r="J12" s="207">
        <f>'Fort Bend 753 v2'!K87</f>
        <v>9690.6849315068484</v>
      </c>
      <c r="K12" s="207">
        <f>'Fort Bend 753 v2'!L87</f>
        <v>9378.0821917808225</v>
      </c>
      <c r="L12" s="207">
        <f>'Fort Bend 753 v2'!M87</f>
        <v>9690.6849315068484</v>
      </c>
      <c r="M12" s="207">
        <f>'Fort Bend 753 v2'!N87</f>
        <v>9690.6849315068484</v>
      </c>
      <c r="N12" s="207">
        <f>'Fort Bend 753 v2'!O87</f>
        <v>9378.0821917808225</v>
      </c>
      <c r="O12" s="208">
        <f t="shared" si="0"/>
        <v>114100.00000000001</v>
      </c>
      <c r="P12" s="209">
        <v>75389</v>
      </c>
      <c r="Q12" s="210">
        <f t="shared" si="1"/>
        <v>-38711.000000000015</v>
      </c>
      <c r="R12" s="211">
        <f t="shared" si="2"/>
        <v>-0.51348339943493104</v>
      </c>
    </row>
    <row r="13" spans="1:18" x14ac:dyDescent="0.2">
      <c r="A13" s="212" t="s">
        <v>473</v>
      </c>
      <c r="B13" s="206" t="s">
        <v>468</v>
      </c>
      <c r="C13" s="207" t="e">
        <f>'Fort Bend 753 v2'!D99</f>
        <v>#REF!</v>
      </c>
      <c r="D13" s="207" t="e">
        <f>'Fort Bend 753 v2'!E99</f>
        <v>#REF!</v>
      </c>
      <c r="E13" s="207" t="e">
        <f>'Fort Bend 753 v2'!F99</f>
        <v>#REF!</v>
      </c>
      <c r="F13" s="207" t="e">
        <f>'Fort Bend 753 v2'!G99</f>
        <v>#REF!</v>
      </c>
      <c r="G13" s="207" t="e">
        <f>'Fort Bend 753 v2'!H99</f>
        <v>#REF!</v>
      </c>
      <c r="H13" s="207" t="e">
        <f>'Fort Bend 753 v2'!I99</f>
        <v>#REF!</v>
      </c>
      <c r="I13" s="207" t="e">
        <f>'Fort Bend 753 v2'!J99</f>
        <v>#REF!</v>
      </c>
      <c r="J13" s="207" t="e">
        <f>'Fort Bend 753 v2'!K99</f>
        <v>#REF!</v>
      </c>
      <c r="K13" s="207" t="e">
        <f>'Fort Bend 753 v2'!L99</f>
        <v>#REF!</v>
      </c>
      <c r="L13" s="207" t="e">
        <f>'Fort Bend 753 v2'!M99</f>
        <v>#REF!</v>
      </c>
      <c r="M13" s="207" t="e">
        <f>'Fort Bend 753 v2'!N99</f>
        <v>#REF!</v>
      </c>
      <c r="N13" s="207" t="e">
        <f>'Fort Bend 753 v2'!O99</f>
        <v>#REF!</v>
      </c>
      <c r="O13" s="208" t="e">
        <f t="shared" si="0"/>
        <v>#REF!</v>
      </c>
      <c r="P13" s="209">
        <v>380547.77629439998</v>
      </c>
      <c r="Q13" s="210" t="e">
        <f t="shared" si="1"/>
        <v>#REF!</v>
      </c>
      <c r="R13" s="211" t="e">
        <f t="shared" si="2"/>
        <v>#REF!</v>
      </c>
    </row>
    <row r="14" spans="1:18" x14ac:dyDescent="0.2">
      <c r="A14" s="212" t="s">
        <v>474</v>
      </c>
      <c r="B14" s="206" t="s">
        <v>475</v>
      </c>
      <c r="C14" s="207">
        <f>+'Fort Bend 753 v2'!D109</f>
        <v>22336.98630136986</v>
      </c>
      <c r="D14" s="207">
        <f>+'Fort Bend 753 v2'!E109</f>
        <v>21616.438356164384</v>
      </c>
      <c r="E14" s="207">
        <f>+'Fort Bend 753 v2'!F109</f>
        <v>22336.98630136986</v>
      </c>
      <c r="F14" s="207">
        <f>+'Fort Bend 753 v2'!G109</f>
        <v>22336.98630136986</v>
      </c>
      <c r="G14" s="207">
        <f>+'Fort Bend 753 v2'!H109</f>
        <v>20175.342465753423</v>
      </c>
      <c r="H14" s="207">
        <f>+'Fort Bend 753 v2'!I109</f>
        <v>22336.98630136986</v>
      </c>
      <c r="I14" s="207">
        <f>+'Fort Bend 753 v2'!J109</f>
        <v>21616.438356164384</v>
      </c>
      <c r="J14" s="207">
        <f>+'Fort Bend 753 v2'!K109</f>
        <v>22336.98630136986</v>
      </c>
      <c r="K14" s="207">
        <f>+'Fort Bend 753 v2'!L109</f>
        <v>21616.438356164384</v>
      </c>
      <c r="L14" s="207">
        <f>+'Fort Bend 753 v2'!M109</f>
        <v>22336.98630136986</v>
      </c>
      <c r="M14" s="207">
        <f>+'Fort Bend 753 v2'!N109</f>
        <v>22336.98630136986</v>
      </c>
      <c r="N14" s="207">
        <f>+'Fort Bend 753 v2'!O109</f>
        <v>21616.438356164384</v>
      </c>
      <c r="O14" s="208">
        <f t="shared" si="0"/>
        <v>262999.99999999994</v>
      </c>
      <c r="P14" s="209">
        <v>304052.05</v>
      </c>
      <c r="Q14" s="210">
        <f t="shared" si="1"/>
        <v>41052.050000000047</v>
      </c>
      <c r="R14" s="211">
        <f t="shared" si="2"/>
        <v>0.13501652102000314</v>
      </c>
    </row>
    <row r="15" spans="1:18" x14ac:dyDescent="0.2">
      <c r="A15" s="212" t="s">
        <v>476</v>
      </c>
      <c r="B15" s="206" t="s">
        <v>477</v>
      </c>
      <c r="C15" s="207">
        <f>'Fort Bend 753 v2'!D116</f>
        <v>6412.3287671232874</v>
      </c>
      <c r="D15" s="207">
        <f>'Fort Bend 753 v2'!E116</f>
        <v>6205.4794520547948</v>
      </c>
      <c r="E15" s="207">
        <f>'Fort Bend 753 v2'!F116</f>
        <v>6412.3287671232874</v>
      </c>
      <c r="F15" s="207">
        <f>'Fort Bend 753 v2'!G116</f>
        <v>6412.3287671232874</v>
      </c>
      <c r="G15" s="207">
        <f>'Fort Bend 753 v2'!H116</f>
        <v>5791.7808219178087</v>
      </c>
      <c r="H15" s="207">
        <f>'Fort Bend 753 v2'!I116</f>
        <v>6412.3287671232874</v>
      </c>
      <c r="I15" s="207">
        <f>'Fort Bend 753 v2'!J116</f>
        <v>6205.4794520547948</v>
      </c>
      <c r="J15" s="207">
        <f>'Fort Bend 753 v2'!K116</f>
        <v>6412.3287671232874</v>
      </c>
      <c r="K15" s="207">
        <f>'Fort Bend 753 v2'!L116</f>
        <v>6205.4794520547948</v>
      </c>
      <c r="L15" s="207">
        <f>'Fort Bend 753 v2'!M116</f>
        <v>6412.3287671232874</v>
      </c>
      <c r="M15" s="207">
        <f>'Fort Bend 753 v2'!N116</f>
        <v>6412.3287671232874</v>
      </c>
      <c r="N15" s="207">
        <f>'Fort Bend 753 v2'!O116</f>
        <v>6205.4794520547948</v>
      </c>
      <c r="O15" s="208">
        <f t="shared" si="0"/>
        <v>75500</v>
      </c>
      <c r="P15" s="209">
        <v>96991</v>
      </c>
      <c r="Q15" s="210">
        <f t="shared" si="1"/>
        <v>21491</v>
      </c>
      <c r="R15" s="211">
        <f t="shared" si="2"/>
        <v>0.2215772597457496</v>
      </c>
    </row>
    <row r="16" spans="1:18" x14ac:dyDescent="0.2">
      <c r="A16" s="212" t="s">
        <v>478</v>
      </c>
      <c r="B16" s="206" t="s">
        <v>479</v>
      </c>
      <c r="C16" s="207">
        <f>'Fort Bend 753 v2'!D124</f>
        <v>4501.3698630136987</v>
      </c>
      <c r="D16" s="207">
        <f>'Fort Bend 753 v2'!E124</f>
        <v>4356.1643835616442</v>
      </c>
      <c r="E16" s="207">
        <f>'Fort Bend 753 v2'!F124</f>
        <v>4501.3698630136987</v>
      </c>
      <c r="F16" s="207">
        <f>'Fort Bend 753 v2'!G124</f>
        <v>4501.3698630136987</v>
      </c>
      <c r="G16" s="207">
        <f>'Fort Bend 753 v2'!H124</f>
        <v>4065.7534246575347</v>
      </c>
      <c r="H16" s="207">
        <f>'Fort Bend 753 v2'!I124</f>
        <v>4501.3698630136987</v>
      </c>
      <c r="I16" s="207">
        <f>'Fort Bend 753 v2'!J124</f>
        <v>4356.1643835616442</v>
      </c>
      <c r="J16" s="207">
        <f>'Fort Bend 753 v2'!K124</f>
        <v>4501.3698630136987</v>
      </c>
      <c r="K16" s="207">
        <f>'Fort Bend 753 v2'!L124</f>
        <v>4356.1643835616442</v>
      </c>
      <c r="L16" s="207">
        <f>'Fort Bend 753 v2'!M124</f>
        <v>4501.3698630136987</v>
      </c>
      <c r="M16" s="207">
        <f>'Fort Bend 753 v2'!N124</f>
        <v>4501.3698630136987</v>
      </c>
      <c r="N16" s="207">
        <f>'Fort Bend 753 v2'!O124</f>
        <v>4356.1643835616442</v>
      </c>
      <c r="O16" s="208">
        <f t="shared" si="0"/>
        <v>53000</v>
      </c>
      <c r="P16" s="209">
        <v>45220</v>
      </c>
      <c r="Q16" s="210">
        <f t="shared" si="1"/>
        <v>-7780</v>
      </c>
      <c r="R16" s="211">
        <f t="shared" si="2"/>
        <v>-0.17204776647501105</v>
      </c>
    </row>
    <row r="17" spans="1:18" x14ac:dyDescent="0.2">
      <c r="A17" s="212" t="s">
        <v>480</v>
      </c>
      <c r="B17" s="206" t="s">
        <v>481</v>
      </c>
      <c r="C17" s="207">
        <f>+'Fort Bend 753 v2'!D154</f>
        <v>28749.31506849315</v>
      </c>
      <c r="D17" s="207">
        <f>+'Fort Bend 753 v2'!E154</f>
        <v>27821.917808219179</v>
      </c>
      <c r="E17" s="207">
        <f>+'Fort Bend 753 v2'!F154</f>
        <v>28749.31506849315</v>
      </c>
      <c r="F17" s="207">
        <f>+'Fort Bend 753 v2'!G154</f>
        <v>28749.31506849315</v>
      </c>
      <c r="G17" s="207">
        <f>+'Fort Bend 753 v2'!H154</f>
        <v>25967.123287671227</v>
      </c>
      <c r="H17" s="207">
        <f>+'Fort Bend 753 v2'!I154</f>
        <v>28749.31506849315</v>
      </c>
      <c r="I17" s="207">
        <f>+'Fort Bend 753 v2'!J154</f>
        <v>27821.917808219179</v>
      </c>
      <c r="J17" s="207">
        <f>+'Fort Bend 753 v2'!K154</f>
        <v>28749.31506849315</v>
      </c>
      <c r="K17" s="207">
        <f>+'Fort Bend 753 v2'!L154</f>
        <v>27821.917808219179</v>
      </c>
      <c r="L17" s="207">
        <f>+'Fort Bend 753 v2'!M154</f>
        <v>28749.31506849315</v>
      </c>
      <c r="M17" s="207">
        <f>+'Fort Bend 753 v2'!N154</f>
        <v>28749.31506849315</v>
      </c>
      <c r="N17" s="207">
        <f>+'Fort Bend 753 v2'!O154</f>
        <v>27821.917808219179</v>
      </c>
      <c r="O17" s="208">
        <f t="shared" si="0"/>
        <v>338500</v>
      </c>
      <c r="P17" s="209">
        <v>263999.64113107644</v>
      </c>
      <c r="Q17" s="210">
        <f t="shared" si="1"/>
        <v>-74500.358868923562</v>
      </c>
      <c r="R17" s="211">
        <f t="shared" si="2"/>
        <v>-0.28219871265633256</v>
      </c>
    </row>
    <row r="18" spans="1:18" x14ac:dyDescent="0.2">
      <c r="A18" s="212" t="s">
        <v>482</v>
      </c>
      <c r="B18" s="206" t="s">
        <v>483</v>
      </c>
      <c r="C18" s="207">
        <f>+'Fort Bend 753 v2'!D193+'Fort Bend 753 v2'!D204</f>
        <v>5535.0712328767113</v>
      </c>
      <c r="D18" s="207">
        <f>+'Fort Bend 753 v2'!E193+'Fort Bend 753 v2'!E204</f>
        <v>5356.5205479452052</v>
      </c>
      <c r="E18" s="207">
        <f>+'Fort Bend 753 v2'!F193+'Fort Bend 753 v2'!F204</f>
        <v>5535.0712328767113</v>
      </c>
      <c r="F18" s="207">
        <f>+'Fort Bend 753 v2'!G193+'Fort Bend 753 v2'!G204</f>
        <v>5535.0712328767113</v>
      </c>
      <c r="G18" s="207">
        <f>+'Fort Bend 753 v2'!H193+'Fort Bend 753 v2'!H204</f>
        <v>4999.419178082192</v>
      </c>
      <c r="H18" s="207">
        <f>+'Fort Bend 753 v2'!I193+'Fort Bend 753 v2'!I204</f>
        <v>5535.0712328767113</v>
      </c>
      <c r="I18" s="207">
        <f>+'Fort Bend 753 v2'!J193+'Fort Bend 753 v2'!J204</f>
        <v>5356.5205479452052</v>
      </c>
      <c r="J18" s="207">
        <f>+'Fort Bend 753 v2'!K193+'Fort Bend 753 v2'!K204</f>
        <v>5535.0712328767113</v>
      </c>
      <c r="K18" s="207">
        <f>+'Fort Bend 753 v2'!L193+'Fort Bend 753 v2'!L204</f>
        <v>5356.5205479452052</v>
      </c>
      <c r="L18" s="207">
        <f>+'Fort Bend 753 v2'!M193+'Fort Bend 753 v2'!M204</f>
        <v>5535.0712328767113</v>
      </c>
      <c r="M18" s="207">
        <f>+'Fort Bend 753 v2'!N193+'Fort Bend 753 v2'!N204</f>
        <v>5535.0712328767113</v>
      </c>
      <c r="N18" s="207">
        <f>+'Fort Bend 753 v2'!O193+'Fort Bend 753 v2'!O204</f>
        <v>5356.5205479452052</v>
      </c>
      <c r="O18" s="208">
        <f t="shared" si="0"/>
        <v>65170.999999999993</v>
      </c>
      <c r="P18" s="209">
        <v>90611.1</v>
      </c>
      <c r="Q18" s="210">
        <f t="shared" si="1"/>
        <v>25440.100000000013</v>
      </c>
      <c r="R18" s="211">
        <f t="shared" si="2"/>
        <v>0.28076140781868902</v>
      </c>
    </row>
    <row r="19" spans="1:18" x14ac:dyDescent="0.2">
      <c r="C19" s="213" t="s">
        <v>484</v>
      </c>
      <c r="D19" s="213" t="s">
        <v>484</v>
      </c>
      <c r="E19" s="213" t="s">
        <v>484</v>
      </c>
      <c r="F19" s="213" t="s">
        <v>484</v>
      </c>
      <c r="G19" s="213" t="s">
        <v>484</v>
      </c>
      <c r="H19" s="213" t="s">
        <v>484</v>
      </c>
      <c r="I19" s="213" t="s">
        <v>484</v>
      </c>
      <c r="J19" s="213" t="s">
        <v>484</v>
      </c>
      <c r="K19" s="213" t="s">
        <v>484</v>
      </c>
      <c r="L19" s="213" t="s">
        <v>484</v>
      </c>
      <c r="M19" s="213" t="s">
        <v>484</v>
      </c>
      <c r="N19" s="213" t="s">
        <v>484</v>
      </c>
      <c r="O19" s="214" t="s">
        <v>484</v>
      </c>
      <c r="P19" s="215" t="s">
        <v>484</v>
      </c>
      <c r="Q19" s="215" t="s">
        <v>484</v>
      </c>
      <c r="R19" s="216" t="s">
        <v>484</v>
      </c>
    </row>
    <row r="20" spans="1:18" x14ac:dyDescent="0.2">
      <c r="A20" s="217" t="s">
        <v>485</v>
      </c>
      <c r="B20" s="217"/>
      <c r="C20" s="218" t="e">
        <f>SUM(C10:C18)</f>
        <v>#REF!</v>
      </c>
      <c r="D20" s="218" t="e">
        <f t="shared" ref="D20:O20" si="3">SUM(D10:D18)</f>
        <v>#REF!</v>
      </c>
      <c r="E20" s="218" t="e">
        <f t="shared" si="3"/>
        <v>#REF!</v>
      </c>
      <c r="F20" s="218" t="e">
        <f t="shared" si="3"/>
        <v>#REF!</v>
      </c>
      <c r="G20" s="218" t="e">
        <f t="shared" si="3"/>
        <v>#REF!</v>
      </c>
      <c r="H20" s="218" t="e">
        <f t="shared" si="3"/>
        <v>#REF!</v>
      </c>
      <c r="I20" s="218" t="e">
        <f t="shared" si="3"/>
        <v>#REF!</v>
      </c>
      <c r="J20" s="218" t="e">
        <f t="shared" si="3"/>
        <v>#REF!</v>
      </c>
      <c r="K20" s="218" t="e">
        <f t="shared" si="3"/>
        <v>#REF!</v>
      </c>
      <c r="L20" s="218" t="e">
        <f t="shared" si="3"/>
        <v>#REF!</v>
      </c>
      <c r="M20" s="218" t="e">
        <f t="shared" si="3"/>
        <v>#REF!</v>
      </c>
      <c r="N20" s="218" t="e">
        <f t="shared" si="3"/>
        <v>#REF!</v>
      </c>
      <c r="O20" s="219" t="e">
        <f t="shared" si="3"/>
        <v>#REF!</v>
      </c>
      <c r="P20" s="220">
        <f>SUM(P10:P18)</f>
        <v>2985525.0016910764</v>
      </c>
      <c r="Q20" s="210" t="e">
        <f t="shared" si="1"/>
        <v>#REF!</v>
      </c>
      <c r="R20" s="221" t="e">
        <f>+Q20/P20</f>
        <v>#REF!</v>
      </c>
    </row>
    <row r="21" spans="1:18" x14ac:dyDescent="0.2"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8"/>
      <c r="P21" s="209"/>
      <c r="Q21" s="201"/>
      <c r="R21" s="221"/>
    </row>
    <row r="22" spans="1:18" x14ac:dyDescent="0.2">
      <c r="A22" s="212" t="s">
        <v>55</v>
      </c>
      <c r="B22" s="206" t="s">
        <v>486</v>
      </c>
      <c r="C22" s="207" t="e">
        <f>#REF!</f>
        <v>#REF!</v>
      </c>
      <c r="D22" s="207" t="e">
        <f>#REF!</f>
        <v>#REF!</v>
      </c>
      <c r="E22" s="207" t="e">
        <f>#REF!</f>
        <v>#REF!</v>
      </c>
      <c r="F22" s="207" t="e">
        <f>#REF!</f>
        <v>#REF!</v>
      </c>
      <c r="G22" s="207" t="e">
        <f>#REF!</f>
        <v>#REF!</v>
      </c>
      <c r="H22" s="207" t="e">
        <f>#REF!</f>
        <v>#REF!</v>
      </c>
      <c r="I22" s="207" t="e">
        <f>#REF!</f>
        <v>#REF!</v>
      </c>
      <c r="J22" s="207" t="e">
        <f>#REF!</f>
        <v>#REF!</v>
      </c>
      <c r="K22" s="207" t="e">
        <f>#REF!</f>
        <v>#REF!</v>
      </c>
      <c r="L22" s="207" t="e">
        <f>#REF!</f>
        <v>#REF!</v>
      </c>
      <c r="M22" s="207" t="e">
        <f>#REF!</f>
        <v>#REF!</v>
      </c>
      <c r="N22" s="207" t="e">
        <f>#REF!</f>
        <v>#REF!</v>
      </c>
      <c r="O22" s="208" t="e">
        <f t="shared" ref="O22" si="4">SUM(C22:N22)</f>
        <v>#REF!</v>
      </c>
      <c r="P22" s="209">
        <v>350000</v>
      </c>
      <c r="Q22" s="210" t="e">
        <f t="shared" si="1"/>
        <v>#REF!</v>
      </c>
      <c r="R22" s="211" t="e">
        <f>Q22/P22</f>
        <v>#REF!</v>
      </c>
    </row>
    <row r="23" spans="1:18" x14ac:dyDescent="0.2"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8"/>
      <c r="P23" s="209"/>
      <c r="Q23" s="201"/>
      <c r="R23" s="221"/>
    </row>
    <row r="24" spans="1:18" x14ac:dyDescent="0.2">
      <c r="A24" s="217" t="s">
        <v>487</v>
      </c>
      <c r="B24" s="217"/>
      <c r="C24" s="218" t="e">
        <f>+C22+C20</f>
        <v>#REF!</v>
      </c>
      <c r="D24" s="218" t="e">
        <f t="shared" ref="D24:O24" si="5">+D22+D20</f>
        <v>#REF!</v>
      </c>
      <c r="E24" s="218" t="e">
        <f t="shared" si="5"/>
        <v>#REF!</v>
      </c>
      <c r="F24" s="218" t="e">
        <f t="shared" si="5"/>
        <v>#REF!</v>
      </c>
      <c r="G24" s="218" t="e">
        <f t="shared" si="5"/>
        <v>#REF!</v>
      </c>
      <c r="H24" s="218" t="e">
        <f t="shared" si="5"/>
        <v>#REF!</v>
      </c>
      <c r="I24" s="218" t="e">
        <f t="shared" si="5"/>
        <v>#REF!</v>
      </c>
      <c r="J24" s="218" t="e">
        <f t="shared" si="5"/>
        <v>#REF!</v>
      </c>
      <c r="K24" s="218" t="e">
        <f t="shared" si="5"/>
        <v>#REF!</v>
      </c>
      <c r="L24" s="218" t="e">
        <f t="shared" si="5"/>
        <v>#REF!</v>
      </c>
      <c r="M24" s="218" t="e">
        <f t="shared" si="5"/>
        <v>#REF!</v>
      </c>
      <c r="N24" s="218" t="e">
        <f t="shared" si="5"/>
        <v>#REF!</v>
      </c>
      <c r="O24" s="219" t="e">
        <f t="shared" si="5"/>
        <v>#REF!</v>
      </c>
      <c r="P24" s="220">
        <f>SUM(P20:P22)</f>
        <v>3335525.0016910764</v>
      </c>
      <c r="Q24" s="210" t="e">
        <f t="shared" si="1"/>
        <v>#REF!</v>
      </c>
      <c r="R24" s="211" t="e">
        <f>Q24/P24</f>
        <v>#REF!</v>
      </c>
    </row>
    <row r="26" spans="1:18" x14ac:dyDescent="0.2">
      <c r="A26" s="222" t="s">
        <v>488</v>
      </c>
      <c r="O26" s="223" t="e">
        <f>O20/12</f>
        <v>#REF!</v>
      </c>
      <c r="P26" s="194" t="s">
        <v>489</v>
      </c>
    </row>
    <row r="27" spans="1:18" x14ac:dyDescent="0.2">
      <c r="A27" s="224" t="s">
        <v>517</v>
      </c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O27" s="223" t="e">
        <f>O22/12</f>
        <v>#REF!</v>
      </c>
      <c r="P27" s="226" t="s">
        <v>490</v>
      </c>
    </row>
    <row r="28" spans="1:18" ht="13.5" thickBot="1" x14ac:dyDescent="0.25">
      <c r="A28" s="194" t="s">
        <v>532</v>
      </c>
      <c r="B28" s="224"/>
      <c r="C28" s="225"/>
      <c r="D28" s="225"/>
      <c r="E28" s="225"/>
      <c r="F28" s="225"/>
      <c r="G28" s="225"/>
      <c r="H28" s="225"/>
      <c r="I28" s="225"/>
      <c r="J28" s="225"/>
      <c r="K28" s="225"/>
      <c r="O28" s="227" t="e">
        <f>SUM(O26:O27)</f>
        <v>#REF!</v>
      </c>
      <c r="P28" s="194" t="s">
        <v>1</v>
      </c>
    </row>
    <row r="29" spans="1:18" ht="13.5" thickTop="1" x14ac:dyDescent="0.2">
      <c r="A29" s="194" t="s">
        <v>533</v>
      </c>
      <c r="B29" s="224"/>
      <c r="C29" s="225"/>
      <c r="D29" s="225"/>
      <c r="E29" s="225"/>
      <c r="F29" s="225"/>
      <c r="G29" s="225"/>
      <c r="H29" s="225"/>
      <c r="I29" s="225"/>
      <c r="J29" s="225"/>
      <c r="K29" s="225"/>
    </row>
    <row r="30" spans="1:18" x14ac:dyDescent="0.2">
      <c r="A30" s="224" t="s">
        <v>519</v>
      </c>
      <c r="B30" s="224"/>
      <c r="C30" s="225"/>
      <c r="D30" s="225"/>
      <c r="E30" s="225"/>
      <c r="F30" s="225"/>
      <c r="G30" s="225"/>
      <c r="H30" s="225"/>
      <c r="I30" s="225"/>
      <c r="J30" s="225"/>
      <c r="K30" s="225"/>
    </row>
    <row r="31" spans="1:18" ht="15.75" x14ac:dyDescent="0.25">
      <c r="A31" s="224" t="s">
        <v>518</v>
      </c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O31" s="228"/>
    </row>
    <row r="32" spans="1:18" x14ac:dyDescent="0.2">
      <c r="A32" s="194" t="s">
        <v>520</v>
      </c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O32" s="236"/>
    </row>
    <row r="33" spans="1:15" x14ac:dyDescent="0.2">
      <c r="A33" s="194" t="s">
        <v>530</v>
      </c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O33" s="236"/>
    </row>
    <row r="34" spans="1:15" x14ac:dyDescent="0.2">
      <c r="A34" s="224" t="s">
        <v>521</v>
      </c>
      <c r="B34" s="224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5" x14ac:dyDescent="0.2">
      <c r="A35" s="194" t="s">
        <v>522</v>
      </c>
      <c r="B35" s="224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5" x14ac:dyDescent="0.2">
      <c r="A36" s="224" t="s">
        <v>523</v>
      </c>
      <c r="B36" s="224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5" x14ac:dyDescent="0.2">
      <c r="A37" s="194" t="s">
        <v>524</v>
      </c>
      <c r="B37" s="224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5" x14ac:dyDescent="0.2">
      <c r="A38" s="224" t="s">
        <v>525</v>
      </c>
      <c r="B38" s="224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5" x14ac:dyDescent="0.2">
      <c r="A39" s="224" t="s">
        <v>531</v>
      </c>
      <c r="B39" s="224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15" x14ac:dyDescent="0.2">
      <c r="A40" s="224" t="s">
        <v>526</v>
      </c>
      <c r="B40" s="224"/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5" x14ac:dyDescent="0.2">
      <c r="A41" s="224" t="s">
        <v>527</v>
      </c>
      <c r="B41" s="224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1:15" x14ac:dyDescent="0.2">
      <c r="A42" s="224" t="s">
        <v>528</v>
      </c>
      <c r="B42" s="224"/>
      <c r="C42" s="225"/>
      <c r="D42" s="225"/>
      <c r="E42" s="225"/>
      <c r="F42" s="225"/>
      <c r="G42" s="225"/>
      <c r="H42" s="225"/>
      <c r="I42" s="225"/>
      <c r="J42" s="225"/>
      <c r="K42" s="225"/>
    </row>
    <row r="43" spans="1:15" x14ac:dyDescent="0.2">
      <c r="A43" s="224" t="s">
        <v>529</v>
      </c>
      <c r="B43" s="224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5" x14ac:dyDescent="0.2">
      <c r="A44" s="224" t="s">
        <v>492</v>
      </c>
    </row>
  </sheetData>
  <mergeCells count="3">
    <mergeCell ref="A1:O1"/>
    <mergeCell ref="A2:O2"/>
    <mergeCell ref="A3:O3"/>
  </mergeCells>
  <printOptions horizontalCentered="1"/>
  <pageMargins left="0.5" right="0.5" top="0.5" bottom="0.5" header="0.5" footer="0.5"/>
  <pageSetup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65"/>
  <sheetViews>
    <sheetView tabSelected="1" view="pageBreakPreview" zoomScaleNormal="90" zoomScaleSheetLayoutView="100" workbookViewId="0">
      <selection activeCell="G13" sqref="G13"/>
    </sheetView>
  </sheetViews>
  <sheetFormatPr defaultColWidth="9.140625" defaultRowHeight="12.75" x14ac:dyDescent="0.2"/>
  <cols>
    <col min="1" max="1" width="25.28515625" style="14" customWidth="1"/>
    <col min="2" max="9" width="9.140625" style="14"/>
    <col min="10" max="10" width="9.140625" style="71"/>
    <col min="11" max="11" width="21" style="14" hidden="1" customWidth="1"/>
    <col min="12" max="12" width="4" style="14" hidden="1" customWidth="1"/>
    <col min="13" max="13" width="27" style="14" hidden="1" customWidth="1"/>
    <col min="14" max="21" width="0" style="14" hidden="1" customWidth="1"/>
    <col min="22" max="22" width="26.42578125" style="14" hidden="1" customWidth="1"/>
    <col min="23" max="25" width="0" style="14" hidden="1" customWidth="1"/>
    <col min="26" max="26" width="12" style="14" hidden="1" customWidth="1"/>
    <col min="27" max="16384" width="9.140625" style="14"/>
  </cols>
  <sheetData>
    <row r="1" spans="1:26" ht="13.5" thickBot="1" x14ac:dyDescent="0.25">
      <c r="A1" s="526" t="s">
        <v>2923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26" ht="13.5" thickTop="1" x14ac:dyDescent="0.2">
      <c r="A2" s="74"/>
      <c r="B2" s="75"/>
      <c r="C2" s="75"/>
      <c r="D2" s="75"/>
      <c r="E2" s="75"/>
      <c r="F2" s="75"/>
      <c r="G2" s="75"/>
      <c r="H2" s="75"/>
      <c r="I2" s="75"/>
      <c r="J2" s="76"/>
      <c r="M2" s="74" t="s">
        <v>33</v>
      </c>
      <c r="N2" s="75"/>
      <c r="O2" s="75"/>
      <c r="P2" s="75"/>
      <c r="Q2" s="75"/>
      <c r="R2" s="75"/>
      <c r="S2" s="75"/>
      <c r="T2" s="75"/>
      <c r="U2" s="75"/>
      <c r="V2" s="76"/>
    </row>
    <row r="3" spans="1:26" ht="13.5" thickBot="1" x14ac:dyDescent="0.25">
      <c r="A3" s="40" t="s">
        <v>68</v>
      </c>
      <c r="B3" s="41"/>
      <c r="C3" s="41"/>
      <c r="D3" s="42"/>
      <c r="E3" s="41"/>
      <c r="F3" s="41"/>
      <c r="G3" s="41"/>
      <c r="H3" s="43"/>
      <c r="I3" s="44"/>
      <c r="J3" s="64"/>
      <c r="K3" s="77" t="s">
        <v>171</v>
      </c>
      <c r="M3" s="40" t="s">
        <v>68</v>
      </c>
      <c r="N3" s="41"/>
      <c r="O3" s="41"/>
      <c r="P3" s="42"/>
      <c r="Q3" s="41"/>
      <c r="R3" s="41"/>
      <c r="S3" s="41"/>
      <c r="T3" s="43"/>
      <c r="U3" s="44" t="s">
        <v>36</v>
      </c>
      <c r="V3" s="64" t="s">
        <v>176</v>
      </c>
    </row>
    <row r="4" spans="1:26" ht="13.5" thickTop="1" x14ac:dyDescent="0.2">
      <c r="A4" s="18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20" t="s">
        <v>16</v>
      </c>
      <c r="J4" s="65" t="s">
        <v>17</v>
      </c>
      <c r="M4" s="18" t="s">
        <v>8</v>
      </c>
      <c r="N4" s="19" t="s">
        <v>9</v>
      </c>
      <c r="O4" s="19" t="s">
        <v>10</v>
      </c>
      <c r="P4" s="19" t="s">
        <v>11</v>
      </c>
      <c r="Q4" s="19" t="s">
        <v>12</v>
      </c>
      <c r="R4" s="19" t="s">
        <v>13</v>
      </c>
      <c r="S4" s="19" t="s">
        <v>14</v>
      </c>
      <c r="T4" s="19" t="s">
        <v>15</v>
      </c>
      <c r="U4" s="20" t="s">
        <v>16</v>
      </c>
      <c r="V4" s="65" t="s">
        <v>17</v>
      </c>
    </row>
    <row r="5" spans="1:26" x14ac:dyDescent="0.2">
      <c r="A5" s="500" t="s">
        <v>69</v>
      </c>
      <c r="B5" s="501"/>
      <c r="C5" s="501"/>
      <c r="D5" s="501"/>
      <c r="E5" s="501"/>
      <c r="F5" s="501"/>
      <c r="G5" s="501"/>
      <c r="H5" s="501"/>
      <c r="I5" s="501"/>
      <c r="J5" s="502"/>
      <c r="M5" s="500" t="s">
        <v>69</v>
      </c>
      <c r="N5" s="501"/>
      <c r="O5" s="501"/>
      <c r="P5" s="501"/>
      <c r="Q5" s="501"/>
      <c r="R5" s="501"/>
      <c r="S5" s="501"/>
      <c r="T5" s="501"/>
      <c r="U5" s="501"/>
      <c r="V5" s="502"/>
      <c r="X5" s="14" t="s">
        <v>173</v>
      </c>
      <c r="Y5" s="14" t="s">
        <v>174</v>
      </c>
      <c r="Z5" s="14" t="s">
        <v>175</v>
      </c>
    </row>
    <row r="6" spans="1:26" x14ac:dyDescent="0.2">
      <c r="A6" s="116" t="s">
        <v>37</v>
      </c>
      <c r="B6" s="117">
        <v>8</v>
      </c>
      <c r="C6" s="117">
        <v>8</v>
      </c>
      <c r="D6" s="117">
        <v>8</v>
      </c>
      <c r="E6" s="117">
        <v>8</v>
      </c>
      <c r="F6" s="117">
        <v>8</v>
      </c>
      <c r="G6" s="117"/>
      <c r="H6" s="117"/>
      <c r="I6" s="22">
        <f t="shared" ref="I6:I18" si="0">SUM(B6:H6)</f>
        <v>40</v>
      </c>
      <c r="J6" s="66">
        <f t="shared" ref="J6" si="1">SUM(I6/40)</f>
        <v>1</v>
      </c>
      <c r="K6" s="71">
        <f>+J6-V6</f>
        <v>0</v>
      </c>
      <c r="M6" s="116" t="s">
        <v>37</v>
      </c>
      <c r="N6" s="117"/>
      <c r="O6" s="117"/>
      <c r="P6" s="117"/>
      <c r="Q6" s="117"/>
      <c r="R6" s="117"/>
      <c r="S6" s="117"/>
      <c r="T6" s="117"/>
      <c r="U6" s="22">
        <f t="shared" ref="U6:U22" si="2">SUM(N6:T6)</f>
        <v>0</v>
      </c>
      <c r="V6" s="66">
        <v>1</v>
      </c>
      <c r="W6" s="71">
        <v>59.68765384615385</v>
      </c>
      <c r="Z6" s="122">
        <f>+K6*W6*2080</f>
        <v>0</v>
      </c>
    </row>
    <row r="7" spans="1:26" x14ac:dyDescent="0.2">
      <c r="A7" s="116" t="s">
        <v>72</v>
      </c>
      <c r="B7" s="117">
        <v>8</v>
      </c>
      <c r="C7" s="117">
        <v>8</v>
      </c>
      <c r="D7" s="117">
        <v>8</v>
      </c>
      <c r="E7" s="117">
        <v>8</v>
      </c>
      <c r="F7" s="117">
        <v>8</v>
      </c>
      <c r="G7" s="117"/>
      <c r="H7" s="117"/>
      <c r="I7" s="22">
        <f t="shared" ref="I7:I15" si="3">SUM(B7:H7)</f>
        <v>40</v>
      </c>
      <c r="J7" s="66">
        <f t="shared" ref="J7:J15" si="4">SUM(I7/40)</f>
        <v>1</v>
      </c>
      <c r="K7" s="71">
        <f t="shared" ref="K7:K22" si="5">+J7-V7</f>
        <v>0</v>
      </c>
      <c r="M7" s="116" t="s">
        <v>72</v>
      </c>
      <c r="N7" s="117"/>
      <c r="O7" s="117"/>
      <c r="P7" s="117"/>
      <c r="Q7" s="117"/>
      <c r="R7" s="117"/>
      <c r="S7" s="117"/>
      <c r="T7" s="117"/>
      <c r="U7" s="22">
        <f t="shared" si="2"/>
        <v>0</v>
      </c>
      <c r="V7" s="66">
        <v>1</v>
      </c>
      <c r="W7" s="71">
        <v>23.288299999999996</v>
      </c>
      <c r="Z7" s="122">
        <f t="shared" ref="Z7:Z22" si="6">+K7*W7*2080</f>
        <v>0</v>
      </c>
    </row>
    <row r="8" spans="1:26" x14ac:dyDescent="0.2">
      <c r="A8" s="116" t="s">
        <v>2920</v>
      </c>
      <c r="B8" s="117">
        <v>2</v>
      </c>
      <c r="C8" s="117">
        <v>2</v>
      </c>
      <c r="D8" s="117">
        <v>2</v>
      </c>
      <c r="E8" s="117">
        <v>2</v>
      </c>
      <c r="F8" s="117">
        <v>2</v>
      </c>
      <c r="G8" s="117"/>
      <c r="H8" s="117"/>
      <c r="I8" s="22">
        <f t="shared" si="3"/>
        <v>10</v>
      </c>
      <c r="J8" s="66">
        <f t="shared" si="4"/>
        <v>0.25</v>
      </c>
      <c r="K8" s="71">
        <f t="shared" si="5"/>
        <v>0.12</v>
      </c>
      <c r="M8" s="116" t="s">
        <v>30</v>
      </c>
      <c r="N8" s="117"/>
      <c r="O8" s="117"/>
      <c r="P8" s="117"/>
      <c r="Q8" s="117"/>
      <c r="R8" s="117"/>
      <c r="S8" s="117"/>
      <c r="T8" s="117"/>
      <c r="U8" s="22">
        <f t="shared" si="2"/>
        <v>0</v>
      </c>
      <c r="V8" s="66">
        <v>0.13</v>
      </c>
      <c r="W8" s="71">
        <v>149.35</v>
      </c>
      <c r="Z8" s="122">
        <f t="shared" si="6"/>
        <v>37277.759999999995</v>
      </c>
    </row>
    <row r="9" spans="1:26" x14ac:dyDescent="0.2">
      <c r="A9" s="116" t="s">
        <v>583</v>
      </c>
      <c r="B9" s="117">
        <v>8</v>
      </c>
      <c r="C9" s="117">
        <v>8</v>
      </c>
      <c r="D9" s="117">
        <v>8</v>
      </c>
      <c r="E9" s="117">
        <v>8</v>
      </c>
      <c r="F9" s="117">
        <v>8</v>
      </c>
      <c r="G9" s="117">
        <v>8</v>
      </c>
      <c r="H9" s="117">
        <v>8</v>
      </c>
      <c r="I9" s="22">
        <f t="shared" si="3"/>
        <v>56</v>
      </c>
      <c r="J9" s="66">
        <f t="shared" si="4"/>
        <v>1.4</v>
      </c>
      <c r="K9" s="71">
        <f t="shared" si="5"/>
        <v>0.39999999999999991</v>
      </c>
      <c r="M9" s="116" t="s">
        <v>38</v>
      </c>
      <c r="N9" s="117"/>
      <c r="O9" s="117"/>
      <c r="P9" s="117"/>
      <c r="Q9" s="117"/>
      <c r="R9" s="117"/>
      <c r="S9" s="117"/>
      <c r="T9" s="117"/>
      <c r="U9" s="22">
        <f t="shared" si="2"/>
        <v>0</v>
      </c>
      <c r="V9" s="66">
        <v>1</v>
      </c>
      <c r="W9" s="71">
        <v>64.993223076923073</v>
      </c>
      <c r="Z9" s="122">
        <f t="shared" si="6"/>
        <v>54074.361599999982</v>
      </c>
    </row>
    <row r="10" spans="1:26" x14ac:dyDescent="0.2">
      <c r="A10" s="116" t="s">
        <v>50</v>
      </c>
      <c r="B10" s="117">
        <v>8</v>
      </c>
      <c r="C10" s="117">
        <v>8</v>
      </c>
      <c r="D10" s="117">
        <v>8</v>
      </c>
      <c r="E10" s="117">
        <v>8</v>
      </c>
      <c r="F10" s="117">
        <v>8</v>
      </c>
      <c r="G10" s="117"/>
      <c r="H10" s="117"/>
      <c r="I10" s="22">
        <f t="shared" si="3"/>
        <v>40</v>
      </c>
      <c r="J10" s="66">
        <f t="shared" si="4"/>
        <v>1</v>
      </c>
      <c r="K10" s="71">
        <f t="shared" si="5"/>
        <v>0</v>
      </c>
      <c r="M10" s="116" t="s">
        <v>50</v>
      </c>
      <c r="N10" s="117"/>
      <c r="O10" s="117"/>
      <c r="P10" s="117"/>
      <c r="Q10" s="117"/>
      <c r="R10" s="117"/>
      <c r="S10" s="117"/>
      <c r="T10" s="117"/>
      <c r="U10" s="22">
        <f t="shared" si="2"/>
        <v>0</v>
      </c>
      <c r="V10" s="66">
        <v>1</v>
      </c>
      <c r="W10" s="71">
        <v>46.423730769230772</v>
      </c>
      <c r="Z10" s="122">
        <f t="shared" si="6"/>
        <v>0</v>
      </c>
    </row>
    <row r="11" spans="1:26" x14ac:dyDescent="0.2">
      <c r="A11" s="116" t="s">
        <v>18</v>
      </c>
      <c r="B11" s="117">
        <v>36</v>
      </c>
      <c r="C11" s="117">
        <v>36</v>
      </c>
      <c r="D11" s="117">
        <v>36</v>
      </c>
      <c r="E11" s="117">
        <v>36</v>
      </c>
      <c r="F11" s="117">
        <v>36</v>
      </c>
      <c r="G11" s="117">
        <v>36</v>
      </c>
      <c r="H11" s="117">
        <v>36</v>
      </c>
      <c r="I11" s="22">
        <f t="shared" si="3"/>
        <v>252</v>
      </c>
      <c r="J11" s="66">
        <f t="shared" si="4"/>
        <v>6.3</v>
      </c>
      <c r="K11" s="71">
        <f t="shared" si="5"/>
        <v>5.8999999999999995</v>
      </c>
      <c r="M11" s="116" t="s">
        <v>18</v>
      </c>
      <c r="N11" s="117"/>
      <c r="O11" s="117"/>
      <c r="P11" s="117"/>
      <c r="Q11" s="117"/>
      <c r="R11" s="117"/>
      <c r="S11" s="117"/>
      <c r="T11" s="117"/>
      <c r="U11" s="22">
        <f t="shared" si="2"/>
        <v>0</v>
      </c>
      <c r="V11" s="66">
        <v>0.4</v>
      </c>
      <c r="W11" s="71">
        <v>44.779220512820523</v>
      </c>
      <c r="Z11" s="122">
        <f t="shared" si="6"/>
        <v>549530.59413333342</v>
      </c>
    </row>
    <row r="12" spans="1:26" x14ac:dyDescent="0.2">
      <c r="A12" s="116" t="s">
        <v>57</v>
      </c>
      <c r="B12" s="117">
        <v>36</v>
      </c>
      <c r="C12" s="117">
        <v>36</v>
      </c>
      <c r="D12" s="117">
        <v>36</v>
      </c>
      <c r="E12" s="117">
        <v>36</v>
      </c>
      <c r="F12" s="117">
        <v>36</v>
      </c>
      <c r="G12" s="117">
        <v>36</v>
      </c>
      <c r="H12" s="117">
        <v>36</v>
      </c>
      <c r="I12" s="22">
        <f t="shared" si="3"/>
        <v>252</v>
      </c>
      <c r="J12" s="66">
        <f t="shared" si="4"/>
        <v>6.3</v>
      </c>
      <c r="K12" s="71">
        <f t="shared" si="5"/>
        <v>3.5</v>
      </c>
      <c r="M12" s="116" t="s">
        <v>57</v>
      </c>
      <c r="N12" s="117"/>
      <c r="O12" s="117"/>
      <c r="P12" s="117"/>
      <c r="Q12" s="117"/>
      <c r="R12" s="117"/>
      <c r="S12" s="117"/>
      <c r="T12" s="117"/>
      <c r="U12" s="22">
        <f t="shared" si="2"/>
        <v>0</v>
      </c>
      <c r="V12" s="66">
        <v>2.8</v>
      </c>
      <c r="W12" s="71">
        <v>31.674356410256411</v>
      </c>
      <c r="Z12" s="122">
        <f t="shared" si="6"/>
        <v>230589.31466666667</v>
      </c>
    </row>
    <row r="13" spans="1:26" x14ac:dyDescent="0.2">
      <c r="A13" s="116" t="s">
        <v>2917</v>
      </c>
      <c r="B13" s="117">
        <v>8</v>
      </c>
      <c r="C13" s="117">
        <v>8</v>
      </c>
      <c r="D13" s="117">
        <v>8</v>
      </c>
      <c r="E13" s="117">
        <v>8</v>
      </c>
      <c r="F13" s="117">
        <v>8</v>
      </c>
      <c r="G13" s="117"/>
      <c r="H13" s="117"/>
      <c r="I13" s="22">
        <f t="shared" si="3"/>
        <v>40</v>
      </c>
      <c r="J13" s="66">
        <f t="shared" si="4"/>
        <v>1</v>
      </c>
      <c r="K13" s="71"/>
      <c r="M13" s="116"/>
      <c r="N13" s="117"/>
      <c r="O13" s="117"/>
      <c r="P13" s="117"/>
      <c r="Q13" s="117"/>
      <c r="R13" s="117"/>
      <c r="S13" s="117"/>
      <c r="T13" s="117"/>
      <c r="U13" s="22"/>
      <c r="V13" s="66"/>
      <c r="W13" s="71"/>
      <c r="Z13" s="122"/>
    </row>
    <row r="14" spans="1:26" x14ac:dyDescent="0.2">
      <c r="A14" s="116" t="s">
        <v>2918</v>
      </c>
      <c r="B14" s="117">
        <v>8</v>
      </c>
      <c r="C14" s="117">
        <v>8</v>
      </c>
      <c r="D14" s="117">
        <v>8</v>
      </c>
      <c r="E14" s="117">
        <v>8</v>
      </c>
      <c r="F14" s="117">
        <v>8</v>
      </c>
      <c r="G14" s="117"/>
      <c r="H14" s="117"/>
      <c r="I14" s="22">
        <f t="shared" si="3"/>
        <v>40</v>
      </c>
      <c r="J14" s="66">
        <f t="shared" si="4"/>
        <v>1</v>
      </c>
      <c r="K14" s="71"/>
      <c r="M14" s="116"/>
      <c r="N14" s="117"/>
      <c r="O14" s="117"/>
      <c r="P14" s="117"/>
      <c r="Q14" s="117"/>
      <c r="R14" s="117"/>
      <c r="S14" s="117"/>
      <c r="T14" s="117"/>
      <c r="U14" s="22"/>
      <c r="V14" s="66"/>
      <c r="Z14" s="122"/>
    </row>
    <row r="15" spans="1:26" x14ac:dyDescent="0.2">
      <c r="A15" s="116" t="s">
        <v>49</v>
      </c>
      <c r="B15" s="117">
        <v>8</v>
      </c>
      <c r="C15" s="117">
        <v>8</v>
      </c>
      <c r="D15" s="117">
        <v>8</v>
      </c>
      <c r="E15" s="117">
        <v>8</v>
      </c>
      <c r="F15" s="117">
        <v>8</v>
      </c>
      <c r="G15" s="21"/>
      <c r="H15" s="21"/>
      <c r="I15" s="22">
        <f t="shared" si="3"/>
        <v>40</v>
      </c>
      <c r="J15" s="66">
        <f t="shared" si="4"/>
        <v>1</v>
      </c>
      <c r="K15" s="71">
        <f t="shared" si="5"/>
        <v>1</v>
      </c>
      <c r="M15" s="116" t="s">
        <v>49</v>
      </c>
      <c r="N15" s="117"/>
      <c r="O15" s="117"/>
      <c r="P15" s="117"/>
      <c r="Q15" s="117"/>
      <c r="R15" s="117"/>
      <c r="S15" s="21"/>
      <c r="T15" s="21"/>
      <c r="U15" s="22">
        <f t="shared" si="2"/>
        <v>0</v>
      </c>
      <c r="V15" s="66">
        <v>0</v>
      </c>
      <c r="W15" s="71">
        <v>18.569492307692308</v>
      </c>
      <c r="Z15" s="122">
        <f t="shared" si="6"/>
        <v>38624.544000000002</v>
      </c>
    </row>
    <row r="16" spans="1:26" x14ac:dyDescent="0.2">
      <c r="A16" s="116" t="s">
        <v>2</v>
      </c>
      <c r="B16" s="117">
        <v>8</v>
      </c>
      <c r="C16" s="21">
        <v>8</v>
      </c>
      <c r="D16" s="117">
        <v>8</v>
      </c>
      <c r="E16" s="21">
        <v>8</v>
      </c>
      <c r="F16" s="117">
        <v>8</v>
      </c>
      <c r="G16" s="21"/>
      <c r="H16" s="21"/>
      <c r="I16" s="22">
        <f t="shared" si="0"/>
        <v>40</v>
      </c>
      <c r="J16" s="66">
        <f t="shared" ref="J16:J18" si="7">SUM(I16/40)</f>
        <v>1</v>
      </c>
      <c r="K16" s="71">
        <f t="shared" si="5"/>
        <v>0.82000000000000006</v>
      </c>
      <c r="M16" s="116" t="s">
        <v>2</v>
      </c>
      <c r="N16" s="117"/>
      <c r="O16" s="21"/>
      <c r="P16" s="117"/>
      <c r="Q16" s="21"/>
      <c r="R16" s="21"/>
      <c r="S16" s="21"/>
      <c r="T16" s="21"/>
      <c r="U16" s="22">
        <f t="shared" si="2"/>
        <v>0</v>
      </c>
      <c r="V16" s="66">
        <v>0.18</v>
      </c>
      <c r="W16" s="71">
        <v>87.550000000000011</v>
      </c>
      <c r="Z16" s="122">
        <f t="shared" si="6"/>
        <v>149325.28000000003</v>
      </c>
    </row>
    <row r="17" spans="1:26" x14ac:dyDescent="0.2">
      <c r="A17" s="116" t="s">
        <v>6</v>
      </c>
      <c r="B17" s="117">
        <v>8</v>
      </c>
      <c r="C17" s="117">
        <v>8</v>
      </c>
      <c r="D17" s="117">
        <v>8</v>
      </c>
      <c r="E17" s="21">
        <v>8</v>
      </c>
      <c r="F17" s="117">
        <v>8</v>
      </c>
      <c r="G17" s="21"/>
      <c r="H17" s="21"/>
      <c r="I17" s="22">
        <f t="shared" si="0"/>
        <v>40</v>
      </c>
      <c r="J17" s="66">
        <f t="shared" si="7"/>
        <v>1</v>
      </c>
      <c r="K17" s="71">
        <f t="shared" si="5"/>
        <v>0.8</v>
      </c>
      <c r="M17" s="116" t="s">
        <v>6</v>
      </c>
      <c r="N17" s="117"/>
      <c r="O17" s="117"/>
      <c r="P17" s="117"/>
      <c r="Q17" s="21"/>
      <c r="R17" s="21"/>
      <c r="S17" s="21"/>
      <c r="T17" s="21"/>
      <c r="U17" s="22">
        <f t="shared" si="2"/>
        <v>0</v>
      </c>
      <c r="V17" s="66">
        <v>0.2</v>
      </c>
      <c r="W17" s="71">
        <v>16.48</v>
      </c>
      <c r="Z17" s="122">
        <f t="shared" si="6"/>
        <v>27422.720000000001</v>
      </c>
    </row>
    <row r="18" spans="1:26" x14ac:dyDescent="0.2">
      <c r="A18" s="116" t="s">
        <v>58</v>
      </c>
      <c r="B18" s="117">
        <v>32</v>
      </c>
      <c r="C18" s="117">
        <v>32</v>
      </c>
      <c r="D18" s="117">
        <v>32</v>
      </c>
      <c r="E18" s="117">
        <v>32</v>
      </c>
      <c r="F18" s="117">
        <v>32</v>
      </c>
      <c r="G18" s="117">
        <v>16</v>
      </c>
      <c r="H18" s="117">
        <v>16</v>
      </c>
      <c r="I18" s="22">
        <f t="shared" si="0"/>
        <v>192</v>
      </c>
      <c r="J18" s="66">
        <f t="shared" si="7"/>
        <v>4.8</v>
      </c>
      <c r="K18" s="71">
        <f t="shared" si="5"/>
        <v>2.4</v>
      </c>
      <c r="M18" s="116" t="s">
        <v>58</v>
      </c>
      <c r="N18" s="117"/>
      <c r="O18" s="117"/>
      <c r="P18" s="117"/>
      <c r="Q18" s="117"/>
      <c r="R18" s="117"/>
      <c r="S18" s="117"/>
      <c r="T18" s="117"/>
      <c r="U18" s="22">
        <f t="shared" si="2"/>
        <v>0</v>
      </c>
      <c r="V18" s="66">
        <v>2.4</v>
      </c>
      <c r="W18" s="71">
        <v>40.506760897435896</v>
      </c>
      <c r="Z18" s="122">
        <f t="shared" si="6"/>
        <v>202209.75039999999</v>
      </c>
    </row>
    <row r="19" spans="1:26" x14ac:dyDescent="0.2">
      <c r="A19" s="116" t="s">
        <v>2919</v>
      </c>
      <c r="B19" s="117">
        <v>24</v>
      </c>
      <c r="C19" s="117">
        <v>24</v>
      </c>
      <c r="D19" s="117">
        <v>24</v>
      </c>
      <c r="E19" s="117">
        <v>24</v>
      </c>
      <c r="F19" s="117">
        <v>24</v>
      </c>
      <c r="G19" s="117">
        <v>24</v>
      </c>
      <c r="H19" s="117">
        <v>24</v>
      </c>
      <c r="I19" s="22">
        <v>168</v>
      </c>
      <c r="J19" s="66">
        <v>4.2</v>
      </c>
      <c r="K19" s="71"/>
      <c r="M19" s="116"/>
      <c r="N19" s="117"/>
      <c r="O19" s="117"/>
      <c r="P19" s="117"/>
      <c r="Q19" s="117"/>
      <c r="R19" s="117"/>
      <c r="S19" s="117"/>
      <c r="T19" s="117"/>
      <c r="U19" s="22"/>
      <c r="V19" s="66"/>
      <c r="W19" s="71"/>
      <c r="Z19" s="122"/>
    </row>
    <row r="20" spans="1:26" x14ac:dyDescent="0.2">
      <c r="A20" s="116" t="s">
        <v>602</v>
      </c>
      <c r="B20" s="117">
        <v>8</v>
      </c>
      <c r="C20" s="117">
        <v>8</v>
      </c>
      <c r="D20" s="117">
        <v>8</v>
      </c>
      <c r="E20" s="117">
        <v>8</v>
      </c>
      <c r="F20" s="117">
        <v>8</v>
      </c>
      <c r="G20" s="117"/>
      <c r="H20" s="117"/>
      <c r="I20" s="22">
        <f>SUM(B20:H20)</f>
        <v>40</v>
      </c>
      <c r="J20" s="66">
        <f>I20/40</f>
        <v>1</v>
      </c>
      <c r="K20" s="71"/>
      <c r="M20" s="116"/>
      <c r="N20" s="117"/>
      <c r="O20" s="117"/>
      <c r="P20" s="117"/>
      <c r="Q20" s="117"/>
      <c r="R20" s="117"/>
      <c r="S20" s="117"/>
      <c r="T20" s="117"/>
      <c r="U20" s="22"/>
      <c r="V20" s="66"/>
      <c r="W20" s="71"/>
      <c r="Z20" s="122"/>
    </row>
    <row r="21" spans="1:26" x14ac:dyDescent="0.2">
      <c r="A21" s="116" t="s">
        <v>2916</v>
      </c>
      <c r="B21" s="117">
        <v>16</v>
      </c>
      <c r="C21" s="117">
        <v>16</v>
      </c>
      <c r="D21" s="117">
        <v>16</v>
      </c>
      <c r="E21" s="117">
        <v>16</v>
      </c>
      <c r="F21" s="117">
        <v>16</v>
      </c>
      <c r="G21" s="117"/>
      <c r="H21" s="117"/>
      <c r="I21" s="22">
        <f>SUM(B21:H21)</f>
        <v>80</v>
      </c>
      <c r="J21" s="66">
        <f>I21/40</f>
        <v>2</v>
      </c>
      <c r="K21" s="71"/>
      <c r="M21" s="116"/>
      <c r="N21" s="117"/>
      <c r="O21" s="117"/>
      <c r="P21" s="117"/>
      <c r="Q21" s="117"/>
      <c r="R21" s="117"/>
      <c r="S21" s="117"/>
      <c r="T21" s="117"/>
      <c r="U21" s="22"/>
      <c r="V21" s="66"/>
      <c r="W21" s="71"/>
      <c r="Z21" s="122"/>
    </row>
    <row r="22" spans="1:26" x14ac:dyDescent="0.2">
      <c r="A22" s="116" t="s">
        <v>51</v>
      </c>
      <c r="B22" s="117">
        <v>8</v>
      </c>
      <c r="C22" s="117">
        <v>8</v>
      </c>
      <c r="D22" s="117">
        <v>8</v>
      </c>
      <c r="E22" s="117"/>
      <c r="F22" s="117"/>
      <c r="G22" s="117"/>
      <c r="H22" s="117"/>
      <c r="I22" s="22">
        <f>SUM(B22:H22)</f>
        <v>24</v>
      </c>
      <c r="J22" s="66">
        <f>SUM(I22/40)</f>
        <v>0.6</v>
      </c>
      <c r="K22" s="121">
        <f t="shared" si="5"/>
        <v>0.19999999999999996</v>
      </c>
      <c r="M22" s="116" t="s">
        <v>51</v>
      </c>
      <c r="N22" s="117"/>
      <c r="O22" s="117"/>
      <c r="P22" s="117"/>
      <c r="Q22" s="117"/>
      <c r="R22" s="117"/>
      <c r="S22" s="117"/>
      <c r="T22" s="117"/>
      <c r="U22" s="22">
        <f t="shared" si="2"/>
        <v>0</v>
      </c>
      <c r="V22" s="66">
        <v>0.4</v>
      </c>
      <c r="W22" s="71">
        <v>163.69642857142858</v>
      </c>
      <c r="Z22" s="122">
        <f t="shared" si="6"/>
        <v>68097.714285714275</v>
      </c>
    </row>
    <row r="23" spans="1:26" x14ac:dyDescent="0.2">
      <c r="A23" s="116" t="s">
        <v>2921</v>
      </c>
      <c r="B23" s="117">
        <v>8</v>
      </c>
      <c r="C23" s="117">
        <v>8</v>
      </c>
      <c r="D23" s="117">
        <v>8</v>
      </c>
      <c r="E23" s="117"/>
      <c r="F23" s="117"/>
      <c r="G23" s="117"/>
      <c r="H23" s="117"/>
      <c r="I23" s="22">
        <f>SUM(B23:H23)</f>
        <v>24</v>
      </c>
      <c r="J23" s="66">
        <f>SUM(I23/40)</f>
        <v>0.6</v>
      </c>
      <c r="K23" s="459"/>
      <c r="M23" s="116"/>
      <c r="N23" s="117"/>
      <c r="O23" s="117"/>
      <c r="P23" s="117"/>
      <c r="Q23" s="117"/>
      <c r="R23" s="117"/>
      <c r="S23" s="117"/>
      <c r="T23" s="117"/>
      <c r="U23" s="22"/>
      <c r="V23" s="66"/>
      <c r="W23" s="71"/>
      <c r="Z23" s="122"/>
    </row>
    <row r="24" spans="1:26" x14ac:dyDescent="0.2">
      <c r="A24" s="23" t="s">
        <v>19</v>
      </c>
      <c r="B24" s="24"/>
      <c r="C24" s="24"/>
      <c r="D24" s="24"/>
      <c r="E24" s="24"/>
      <c r="F24" s="24"/>
      <c r="G24" s="24"/>
      <c r="H24" s="24"/>
      <c r="I24" s="25">
        <v>1418</v>
      </c>
      <c r="J24" s="67">
        <v>35.450000000000003</v>
      </c>
      <c r="K24" s="71">
        <f>SUM(K6:K22)</f>
        <v>15.139999999999999</v>
      </c>
      <c r="M24" s="23" t="s">
        <v>19</v>
      </c>
      <c r="N24" s="24"/>
      <c r="O24" s="24"/>
      <c r="P24" s="24"/>
      <c r="Q24" s="24"/>
      <c r="R24" s="24"/>
      <c r="S24" s="24"/>
      <c r="T24" s="24"/>
      <c r="U24" s="25">
        <f>SUM(U6:U22)</f>
        <v>0</v>
      </c>
      <c r="V24" s="67">
        <f>SUM(V6:V22)</f>
        <v>10.51</v>
      </c>
      <c r="Z24" s="122"/>
    </row>
    <row r="25" spans="1:26" x14ac:dyDescent="0.2">
      <c r="A25" s="503" t="s">
        <v>70</v>
      </c>
      <c r="B25" s="504"/>
      <c r="C25" s="504"/>
      <c r="D25" s="504"/>
      <c r="E25" s="504"/>
      <c r="F25" s="504"/>
      <c r="G25" s="504"/>
      <c r="H25" s="504"/>
      <c r="I25" s="504"/>
      <c r="J25" s="505"/>
      <c r="M25" s="503" t="s">
        <v>70</v>
      </c>
      <c r="N25" s="504"/>
      <c r="O25" s="504"/>
      <c r="P25" s="504"/>
      <c r="Q25" s="504"/>
      <c r="R25" s="504"/>
      <c r="S25" s="504"/>
      <c r="T25" s="504"/>
      <c r="U25" s="504"/>
      <c r="V25" s="505"/>
      <c r="Z25" s="122"/>
    </row>
    <row r="26" spans="1:26" hidden="1" x14ac:dyDescent="0.2">
      <c r="A26" s="116" t="s">
        <v>172</v>
      </c>
      <c r="B26" s="117"/>
      <c r="C26" s="117"/>
      <c r="D26" s="117"/>
      <c r="E26" s="117"/>
      <c r="F26" s="117"/>
      <c r="G26" s="117"/>
      <c r="H26" s="117"/>
      <c r="I26" s="22"/>
      <c r="J26" s="323"/>
      <c r="K26" s="71">
        <f t="shared" ref="K26:K27" si="8">+J26-V26</f>
        <v>-1.4</v>
      </c>
      <c r="M26" s="116" t="s">
        <v>172</v>
      </c>
      <c r="N26" s="117"/>
      <c r="O26" s="117"/>
      <c r="P26" s="117"/>
      <c r="Q26" s="117"/>
      <c r="R26" s="117"/>
      <c r="S26" s="117"/>
      <c r="T26" s="117"/>
      <c r="U26" s="22"/>
      <c r="V26" s="68">
        <v>1.4</v>
      </c>
      <c r="W26" s="14">
        <f>+M48</f>
        <v>22.39</v>
      </c>
      <c r="Z26" s="122">
        <f t="shared" ref="Z26:Z27" si="9">+K26*W26*2080</f>
        <v>-65199.68</v>
      </c>
    </row>
    <row r="27" spans="1:26" x14ac:dyDescent="0.2">
      <c r="A27" s="116" t="s">
        <v>58</v>
      </c>
      <c r="B27" s="117">
        <v>8</v>
      </c>
      <c r="C27" s="117">
        <v>8</v>
      </c>
      <c r="D27" s="117">
        <v>8</v>
      </c>
      <c r="E27" s="117">
        <v>8</v>
      </c>
      <c r="F27" s="117">
        <v>8</v>
      </c>
      <c r="G27" s="117">
        <v>6</v>
      </c>
      <c r="H27" s="117">
        <v>6</v>
      </c>
      <c r="I27" s="22">
        <f t="shared" ref="I27" si="10">SUM(B27:H27)</f>
        <v>52</v>
      </c>
      <c r="J27" s="68">
        <f t="shared" ref="J27" si="11">SUM(I27/40)</f>
        <v>1.3</v>
      </c>
      <c r="K27" s="121">
        <f t="shared" si="8"/>
        <v>1.3</v>
      </c>
      <c r="M27" s="116" t="s">
        <v>58</v>
      </c>
      <c r="N27" s="117">
        <v>8</v>
      </c>
      <c r="O27" s="117">
        <v>8</v>
      </c>
      <c r="P27" s="117">
        <v>8</v>
      </c>
      <c r="Q27" s="117">
        <v>8</v>
      </c>
      <c r="R27" s="117">
        <v>8</v>
      </c>
      <c r="S27" s="21"/>
      <c r="T27" s="21"/>
      <c r="U27" s="26">
        <f t="shared" ref="U27" si="12">SUM(N27:T27)</f>
        <v>40</v>
      </c>
      <c r="V27" s="68"/>
      <c r="W27" s="71">
        <f>+M53</f>
        <v>40.506760897435896</v>
      </c>
      <c r="Z27" s="122">
        <f t="shared" si="9"/>
        <v>109530.28146666667</v>
      </c>
    </row>
    <row r="28" spans="1:26" x14ac:dyDescent="0.2">
      <c r="A28" s="116" t="s">
        <v>2922</v>
      </c>
      <c r="B28" s="460">
        <v>12</v>
      </c>
      <c r="C28" s="460">
        <v>12</v>
      </c>
      <c r="D28" s="460">
        <v>12</v>
      </c>
      <c r="E28" s="460">
        <v>12</v>
      </c>
      <c r="F28" s="460">
        <v>12</v>
      </c>
      <c r="G28" s="460">
        <v>12</v>
      </c>
      <c r="H28" s="460">
        <v>12</v>
      </c>
      <c r="I28" s="22">
        <f>SUM(B28:H28)</f>
        <v>84</v>
      </c>
      <c r="J28" s="68">
        <f>SUM(I28/40)</f>
        <v>2.1</v>
      </c>
      <c r="K28" s="459"/>
      <c r="M28" s="116"/>
      <c r="N28" s="460"/>
      <c r="O28" s="460"/>
      <c r="P28" s="460"/>
      <c r="Q28" s="460"/>
      <c r="R28" s="460"/>
      <c r="S28" s="461"/>
      <c r="T28" s="461"/>
      <c r="U28" s="26"/>
      <c r="V28" s="68"/>
      <c r="W28" s="71"/>
      <c r="Z28" s="122"/>
    </row>
    <row r="29" spans="1:26" ht="13.5" thickBot="1" x14ac:dyDescent="0.25">
      <c r="A29" s="23" t="s">
        <v>20</v>
      </c>
      <c r="B29" s="27"/>
      <c r="C29" s="27"/>
      <c r="D29" s="27"/>
      <c r="E29" s="27"/>
      <c r="F29" s="27"/>
      <c r="G29" s="27"/>
      <c r="H29" s="27"/>
      <c r="I29" s="28">
        <v>136</v>
      </c>
      <c r="J29" s="67">
        <v>3.4</v>
      </c>
      <c r="K29" s="71">
        <f>SUM(K26:K27)</f>
        <v>-9.9999999999999867E-2</v>
      </c>
      <c r="M29" s="23" t="s">
        <v>20</v>
      </c>
      <c r="N29" s="27"/>
      <c r="O29" s="27"/>
      <c r="P29" s="27"/>
      <c r="Q29" s="27"/>
      <c r="R29" s="27"/>
      <c r="S29" s="27"/>
      <c r="T29" s="27"/>
      <c r="U29" s="28">
        <f>SUM(U26:U27)</f>
        <v>40</v>
      </c>
      <c r="V29" s="67">
        <f>SUM(V26:V27)</f>
        <v>1.4</v>
      </c>
      <c r="Z29" s="122"/>
    </row>
    <row r="30" spans="1:26" ht="13.5" thickTop="1" x14ac:dyDescent="0.2">
      <c r="A30" s="503" t="s">
        <v>71</v>
      </c>
      <c r="B30" s="504"/>
      <c r="C30" s="504"/>
      <c r="D30" s="504"/>
      <c r="E30" s="504"/>
      <c r="F30" s="504"/>
      <c r="G30" s="504"/>
      <c r="H30" s="504"/>
      <c r="I30" s="504"/>
      <c r="J30" s="505"/>
      <c r="M30" s="503" t="s">
        <v>71</v>
      </c>
      <c r="N30" s="504"/>
      <c r="O30" s="504"/>
      <c r="P30" s="504"/>
      <c r="Q30" s="504"/>
      <c r="R30" s="504"/>
      <c r="S30" s="504"/>
      <c r="T30" s="504"/>
      <c r="U30" s="504"/>
      <c r="V30" s="505"/>
      <c r="Z30" s="122"/>
    </row>
    <row r="31" spans="1:26" x14ac:dyDescent="0.2">
      <c r="A31" s="118" t="s">
        <v>18</v>
      </c>
      <c r="B31" s="117">
        <v>24</v>
      </c>
      <c r="C31" s="117">
        <v>24</v>
      </c>
      <c r="D31" s="117">
        <v>24</v>
      </c>
      <c r="E31" s="117">
        <v>24</v>
      </c>
      <c r="F31" s="117">
        <v>24</v>
      </c>
      <c r="G31" s="117">
        <v>24</v>
      </c>
      <c r="H31" s="117">
        <v>24</v>
      </c>
      <c r="I31" s="22">
        <f t="shared" ref="I31:I32" si="13">SUM(B31:H31)</f>
        <v>168</v>
      </c>
      <c r="J31" s="66">
        <f t="shared" ref="J31" si="14">SUM(I31/40)</f>
        <v>4.2</v>
      </c>
      <c r="K31" s="71">
        <f t="shared" ref="K31:K33" si="15">+J31-V31</f>
        <v>4.2</v>
      </c>
      <c r="M31" s="118" t="s">
        <v>18</v>
      </c>
      <c r="N31" s="117">
        <v>8</v>
      </c>
      <c r="O31" s="117">
        <v>8</v>
      </c>
      <c r="P31" s="117">
        <v>8</v>
      </c>
      <c r="Q31" s="117">
        <v>8</v>
      </c>
      <c r="R31" s="117">
        <v>8</v>
      </c>
      <c r="S31" s="117">
        <v>8</v>
      </c>
      <c r="T31" s="117">
        <v>8</v>
      </c>
      <c r="U31" s="22">
        <f t="shared" ref="U31:U32" si="16">SUM(N31:T31)</f>
        <v>56</v>
      </c>
      <c r="V31" s="66"/>
      <c r="W31" s="71">
        <f>+M46</f>
        <v>44.779220512820523</v>
      </c>
      <c r="Z31" s="122">
        <f t="shared" ref="Z31:Z33" si="17">+K31*W31*2080</f>
        <v>391191.2704000001</v>
      </c>
    </row>
    <row r="32" spans="1:26" x14ac:dyDescent="0.2">
      <c r="A32" s="118" t="s">
        <v>57</v>
      </c>
      <c r="B32" s="117">
        <v>36</v>
      </c>
      <c r="C32" s="117">
        <v>36</v>
      </c>
      <c r="D32" s="117">
        <v>36</v>
      </c>
      <c r="E32" s="117">
        <v>36</v>
      </c>
      <c r="F32" s="117">
        <v>36</v>
      </c>
      <c r="G32" s="117">
        <v>36</v>
      </c>
      <c r="H32" s="117">
        <v>36</v>
      </c>
      <c r="I32" s="22">
        <f t="shared" si="13"/>
        <v>252</v>
      </c>
      <c r="J32" s="68">
        <f>SUM(I32/40)</f>
        <v>6.3</v>
      </c>
      <c r="K32" s="71">
        <f t="shared" si="15"/>
        <v>3.5</v>
      </c>
      <c r="M32" s="118" t="s">
        <v>57</v>
      </c>
      <c r="N32" s="117">
        <v>16</v>
      </c>
      <c r="O32" s="117">
        <v>16</v>
      </c>
      <c r="P32" s="117">
        <v>16</v>
      </c>
      <c r="Q32" s="117">
        <v>16</v>
      </c>
      <c r="R32" s="117">
        <v>16</v>
      </c>
      <c r="S32" s="117">
        <v>16</v>
      </c>
      <c r="T32" s="117">
        <v>16</v>
      </c>
      <c r="U32" s="26">
        <f t="shared" si="16"/>
        <v>112</v>
      </c>
      <c r="V32" s="68">
        <f>SUM(U32/40)</f>
        <v>2.8</v>
      </c>
      <c r="W32" s="71">
        <f>+M47</f>
        <v>31.674356410256411</v>
      </c>
      <c r="Z32" s="122">
        <f t="shared" si="17"/>
        <v>230589.31466666667</v>
      </c>
    </row>
    <row r="33" spans="1:26" x14ac:dyDescent="0.2">
      <c r="A33" s="118" t="s">
        <v>58</v>
      </c>
      <c r="B33" s="117"/>
      <c r="C33" s="117"/>
      <c r="D33" s="117"/>
      <c r="E33" s="117"/>
      <c r="F33" s="117"/>
      <c r="G33" s="117"/>
      <c r="H33" s="117"/>
      <c r="I33" s="22">
        <f t="shared" ref="I33" si="18">SUM(B33:H33)</f>
        <v>0</v>
      </c>
      <c r="J33" s="68">
        <f>SUM(I33/40)</f>
        <v>0</v>
      </c>
      <c r="K33" s="71">
        <f t="shared" si="15"/>
        <v>-1.4</v>
      </c>
      <c r="M33" s="118" t="s">
        <v>172</v>
      </c>
      <c r="N33" s="117"/>
      <c r="O33" s="117"/>
      <c r="P33" s="117"/>
      <c r="Q33" s="117"/>
      <c r="R33" s="117"/>
      <c r="S33" s="117"/>
      <c r="T33" s="117"/>
      <c r="U33" s="26"/>
      <c r="V33" s="68">
        <v>1.4</v>
      </c>
      <c r="W33" s="14">
        <f>+M48</f>
        <v>22.39</v>
      </c>
      <c r="Z33" s="122">
        <f t="shared" si="17"/>
        <v>-65199.68</v>
      </c>
    </row>
    <row r="34" spans="1:26" ht="13.5" thickBot="1" x14ac:dyDescent="0.25">
      <c r="A34" s="23" t="s">
        <v>35</v>
      </c>
      <c r="B34" s="27"/>
      <c r="C34" s="27"/>
      <c r="D34" s="27"/>
      <c r="E34" s="27"/>
      <c r="F34" s="27"/>
      <c r="G34" s="27"/>
      <c r="H34" s="27"/>
      <c r="I34" s="25">
        <f>SUM(I31:I33)</f>
        <v>420</v>
      </c>
      <c r="J34" s="67">
        <f>SUM(J31:J33)</f>
        <v>10.5</v>
      </c>
      <c r="K34" s="71">
        <f>SUM(K31:K33)</f>
        <v>6.3000000000000007</v>
      </c>
      <c r="M34" s="23" t="s">
        <v>35</v>
      </c>
      <c r="N34" s="27"/>
      <c r="O34" s="27"/>
      <c r="P34" s="27"/>
      <c r="Q34" s="27"/>
      <c r="R34" s="27"/>
      <c r="S34" s="27"/>
      <c r="T34" s="27"/>
      <c r="U34" s="28">
        <f>SUM(U31:U33)</f>
        <v>168</v>
      </c>
      <c r="V34" s="67">
        <f>SUM(V31:V33)</f>
        <v>4.1999999999999993</v>
      </c>
    </row>
    <row r="35" spans="1:26" ht="14.25" thickTop="1" thickBot="1" x14ac:dyDescent="0.25">
      <c r="A35" s="7"/>
      <c r="B35" s="9"/>
      <c r="C35" s="9"/>
      <c r="D35" s="9"/>
      <c r="E35" s="9"/>
      <c r="F35" s="9"/>
      <c r="G35" s="9"/>
      <c r="H35" s="9"/>
      <c r="I35" s="8"/>
      <c r="J35" s="69"/>
      <c r="M35" s="7"/>
      <c r="N35" s="9"/>
      <c r="O35" s="9"/>
      <c r="P35" s="9"/>
      <c r="Q35" s="9"/>
      <c r="R35" s="9"/>
      <c r="S35" s="9"/>
      <c r="T35" s="9"/>
      <c r="U35" s="8"/>
      <c r="V35" s="69"/>
      <c r="Z35" s="122">
        <f>SUM(Z6:Z33)</f>
        <v>1958063.5456190479</v>
      </c>
    </row>
    <row r="36" spans="1:26" s="34" customFormat="1" ht="14.25" thickTop="1" thickBot="1" x14ac:dyDescent="0.25">
      <c r="A36" s="29" t="s">
        <v>21</v>
      </c>
      <c r="B36" s="27"/>
      <c r="C36" s="27"/>
      <c r="D36" s="27"/>
      <c r="E36" s="27"/>
      <c r="F36" s="27"/>
      <c r="G36" s="27"/>
      <c r="H36" s="27"/>
      <c r="I36" s="30">
        <f>SUM(I24,I29,I34)</f>
        <v>1974</v>
      </c>
      <c r="J36" s="70">
        <f>SUM(J24,J29,J34)</f>
        <v>49.35</v>
      </c>
      <c r="K36" s="119">
        <f>+K34+K29+K24</f>
        <v>21.34</v>
      </c>
      <c r="M36" s="29" t="s">
        <v>21</v>
      </c>
      <c r="N36" s="27"/>
      <c r="O36" s="27"/>
      <c r="P36" s="27"/>
      <c r="Q36" s="27"/>
      <c r="R36" s="27"/>
      <c r="S36" s="27"/>
      <c r="T36" s="27"/>
      <c r="U36" s="30">
        <f>SUM(U24,U29,U34)</f>
        <v>208</v>
      </c>
      <c r="V36" s="70">
        <f>+V34+V29+V24</f>
        <v>16.11</v>
      </c>
    </row>
    <row r="37" spans="1:26" s="37" customFormat="1" ht="13.5" thickTop="1" x14ac:dyDescent="0.2">
      <c r="A37"/>
      <c r="B37"/>
      <c r="C37"/>
      <c r="D37"/>
      <c r="E37"/>
      <c r="F37"/>
      <c r="G37"/>
      <c r="H37"/>
      <c r="I37"/>
      <c r="J37" s="71"/>
    </row>
    <row r="38" spans="1:26" x14ac:dyDescent="0.2">
      <c r="B38" s="6"/>
      <c r="C38" s="6"/>
      <c r="D38" s="6"/>
      <c r="E38" s="6"/>
      <c r="F38" s="6"/>
      <c r="G38" s="6"/>
      <c r="H38" s="6"/>
      <c r="I38" s="6"/>
      <c r="J38" s="72"/>
    </row>
    <row r="39" spans="1:26" x14ac:dyDescent="0.2">
      <c r="A39" s="77"/>
    </row>
    <row r="40" spans="1:26" hidden="1" x14ac:dyDescent="0.2">
      <c r="A40" s="78" t="s">
        <v>73</v>
      </c>
      <c r="M40" s="71">
        <v>59.68765384615385</v>
      </c>
      <c r="N40" s="14" t="s">
        <v>37</v>
      </c>
      <c r="V40" s="116" t="s">
        <v>37</v>
      </c>
    </row>
    <row r="41" spans="1:26" hidden="1" x14ac:dyDescent="0.2">
      <c r="M41" s="71">
        <v>23.288299999999996</v>
      </c>
      <c r="N41" s="14" t="s">
        <v>72</v>
      </c>
      <c r="V41" s="116" t="s">
        <v>72</v>
      </c>
    </row>
    <row r="42" spans="1:26" hidden="1" x14ac:dyDescent="0.2">
      <c r="B42" s="506" t="s">
        <v>43</v>
      </c>
      <c r="C42" s="506"/>
      <c r="D42" s="506"/>
      <c r="E42" s="506"/>
      <c r="F42" s="506"/>
      <c r="M42" s="71">
        <v>149.35</v>
      </c>
      <c r="N42" s="14" t="s">
        <v>30</v>
      </c>
      <c r="V42" s="116" t="s">
        <v>30</v>
      </c>
    </row>
    <row r="43" spans="1:26" hidden="1" x14ac:dyDescent="0.2">
      <c r="B43" s="39" t="s">
        <v>39</v>
      </c>
      <c r="C43" s="39" t="s">
        <v>40</v>
      </c>
      <c r="D43" s="39" t="s">
        <v>41</v>
      </c>
      <c r="E43" s="39" t="s">
        <v>1</v>
      </c>
      <c r="F43" s="39" t="s">
        <v>42</v>
      </c>
      <c r="G43" s="31" t="s">
        <v>22</v>
      </c>
      <c r="M43" s="71">
        <v>64.993223076923073</v>
      </c>
      <c r="N43" s="14" t="s">
        <v>38</v>
      </c>
      <c r="V43" s="116" t="s">
        <v>38</v>
      </c>
    </row>
    <row r="44" spans="1:26" hidden="1" x14ac:dyDescent="0.2">
      <c r="A44" s="116" t="s">
        <v>37</v>
      </c>
      <c r="B44" s="38">
        <f>I6</f>
        <v>40</v>
      </c>
      <c r="C44" s="38"/>
      <c r="D44" s="38"/>
      <c r="E44" s="38">
        <f>SUM(B44:D44)</f>
        <v>40</v>
      </c>
      <c r="F44" s="38"/>
      <c r="G44" s="342">
        <f>E44/40</f>
        <v>1</v>
      </c>
      <c r="M44" s="71">
        <v>144.19999999999999</v>
      </c>
      <c r="N44" s="14" t="s">
        <v>56</v>
      </c>
      <c r="V44" s="116" t="s">
        <v>56</v>
      </c>
    </row>
    <row r="45" spans="1:26" hidden="1" x14ac:dyDescent="0.2">
      <c r="A45" s="116" t="s">
        <v>72</v>
      </c>
      <c r="B45" s="38">
        <f>I7</f>
        <v>40</v>
      </c>
      <c r="C45" s="38"/>
      <c r="D45" s="38"/>
      <c r="E45" s="38">
        <f t="shared" ref="E45:E58" si="19">SUM(B45:D45)</f>
        <v>40</v>
      </c>
      <c r="F45" s="38"/>
      <c r="G45" s="342">
        <f t="shared" ref="G45:G58" si="20">E45/40</f>
        <v>1</v>
      </c>
      <c r="M45" s="71">
        <v>46.423730769230772</v>
      </c>
      <c r="N45" s="14" t="s">
        <v>50</v>
      </c>
      <c r="V45" s="116" t="s">
        <v>50</v>
      </c>
    </row>
    <row r="46" spans="1:26" hidden="1" x14ac:dyDescent="0.2">
      <c r="A46" s="116" t="s">
        <v>30</v>
      </c>
      <c r="B46" s="38">
        <f>I8</f>
        <v>10</v>
      </c>
      <c r="C46" s="38"/>
      <c r="D46" s="38"/>
      <c r="E46" s="38">
        <f t="shared" si="19"/>
        <v>10</v>
      </c>
      <c r="F46" s="38"/>
      <c r="G46" s="342">
        <f t="shared" si="20"/>
        <v>0.25</v>
      </c>
      <c r="M46" s="71">
        <v>44.779220512820523</v>
      </c>
      <c r="N46" s="14" t="s">
        <v>18</v>
      </c>
      <c r="V46" s="116" t="s">
        <v>18</v>
      </c>
    </row>
    <row r="47" spans="1:26" hidden="1" x14ac:dyDescent="0.2">
      <c r="A47" s="116" t="s">
        <v>38</v>
      </c>
      <c r="B47" s="38">
        <f>I9</f>
        <v>56</v>
      </c>
      <c r="C47" s="38"/>
      <c r="D47" s="38"/>
      <c r="E47" s="38">
        <f t="shared" si="19"/>
        <v>56</v>
      </c>
      <c r="F47" s="38">
        <f>G9+H9</f>
        <v>16</v>
      </c>
      <c r="G47" s="342">
        <f t="shared" si="20"/>
        <v>1.4</v>
      </c>
      <c r="M47" s="71">
        <v>31.674356410256411</v>
      </c>
      <c r="N47" s="14" t="s">
        <v>57</v>
      </c>
      <c r="V47" s="116" t="s">
        <v>57</v>
      </c>
    </row>
    <row r="48" spans="1:26" hidden="1" x14ac:dyDescent="0.2">
      <c r="A48" s="116" t="s">
        <v>56</v>
      </c>
      <c r="B48" s="38" t="e">
        <f>#REF!</f>
        <v>#REF!</v>
      </c>
      <c r="C48" s="38"/>
      <c r="D48" s="38"/>
      <c r="E48" s="38" t="e">
        <f t="shared" si="19"/>
        <v>#REF!</v>
      </c>
      <c r="F48" s="38"/>
      <c r="G48" s="342" t="e">
        <f t="shared" si="20"/>
        <v>#REF!</v>
      </c>
      <c r="M48" s="14">
        <v>22.39</v>
      </c>
      <c r="V48" s="14" t="s">
        <v>172</v>
      </c>
    </row>
    <row r="49" spans="1:22" hidden="1" x14ac:dyDescent="0.2">
      <c r="A49" s="116" t="s">
        <v>50</v>
      </c>
      <c r="B49" s="38">
        <f>I10</f>
        <v>40</v>
      </c>
      <c r="C49" s="38"/>
      <c r="D49" s="38"/>
      <c r="E49" s="38">
        <f t="shared" si="19"/>
        <v>40</v>
      </c>
      <c r="F49" s="38"/>
      <c r="G49" s="342">
        <f t="shared" si="20"/>
        <v>1</v>
      </c>
      <c r="M49" s="71">
        <v>22.798176923076923</v>
      </c>
      <c r="N49" s="14" t="s">
        <v>34</v>
      </c>
      <c r="V49" s="116" t="s">
        <v>34</v>
      </c>
    </row>
    <row r="50" spans="1:22" hidden="1" x14ac:dyDescent="0.2">
      <c r="A50" s="116" t="s">
        <v>18</v>
      </c>
      <c r="B50" s="38">
        <f>I11</f>
        <v>252</v>
      </c>
      <c r="C50" s="38"/>
      <c r="D50" s="38">
        <f>I31</f>
        <v>168</v>
      </c>
      <c r="E50" s="38">
        <f t="shared" si="19"/>
        <v>420</v>
      </c>
      <c r="F50" s="38">
        <f>G11+H11+G31+H31</f>
        <v>120</v>
      </c>
      <c r="G50" s="342">
        <f t="shared" si="20"/>
        <v>10.5</v>
      </c>
      <c r="M50" s="71">
        <v>18.569492307692308</v>
      </c>
      <c r="N50" s="14" t="s">
        <v>49</v>
      </c>
      <c r="V50" s="116" t="s">
        <v>49</v>
      </c>
    </row>
    <row r="51" spans="1:22" hidden="1" x14ac:dyDescent="0.2">
      <c r="A51" s="116" t="s">
        <v>57</v>
      </c>
      <c r="B51" s="38">
        <f>I12</f>
        <v>252</v>
      </c>
      <c r="C51" s="38"/>
      <c r="D51" s="38">
        <f>I32</f>
        <v>252</v>
      </c>
      <c r="E51" s="38">
        <f t="shared" si="19"/>
        <v>504</v>
      </c>
      <c r="F51" s="38">
        <f>G12+H12+G32+H32</f>
        <v>144</v>
      </c>
      <c r="G51" s="342">
        <f t="shared" si="20"/>
        <v>12.6</v>
      </c>
      <c r="M51" s="71">
        <v>87.550000000000011</v>
      </c>
      <c r="N51" s="14" t="s">
        <v>2</v>
      </c>
      <c r="V51" s="116" t="s">
        <v>2</v>
      </c>
    </row>
    <row r="52" spans="1:22" hidden="1" x14ac:dyDescent="0.2">
      <c r="A52" s="116" t="s">
        <v>34</v>
      </c>
      <c r="B52" s="38" t="e">
        <f>#REF!</f>
        <v>#REF!</v>
      </c>
      <c r="C52" s="38" t="e">
        <f>#REF!</f>
        <v>#REF!</v>
      </c>
      <c r="D52" s="38" t="e">
        <f>#REF!</f>
        <v>#REF!</v>
      </c>
      <c r="E52" s="38" t="e">
        <f t="shared" si="19"/>
        <v>#REF!</v>
      </c>
      <c r="F52" s="38" t="e">
        <f>#REF!+#REF!+#REF!+#REF!</f>
        <v>#REF!</v>
      </c>
      <c r="G52" s="342" t="e">
        <f t="shared" si="20"/>
        <v>#REF!</v>
      </c>
      <c r="M52" s="71">
        <v>16.48</v>
      </c>
      <c r="N52" s="14" t="s">
        <v>6</v>
      </c>
      <c r="V52" s="116" t="s">
        <v>6</v>
      </c>
    </row>
    <row r="53" spans="1:22" hidden="1" x14ac:dyDescent="0.2">
      <c r="A53" s="116" t="s">
        <v>49</v>
      </c>
      <c r="B53" s="38">
        <f>I15</f>
        <v>40</v>
      </c>
      <c r="C53" s="38"/>
      <c r="D53" s="38"/>
      <c r="E53" s="38">
        <f t="shared" si="19"/>
        <v>40</v>
      </c>
      <c r="F53" s="38"/>
      <c r="G53" s="342">
        <f t="shared" si="20"/>
        <v>1</v>
      </c>
      <c r="M53" s="71">
        <v>40.506760897435896</v>
      </c>
      <c r="N53" s="14" t="s">
        <v>58</v>
      </c>
      <c r="V53" s="116" t="s">
        <v>58</v>
      </c>
    </row>
    <row r="54" spans="1:22" hidden="1" x14ac:dyDescent="0.2">
      <c r="A54" s="116" t="s">
        <v>2</v>
      </c>
      <c r="B54" s="38">
        <f>I16</f>
        <v>40</v>
      </c>
      <c r="C54" s="38"/>
      <c r="D54" s="38"/>
      <c r="E54" s="38">
        <f t="shared" si="19"/>
        <v>40</v>
      </c>
      <c r="F54" s="38"/>
      <c r="G54" s="342">
        <f t="shared" si="20"/>
        <v>1</v>
      </c>
      <c r="M54" s="71">
        <v>163.69642857142858</v>
      </c>
      <c r="N54" s="14" t="s">
        <v>51</v>
      </c>
      <c r="V54" s="116" t="s">
        <v>51</v>
      </c>
    </row>
    <row r="55" spans="1:22" hidden="1" x14ac:dyDescent="0.2">
      <c r="A55" s="116" t="s">
        <v>6</v>
      </c>
      <c r="B55" s="38">
        <f>I17</f>
        <v>40</v>
      </c>
      <c r="C55" s="38"/>
      <c r="D55" s="38"/>
      <c r="E55" s="38">
        <f t="shared" si="19"/>
        <v>40</v>
      </c>
      <c r="F55" s="38"/>
      <c r="G55" s="342">
        <f t="shared" si="20"/>
        <v>1</v>
      </c>
    </row>
    <row r="56" spans="1:22" hidden="1" x14ac:dyDescent="0.2">
      <c r="A56" s="116" t="s">
        <v>58</v>
      </c>
      <c r="B56" s="38">
        <f>I18</f>
        <v>192</v>
      </c>
      <c r="C56" s="38">
        <f>I27</f>
        <v>52</v>
      </c>
      <c r="D56" s="38">
        <f>+I33</f>
        <v>0</v>
      </c>
      <c r="E56" s="38">
        <f>SUM(B56:D56)</f>
        <v>244</v>
      </c>
      <c r="F56" s="38">
        <f>G18+H18+G27+H27+G33+H33</f>
        <v>44</v>
      </c>
      <c r="G56" s="342">
        <f t="shared" si="20"/>
        <v>6.1</v>
      </c>
    </row>
    <row r="57" spans="1:22" hidden="1" x14ac:dyDescent="0.2">
      <c r="A57" s="116" t="s">
        <v>605</v>
      </c>
      <c r="B57" s="38">
        <f>I20</f>
        <v>40</v>
      </c>
      <c r="C57" s="38"/>
      <c r="D57" s="38"/>
      <c r="E57" s="38">
        <f>SUM(B57:D57)</f>
        <v>40</v>
      </c>
      <c r="F57" s="38">
        <f>G20+H20</f>
        <v>0</v>
      </c>
      <c r="G57" s="342">
        <f t="shared" si="20"/>
        <v>1</v>
      </c>
    </row>
    <row r="58" spans="1:22" hidden="1" x14ac:dyDescent="0.2">
      <c r="A58" s="116" t="s">
        <v>51</v>
      </c>
      <c r="B58" s="38">
        <f>I22</f>
        <v>24</v>
      </c>
      <c r="C58" s="38"/>
      <c r="D58" s="38"/>
      <c r="E58" s="38">
        <f t="shared" si="19"/>
        <v>24</v>
      </c>
      <c r="F58" s="38">
        <f>G22+H22</f>
        <v>0</v>
      </c>
      <c r="G58" s="342">
        <f t="shared" si="20"/>
        <v>0.6</v>
      </c>
    </row>
    <row r="59" spans="1:22" hidden="1" x14ac:dyDescent="0.2">
      <c r="A59" s="32" t="s">
        <v>44</v>
      </c>
      <c r="B59" s="33" t="e">
        <f t="shared" ref="B59:G59" si="21">SUM(B44:B58)</f>
        <v>#REF!</v>
      </c>
      <c r="C59" s="33" t="e">
        <f t="shared" si="21"/>
        <v>#REF!</v>
      </c>
      <c r="D59" s="33" t="e">
        <f t="shared" si="21"/>
        <v>#REF!</v>
      </c>
      <c r="E59" s="33" t="e">
        <f t="shared" si="21"/>
        <v>#REF!</v>
      </c>
      <c r="F59" s="33" t="e">
        <f t="shared" si="21"/>
        <v>#REF!</v>
      </c>
      <c r="G59" s="343" t="e">
        <f t="shared" si="21"/>
        <v>#REF!</v>
      </c>
    </row>
    <row r="60" spans="1:22" hidden="1" x14ac:dyDescent="0.2">
      <c r="A60" s="35" t="s">
        <v>45</v>
      </c>
      <c r="B60" s="36">
        <f>I24</f>
        <v>1418</v>
      </c>
      <c r="C60" s="36">
        <f>I29</f>
        <v>136</v>
      </c>
      <c r="D60" s="36">
        <f>I34</f>
        <v>420</v>
      </c>
      <c r="E60" s="36">
        <f>I36</f>
        <v>1974</v>
      </c>
      <c r="F60" s="36">
        <f>SUM(G62:G64)</f>
        <v>372</v>
      </c>
      <c r="G60" s="344">
        <f>J36</f>
        <v>49.35</v>
      </c>
    </row>
    <row r="61" spans="1:22" hidden="1" x14ac:dyDescent="0.2">
      <c r="B61" s="31"/>
      <c r="C61" s="31"/>
      <c r="D61" s="31"/>
      <c r="E61" s="31"/>
      <c r="F61" s="31"/>
    </row>
    <row r="62" spans="1:22" hidden="1" x14ac:dyDescent="0.2">
      <c r="B62" s="31"/>
      <c r="C62" s="31"/>
      <c r="D62" s="31"/>
      <c r="E62" s="31"/>
      <c r="F62" s="31"/>
      <c r="G62" s="14">
        <f>SUM(G6:H22)</f>
        <v>240</v>
      </c>
    </row>
    <row r="63" spans="1:22" hidden="1" x14ac:dyDescent="0.2">
      <c r="G63" s="14">
        <f>SUM(G26:H27)</f>
        <v>12</v>
      </c>
    </row>
    <row r="64" spans="1:22" hidden="1" x14ac:dyDescent="0.2">
      <c r="G64" s="14">
        <f>SUM(G31:H33)</f>
        <v>120</v>
      </c>
    </row>
    <row r="65" hidden="1" x14ac:dyDescent="0.2"/>
  </sheetData>
  <mergeCells count="8">
    <mergeCell ref="A1:J1"/>
    <mergeCell ref="A5:J5"/>
    <mergeCell ref="A25:J25"/>
    <mergeCell ref="A30:J30"/>
    <mergeCell ref="B42:F42"/>
    <mergeCell ref="M5:V5"/>
    <mergeCell ref="M25:V25"/>
    <mergeCell ref="M30:V30"/>
  </mergeCells>
  <printOptions horizontalCentered="1"/>
  <pageMargins left="0.28000000000000003" right="0.22" top="0.47" bottom="0.46" header="0.3" footer="0.3"/>
  <pageSetup orientation="landscape" r:id="rId1"/>
  <headerFooter>
    <oddHeader>&amp;CATTACHMENT 5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45"/>
  <sheetViews>
    <sheetView workbookViewId="0">
      <selection activeCell="A45" sqref="A45"/>
    </sheetView>
  </sheetViews>
  <sheetFormatPr defaultRowHeight="12.75" x14ac:dyDescent="0.2"/>
  <cols>
    <col min="1" max="1" width="25" customWidth="1"/>
    <col min="2" max="3" width="11.28515625" bestFit="1" customWidth="1"/>
    <col min="4" max="4" width="3.7109375" customWidth="1"/>
    <col min="5" max="6" width="11.28515625" bestFit="1" customWidth="1"/>
    <col min="7" max="7" width="3.28515625" customWidth="1"/>
    <col min="8" max="9" width="10.28515625" bestFit="1" customWidth="1"/>
  </cols>
  <sheetData>
    <row r="2" spans="1:9" x14ac:dyDescent="0.2">
      <c r="B2" s="507" t="s">
        <v>606</v>
      </c>
      <c r="C2" s="507"/>
      <c r="E2" s="507" t="s">
        <v>607</v>
      </c>
      <c r="F2" s="507"/>
      <c r="H2" s="507" t="s">
        <v>598</v>
      </c>
      <c r="I2" s="507"/>
    </row>
    <row r="3" spans="1:9" x14ac:dyDescent="0.2">
      <c r="A3" s="155" t="s">
        <v>230</v>
      </c>
      <c r="B3" s="232">
        <v>0</v>
      </c>
      <c r="C3" s="232">
        <v>0</v>
      </c>
      <c r="E3" s="232">
        <v>0</v>
      </c>
      <c r="F3" s="232">
        <v>0</v>
      </c>
      <c r="H3" s="333">
        <f>B3-E3</f>
        <v>0</v>
      </c>
      <c r="I3" s="333">
        <f>C3-F3</f>
        <v>0</v>
      </c>
    </row>
    <row r="4" spans="1:9" x14ac:dyDescent="0.2">
      <c r="A4" s="155" t="s">
        <v>232</v>
      </c>
      <c r="B4" s="232">
        <v>7232.9945355191257</v>
      </c>
      <c r="C4" s="232">
        <v>6999.6721311475412</v>
      </c>
      <c r="E4" s="232">
        <v>7232.9945355191257</v>
      </c>
      <c r="F4" s="232">
        <v>6999.6721311475412</v>
      </c>
      <c r="H4" s="333">
        <f t="shared" ref="H4:H41" si="0">B4-E4</f>
        <v>0</v>
      </c>
      <c r="I4" s="333">
        <f t="shared" ref="I4:I41" si="1">C4-F4</f>
        <v>0</v>
      </c>
    </row>
    <row r="5" spans="1:9" x14ac:dyDescent="0.2">
      <c r="A5" s="155" t="s">
        <v>234</v>
      </c>
      <c r="B5" s="232">
        <v>14974.575409836067</v>
      </c>
      <c r="C5" s="232">
        <v>14491.524590163935</v>
      </c>
      <c r="E5" s="232">
        <v>14974.575409836067</v>
      </c>
      <c r="F5" s="232">
        <v>14491.524590163935</v>
      </c>
      <c r="H5" s="333">
        <f t="shared" si="0"/>
        <v>0</v>
      </c>
      <c r="I5" s="333">
        <f t="shared" si="1"/>
        <v>0</v>
      </c>
    </row>
    <row r="6" spans="1:9" x14ac:dyDescent="0.2">
      <c r="A6" s="155" t="s">
        <v>236</v>
      </c>
      <c r="B6" s="232">
        <v>979.03081967213109</v>
      </c>
      <c r="C6" s="232">
        <v>947.44918032786882</v>
      </c>
      <c r="E6" s="232">
        <v>979.03081967213109</v>
      </c>
      <c r="F6" s="232">
        <v>947.44918032786882</v>
      </c>
      <c r="H6" s="333">
        <f t="shared" si="0"/>
        <v>0</v>
      </c>
      <c r="I6" s="333">
        <f t="shared" si="1"/>
        <v>0</v>
      </c>
    </row>
    <row r="7" spans="1:9" x14ac:dyDescent="0.2">
      <c r="A7" s="155" t="s">
        <v>238</v>
      </c>
      <c r="B7" s="232">
        <v>5598.4712568306004</v>
      </c>
      <c r="C7" s="232">
        <v>5417.875409836065</v>
      </c>
      <c r="E7" s="232">
        <v>5598.4712568306004</v>
      </c>
      <c r="F7" s="232">
        <v>5417.875409836065</v>
      </c>
      <c r="H7" s="333">
        <f t="shared" si="0"/>
        <v>0</v>
      </c>
      <c r="I7" s="333">
        <f t="shared" si="1"/>
        <v>0</v>
      </c>
    </row>
    <row r="8" spans="1:9" x14ac:dyDescent="0.2">
      <c r="A8" s="155" t="s">
        <v>240</v>
      </c>
      <c r="B8" s="232">
        <v>12707.993774863387</v>
      </c>
      <c r="C8" s="232">
        <v>12298.058491803278</v>
      </c>
      <c r="E8" s="232">
        <v>12707.993774863387</v>
      </c>
      <c r="F8" s="232">
        <v>12298.058491803278</v>
      </c>
      <c r="H8" s="333">
        <f t="shared" si="0"/>
        <v>0</v>
      </c>
      <c r="I8" s="333">
        <f t="shared" si="1"/>
        <v>0</v>
      </c>
    </row>
    <row r="9" spans="1:9" x14ac:dyDescent="0.2">
      <c r="A9" s="155" t="s">
        <v>242</v>
      </c>
      <c r="B9" s="232">
        <v>26759.1604284153</v>
      </c>
      <c r="C9" s="232">
        <v>25895.961704918034</v>
      </c>
      <c r="E9" s="232">
        <v>26759.1604284153</v>
      </c>
      <c r="F9" s="232">
        <v>25895.961704918034</v>
      </c>
      <c r="H9" s="333">
        <f t="shared" si="0"/>
        <v>0</v>
      </c>
      <c r="I9" s="333">
        <f t="shared" si="1"/>
        <v>0</v>
      </c>
    </row>
    <row r="10" spans="1:9" x14ac:dyDescent="0.2">
      <c r="A10" s="155" t="s">
        <v>244</v>
      </c>
      <c r="B10" s="232">
        <v>66954.857015300571</v>
      </c>
      <c r="C10" s="232">
        <v>64795.022918032802</v>
      </c>
      <c r="E10" s="232">
        <v>46430.265110382519</v>
      </c>
      <c r="F10" s="232">
        <v>44932.514622950825</v>
      </c>
      <c r="H10" s="333">
        <f t="shared" si="0"/>
        <v>20524.591904918052</v>
      </c>
      <c r="I10" s="333">
        <f t="shared" si="1"/>
        <v>19862.508295081978</v>
      </c>
    </row>
    <row r="11" spans="1:9" x14ac:dyDescent="0.2">
      <c r="A11" s="155" t="s">
        <v>246</v>
      </c>
      <c r="B11" s="232">
        <v>10086.138859016393</v>
      </c>
      <c r="C11" s="232">
        <v>9760.7795409836053</v>
      </c>
      <c r="E11" s="232">
        <v>10086.138859016393</v>
      </c>
      <c r="F11" s="232">
        <v>9760.7795409836053</v>
      </c>
      <c r="H11" s="333">
        <f t="shared" si="0"/>
        <v>0</v>
      </c>
      <c r="I11" s="333">
        <f t="shared" si="1"/>
        <v>0</v>
      </c>
    </row>
    <row r="12" spans="1:9" x14ac:dyDescent="0.2">
      <c r="A12" s="155" t="s">
        <v>248</v>
      </c>
      <c r="B12" s="232">
        <v>32687.809398907102</v>
      </c>
      <c r="C12" s="232">
        <v>31633.36393442623</v>
      </c>
      <c r="E12" s="232">
        <v>14165.136612021857</v>
      </c>
      <c r="F12" s="232">
        <v>13708.196721311475</v>
      </c>
      <c r="H12" s="333">
        <f t="shared" si="0"/>
        <v>18522.672786885247</v>
      </c>
      <c r="I12" s="333">
        <f t="shared" si="1"/>
        <v>17925.167213114757</v>
      </c>
    </row>
    <row r="13" spans="1:9" x14ac:dyDescent="0.2">
      <c r="A13" s="155" t="s">
        <v>250</v>
      </c>
      <c r="B13" s="232">
        <v>0</v>
      </c>
      <c r="C13" s="232">
        <v>0</v>
      </c>
      <c r="E13" s="232">
        <v>0</v>
      </c>
      <c r="F13" s="232">
        <v>0</v>
      </c>
      <c r="H13" s="333">
        <f t="shared" si="0"/>
        <v>0</v>
      </c>
      <c r="I13" s="333">
        <f t="shared" si="1"/>
        <v>0</v>
      </c>
    </row>
    <row r="14" spans="1:9" x14ac:dyDescent="0.2">
      <c r="A14" s="155" t="s">
        <v>252</v>
      </c>
      <c r="B14" s="232">
        <v>0</v>
      </c>
      <c r="C14" s="232">
        <v>0</v>
      </c>
      <c r="E14" s="232">
        <v>0</v>
      </c>
      <c r="F14" s="232">
        <v>0</v>
      </c>
      <c r="H14" s="333">
        <f t="shared" si="0"/>
        <v>0</v>
      </c>
      <c r="I14" s="333">
        <f t="shared" si="1"/>
        <v>0</v>
      </c>
    </row>
    <row r="15" spans="1:9" x14ac:dyDescent="0.2">
      <c r="A15" s="155" t="s">
        <v>254</v>
      </c>
      <c r="B15" s="232">
        <v>0</v>
      </c>
      <c r="C15" s="232">
        <v>0</v>
      </c>
      <c r="E15" s="232">
        <v>0</v>
      </c>
      <c r="F15" s="232">
        <v>0</v>
      </c>
      <c r="H15" s="333">
        <f t="shared" si="0"/>
        <v>0</v>
      </c>
      <c r="I15" s="333">
        <f t="shared" si="1"/>
        <v>0</v>
      </c>
    </row>
    <row r="16" spans="1:9" x14ac:dyDescent="0.2">
      <c r="A16" s="155" t="s">
        <v>256</v>
      </c>
      <c r="B16" s="232">
        <v>0</v>
      </c>
      <c r="C16" s="232">
        <v>0</v>
      </c>
      <c r="E16" s="232">
        <v>0</v>
      </c>
      <c r="F16" s="232">
        <v>0</v>
      </c>
      <c r="H16" s="333">
        <f t="shared" si="0"/>
        <v>0</v>
      </c>
      <c r="I16" s="333">
        <f t="shared" si="1"/>
        <v>0</v>
      </c>
    </row>
    <row r="17" spans="1:9" x14ac:dyDescent="0.2">
      <c r="A17" s="155" t="s">
        <v>258</v>
      </c>
      <c r="B17" s="232">
        <v>0</v>
      </c>
      <c r="C17" s="232">
        <v>0</v>
      </c>
      <c r="E17" s="232">
        <v>0</v>
      </c>
      <c r="F17" s="232">
        <v>0</v>
      </c>
      <c r="H17" s="333">
        <f t="shared" si="0"/>
        <v>0</v>
      </c>
      <c r="I17" s="333">
        <f t="shared" si="1"/>
        <v>0</v>
      </c>
    </row>
    <row r="18" spans="1:9" x14ac:dyDescent="0.2">
      <c r="A18" s="155" t="s">
        <v>260</v>
      </c>
      <c r="B18" s="232">
        <v>0</v>
      </c>
      <c r="C18" s="232">
        <v>0</v>
      </c>
      <c r="E18" s="232">
        <v>0</v>
      </c>
      <c r="F18" s="232">
        <v>0</v>
      </c>
      <c r="H18" s="333">
        <f t="shared" si="0"/>
        <v>0</v>
      </c>
      <c r="I18" s="333">
        <f t="shared" si="1"/>
        <v>0</v>
      </c>
    </row>
    <row r="19" spans="1:9" x14ac:dyDescent="0.2">
      <c r="A19" s="155" t="s">
        <v>262</v>
      </c>
      <c r="B19" s="232">
        <v>0</v>
      </c>
      <c r="C19" s="232">
        <v>0</v>
      </c>
      <c r="E19" s="232">
        <v>0</v>
      </c>
      <c r="F19" s="232">
        <v>0</v>
      </c>
      <c r="H19" s="333">
        <f t="shared" si="0"/>
        <v>0</v>
      </c>
      <c r="I19" s="333">
        <f t="shared" si="1"/>
        <v>0</v>
      </c>
    </row>
    <row r="20" spans="1:9" x14ac:dyDescent="0.2">
      <c r="A20" s="155" t="s">
        <v>264</v>
      </c>
      <c r="B20" s="232">
        <v>0</v>
      </c>
      <c r="C20" s="232">
        <v>0</v>
      </c>
      <c r="E20" s="232">
        <v>0</v>
      </c>
      <c r="F20" s="232">
        <v>0</v>
      </c>
      <c r="H20" s="333">
        <f t="shared" si="0"/>
        <v>0</v>
      </c>
      <c r="I20" s="333">
        <f t="shared" si="1"/>
        <v>0</v>
      </c>
    </row>
    <row r="21" spans="1:9" x14ac:dyDescent="0.2">
      <c r="A21" s="155" t="s">
        <v>266</v>
      </c>
      <c r="B21" s="232">
        <v>0</v>
      </c>
      <c r="C21" s="232">
        <v>0</v>
      </c>
      <c r="E21" s="232">
        <v>0</v>
      </c>
      <c r="F21" s="232">
        <v>0</v>
      </c>
      <c r="H21" s="333">
        <f t="shared" si="0"/>
        <v>0</v>
      </c>
      <c r="I21" s="333">
        <f t="shared" si="1"/>
        <v>0</v>
      </c>
    </row>
    <row r="22" spans="1:9" x14ac:dyDescent="0.2">
      <c r="A22" s="155" t="s">
        <v>268</v>
      </c>
      <c r="B22" s="232">
        <v>0</v>
      </c>
      <c r="C22" s="232">
        <v>0</v>
      </c>
      <c r="E22" s="232">
        <v>0</v>
      </c>
      <c r="F22" s="232">
        <v>0</v>
      </c>
      <c r="H22" s="333">
        <f t="shared" si="0"/>
        <v>0</v>
      </c>
      <c r="I22" s="333">
        <f t="shared" si="1"/>
        <v>0</v>
      </c>
    </row>
    <row r="23" spans="1:9" x14ac:dyDescent="0.2">
      <c r="A23" s="155" t="s">
        <v>270</v>
      </c>
      <c r="B23" s="232">
        <v>0</v>
      </c>
      <c r="C23" s="232">
        <v>0</v>
      </c>
      <c r="E23" s="232">
        <v>0</v>
      </c>
      <c r="F23" s="232">
        <v>0</v>
      </c>
      <c r="H23" s="333">
        <f t="shared" si="0"/>
        <v>0</v>
      </c>
      <c r="I23" s="333">
        <f t="shared" si="1"/>
        <v>0</v>
      </c>
    </row>
    <row r="24" spans="1:9" x14ac:dyDescent="0.2">
      <c r="A24" s="155" t="s">
        <v>272</v>
      </c>
      <c r="B24" s="232">
        <v>0</v>
      </c>
      <c r="C24" s="232">
        <v>0</v>
      </c>
      <c r="E24" s="232">
        <v>0</v>
      </c>
      <c r="F24" s="232">
        <v>0</v>
      </c>
      <c r="H24" s="333">
        <f t="shared" si="0"/>
        <v>0</v>
      </c>
      <c r="I24" s="333">
        <f t="shared" si="1"/>
        <v>0</v>
      </c>
    </row>
    <row r="25" spans="1:9" x14ac:dyDescent="0.2">
      <c r="A25" s="159" t="s">
        <v>274</v>
      </c>
      <c r="B25" s="232">
        <v>0</v>
      </c>
      <c r="C25" s="232">
        <v>0</v>
      </c>
      <c r="E25" s="232">
        <v>0</v>
      </c>
      <c r="F25" s="232">
        <v>0</v>
      </c>
      <c r="H25" s="333">
        <f t="shared" si="0"/>
        <v>0</v>
      </c>
      <c r="I25" s="333">
        <f t="shared" si="1"/>
        <v>0</v>
      </c>
    </row>
    <row r="26" spans="1:9" x14ac:dyDescent="0.2">
      <c r="A26" s="158"/>
      <c r="B26" s="232"/>
      <c r="C26" s="232"/>
      <c r="E26" s="232"/>
      <c r="F26" s="232"/>
      <c r="H26" s="333">
        <f t="shared" si="0"/>
        <v>0</v>
      </c>
      <c r="I26" s="333">
        <f t="shared" si="1"/>
        <v>0</v>
      </c>
    </row>
    <row r="27" spans="1:9" x14ac:dyDescent="0.2">
      <c r="A27" s="155" t="s">
        <v>277</v>
      </c>
      <c r="B27" s="232">
        <v>177981.03149836065</v>
      </c>
      <c r="C27" s="232">
        <v>172239.70790163934</v>
      </c>
      <c r="E27" s="232">
        <v>138933.76680655737</v>
      </c>
      <c r="F27" s="232">
        <v>134452.03239344264</v>
      </c>
      <c r="H27" s="333">
        <f t="shared" si="0"/>
        <v>39047.264691803284</v>
      </c>
      <c r="I27" s="333">
        <f t="shared" si="1"/>
        <v>37787.675508196699</v>
      </c>
    </row>
    <row r="28" spans="1:9" x14ac:dyDescent="0.2">
      <c r="A28" s="136"/>
      <c r="B28" s="232"/>
      <c r="C28" s="232"/>
      <c r="E28" s="232"/>
      <c r="F28" s="232"/>
      <c r="H28" s="333">
        <f t="shared" si="0"/>
        <v>0</v>
      </c>
      <c r="I28" s="333">
        <f t="shared" si="1"/>
        <v>0</v>
      </c>
    </row>
    <row r="29" spans="1:9" x14ac:dyDescent="0.2">
      <c r="A29" s="155" t="s">
        <v>280</v>
      </c>
      <c r="B29" s="232">
        <v>0</v>
      </c>
      <c r="C29" s="232">
        <v>0</v>
      </c>
      <c r="E29" s="232">
        <v>0</v>
      </c>
      <c r="F29" s="232">
        <v>0</v>
      </c>
      <c r="H29" s="333">
        <f t="shared" si="0"/>
        <v>0</v>
      </c>
      <c r="I29" s="333">
        <f t="shared" si="1"/>
        <v>0</v>
      </c>
    </row>
    <row r="30" spans="1:9" x14ac:dyDescent="0.2">
      <c r="A30" s="136"/>
      <c r="B30" s="232"/>
      <c r="C30" s="232"/>
      <c r="E30" s="232"/>
      <c r="F30" s="232"/>
      <c r="H30" s="333">
        <f t="shared" si="0"/>
        <v>0</v>
      </c>
      <c r="I30" s="333">
        <f t="shared" si="1"/>
        <v>0</v>
      </c>
    </row>
    <row r="31" spans="1:9" x14ac:dyDescent="0.2">
      <c r="A31" s="155" t="s">
        <v>283</v>
      </c>
      <c r="B31" s="232">
        <v>15751.321287604918</v>
      </c>
      <c r="C31" s="232">
        <v>15243.214149295081</v>
      </c>
      <c r="E31" s="232">
        <v>12295.638362380327</v>
      </c>
      <c r="F31" s="232">
        <v>11899.004866819672</v>
      </c>
      <c r="H31" s="333">
        <f t="shared" si="0"/>
        <v>3455.6829252245916</v>
      </c>
      <c r="I31" s="333">
        <f t="shared" si="1"/>
        <v>3344.2092824754091</v>
      </c>
    </row>
    <row r="32" spans="1:9" x14ac:dyDescent="0.2">
      <c r="A32" s="155" t="s">
        <v>285</v>
      </c>
      <c r="B32" s="232">
        <v>10767.852405650819</v>
      </c>
      <c r="C32" s="232">
        <v>10420.502328049181</v>
      </c>
      <c r="E32" s="232">
        <v>8405.4928917967227</v>
      </c>
      <c r="F32" s="232">
        <v>8134.3479598032791</v>
      </c>
      <c r="H32" s="333">
        <f t="shared" si="0"/>
        <v>2362.3595138540968</v>
      </c>
      <c r="I32" s="333">
        <f t="shared" si="1"/>
        <v>2286.1543682459014</v>
      </c>
    </row>
    <row r="33" spans="1:9" x14ac:dyDescent="0.2">
      <c r="A33" s="155" t="s">
        <v>287</v>
      </c>
      <c r="B33" s="232">
        <v>1779.8103149836068</v>
      </c>
      <c r="C33" s="232">
        <v>1722.3970790163935</v>
      </c>
      <c r="E33" s="232">
        <v>1389.3376680655736</v>
      </c>
      <c r="F33" s="232">
        <v>1344.520323934426</v>
      </c>
      <c r="H33" s="333">
        <f t="shared" si="0"/>
        <v>390.47264691803321</v>
      </c>
      <c r="I33" s="333">
        <f t="shared" si="1"/>
        <v>377.87675508196753</v>
      </c>
    </row>
    <row r="34" spans="1:9" x14ac:dyDescent="0.2">
      <c r="A34" s="155" t="s">
        <v>289</v>
      </c>
      <c r="B34" s="232">
        <v>177.98103149836066</v>
      </c>
      <c r="C34" s="232">
        <v>172.23970790163935</v>
      </c>
      <c r="E34" s="232">
        <v>138.93376680655737</v>
      </c>
      <c r="F34" s="232">
        <v>134.45203239344264</v>
      </c>
      <c r="H34" s="333">
        <f t="shared" si="0"/>
        <v>39.047264691803292</v>
      </c>
      <c r="I34" s="333">
        <f t="shared" si="1"/>
        <v>37.787675508196713</v>
      </c>
    </row>
    <row r="35" spans="1:9" x14ac:dyDescent="0.2">
      <c r="A35" s="155" t="s">
        <v>291</v>
      </c>
      <c r="B35" s="232"/>
      <c r="C35" s="232"/>
      <c r="E35" s="232"/>
      <c r="F35" s="232"/>
      <c r="H35" s="333">
        <f t="shared" si="0"/>
        <v>0</v>
      </c>
      <c r="I35" s="333">
        <f t="shared" si="1"/>
        <v>0</v>
      </c>
    </row>
    <row r="36" spans="1:9" x14ac:dyDescent="0.2">
      <c r="A36" s="136"/>
      <c r="B36" s="232"/>
      <c r="C36" s="232"/>
      <c r="E36" s="232"/>
      <c r="F36" s="232"/>
      <c r="H36" s="333">
        <f t="shared" si="0"/>
        <v>0</v>
      </c>
      <c r="I36" s="333">
        <f t="shared" si="1"/>
        <v>0</v>
      </c>
    </row>
    <row r="37" spans="1:9" x14ac:dyDescent="0.2">
      <c r="A37" s="155" t="s">
        <v>294</v>
      </c>
      <c r="B37" s="232">
        <v>28476.965039737708</v>
      </c>
      <c r="C37" s="232">
        <v>27558.353264262299</v>
      </c>
      <c r="E37" s="232">
        <v>22229.40268904918</v>
      </c>
      <c r="F37" s="232">
        <v>21512.325182950819</v>
      </c>
      <c r="H37" s="333">
        <f t="shared" si="0"/>
        <v>6247.5623506885277</v>
      </c>
      <c r="I37" s="333">
        <f t="shared" si="1"/>
        <v>6046.0280813114805</v>
      </c>
    </row>
    <row r="38" spans="1:9" x14ac:dyDescent="0.2">
      <c r="A38" s="169" t="s">
        <v>296</v>
      </c>
      <c r="B38" s="232">
        <v>0.16000000000000003</v>
      </c>
      <c r="C38" s="232">
        <v>0.16000000000000003</v>
      </c>
      <c r="E38" s="232">
        <v>0.16</v>
      </c>
      <c r="F38" s="232">
        <v>0.15999999999999998</v>
      </c>
      <c r="H38" s="333">
        <f t="shared" si="0"/>
        <v>0</v>
      </c>
      <c r="I38" s="333">
        <f t="shared" si="1"/>
        <v>0</v>
      </c>
    </row>
    <row r="39" spans="1:9" x14ac:dyDescent="0.2">
      <c r="A39" s="136"/>
      <c r="B39" s="232"/>
      <c r="C39" s="232"/>
      <c r="E39" s="232"/>
      <c r="F39" s="232"/>
      <c r="H39" s="333">
        <f t="shared" si="0"/>
        <v>0</v>
      </c>
      <c r="I39" s="333">
        <f t="shared" si="1"/>
        <v>0</v>
      </c>
    </row>
    <row r="40" spans="1:9" x14ac:dyDescent="0.2">
      <c r="A40" s="136"/>
      <c r="B40" s="232"/>
      <c r="C40" s="232"/>
      <c r="E40" s="232"/>
      <c r="F40" s="232"/>
      <c r="H40" s="333">
        <f t="shared" si="0"/>
        <v>0</v>
      </c>
      <c r="I40" s="333">
        <f t="shared" si="1"/>
        <v>0</v>
      </c>
    </row>
    <row r="41" spans="1:9" x14ac:dyDescent="0.2">
      <c r="A41" s="155" t="s">
        <v>300</v>
      </c>
      <c r="B41" s="232">
        <v>206457.99653809835</v>
      </c>
      <c r="C41" s="232">
        <v>199798.06116590163</v>
      </c>
      <c r="E41" s="232">
        <v>161163.16949560656</v>
      </c>
      <c r="F41" s="232">
        <v>155964.35757639346</v>
      </c>
      <c r="H41" s="333">
        <f t="shared" si="0"/>
        <v>45294.827042491786</v>
      </c>
      <c r="I41" s="333">
        <f t="shared" si="1"/>
        <v>43833.703589508164</v>
      </c>
    </row>
    <row r="45" spans="1:9" x14ac:dyDescent="0.2">
      <c r="A45" s="13"/>
    </row>
  </sheetData>
  <mergeCells count="3">
    <mergeCell ref="B2:C2"/>
    <mergeCell ref="E2:F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9"/>
  <sheetViews>
    <sheetView workbookViewId="0">
      <selection activeCell="R28" sqref="R28"/>
    </sheetView>
  </sheetViews>
  <sheetFormatPr defaultRowHeight="12.75" x14ac:dyDescent="0.2"/>
  <cols>
    <col min="1" max="1" width="14" customWidth="1"/>
    <col min="2" max="2" width="14" bestFit="1" customWidth="1"/>
    <col min="3" max="3" width="13.42578125" customWidth="1"/>
    <col min="4" max="4" width="14.5703125" bestFit="1" customWidth="1"/>
    <col min="5" max="5" width="13.42578125" bestFit="1" customWidth="1"/>
    <col min="6" max="6" width="10.28515625" bestFit="1" customWidth="1"/>
    <col min="9" max="9" width="12.140625" bestFit="1" customWidth="1"/>
    <col min="12" max="12" width="14.85546875" bestFit="1" customWidth="1"/>
    <col min="13" max="13" width="13" bestFit="1" customWidth="1"/>
    <col min="14" max="14" width="11.42578125" bestFit="1" customWidth="1"/>
    <col min="15" max="15" width="13" bestFit="1" customWidth="1"/>
    <col min="16" max="16" width="13.7109375" bestFit="1" customWidth="1"/>
    <col min="17" max="17" width="12" bestFit="1" customWidth="1"/>
    <col min="18" max="18" width="11.28515625" bestFit="1" customWidth="1"/>
  </cols>
  <sheetData>
    <row r="1" spans="1:15" x14ac:dyDescent="0.2">
      <c r="A1" t="s">
        <v>583</v>
      </c>
      <c r="E1" t="s">
        <v>18</v>
      </c>
      <c r="I1" t="s">
        <v>57</v>
      </c>
      <c r="M1" t="s">
        <v>34</v>
      </c>
    </row>
    <row r="2" spans="1:15" x14ac:dyDescent="0.2">
      <c r="A2">
        <v>1</v>
      </c>
      <c r="B2" s="128">
        <f>3680/80</f>
        <v>46</v>
      </c>
      <c r="C2" s="128">
        <v>1</v>
      </c>
      <c r="E2">
        <v>1</v>
      </c>
      <c r="F2" s="128">
        <v>30</v>
      </c>
      <c r="G2" s="128">
        <v>0.3</v>
      </c>
      <c r="I2">
        <v>1</v>
      </c>
      <c r="J2" s="128">
        <v>22</v>
      </c>
      <c r="K2" s="128">
        <v>0.35</v>
      </c>
      <c r="M2">
        <v>1</v>
      </c>
      <c r="N2" s="128">
        <v>13</v>
      </c>
      <c r="O2" s="128">
        <v>1</v>
      </c>
    </row>
    <row r="3" spans="1:15" x14ac:dyDescent="0.2">
      <c r="A3">
        <v>2</v>
      </c>
      <c r="B3" s="128">
        <f>45</f>
        <v>45</v>
      </c>
      <c r="C3" s="128">
        <v>0.2</v>
      </c>
      <c r="E3">
        <f>E2+1</f>
        <v>2</v>
      </c>
      <c r="F3" s="128">
        <v>31.52</v>
      </c>
      <c r="G3" s="128">
        <v>0.3</v>
      </c>
      <c r="I3" s="11">
        <f>I2+1</f>
        <v>2</v>
      </c>
      <c r="J3" s="328">
        <v>28.32</v>
      </c>
      <c r="K3" s="328">
        <v>1</v>
      </c>
      <c r="M3">
        <v>2</v>
      </c>
      <c r="N3" s="128">
        <v>18.36</v>
      </c>
      <c r="O3" s="128">
        <v>1</v>
      </c>
    </row>
    <row r="4" spans="1:15" x14ac:dyDescent="0.2">
      <c r="A4">
        <v>3</v>
      </c>
      <c r="B4" s="128">
        <f>51</f>
        <v>51</v>
      </c>
      <c r="C4" s="128">
        <v>0.2</v>
      </c>
      <c r="E4">
        <f t="shared" ref="E4:E8" si="0">E3+1</f>
        <v>3</v>
      </c>
      <c r="F4" s="128">
        <v>29.58</v>
      </c>
      <c r="G4" s="128">
        <v>1</v>
      </c>
      <c r="I4">
        <f t="shared" ref="I4:I12" si="1">I3+1</f>
        <v>3</v>
      </c>
      <c r="J4" s="128">
        <v>25.5</v>
      </c>
      <c r="K4" s="128">
        <v>0.35</v>
      </c>
      <c r="M4">
        <v>3</v>
      </c>
      <c r="N4" s="128">
        <v>14.5</v>
      </c>
      <c r="O4" s="128">
        <v>0.8</v>
      </c>
    </row>
    <row r="5" spans="1:15" x14ac:dyDescent="0.2">
      <c r="B5" s="128"/>
      <c r="C5" s="128"/>
      <c r="E5">
        <f t="shared" si="0"/>
        <v>4</v>
      </c>
      <c r="F5" s="128">
        <v>30.6</v>
      </c>
      <c r="G5" s="128">
        <v>0.3</v>
      </c>
      <c r="I5">
        <f t="shared" si="1"/>
        <v>4</v>
      </c>
      <c r="J5" s="128">
        <v>23.46</v>
      </c>
      <c r="K5" s="128">
        <v>1</v>
      </c>
      <c r="N5" s="128"/>
      <c r="O5" s="128"/>
    </row>
    <row r="6" spans="1:15" x14ac:dyDescent="0.2">
      <c r="B6" s="128">
        <f>AVERAGE(B2:B4)</f>
        <v>47.333333333333336</v>
      </c>
      <c r="C6" s="128">
        <f>SUM(C2:C4)</f>
        <v>1.4</v>
      </c>
      <c r="E6">
        <f t="shared" si="0"/>
        <v>5</v>
      </c>
      <c r="F6" s="128">
        <v>30</v>
      </c>
      <c r="G6" s="128">
        <v>1</v>
      </c>
      <c r="I6">
        <f t="shared" si="1"/>
        <v>5</v>
      </c>
      <c r="J6" s="128">
        <v>25.5</v>
      </c>
      <c r="K6" s="128">
        <v>1</v>
      </c>
      <c r="N6" s="128">
        <f>AVERAGE(N2:N4)</f>
        <v>15.286666666666667</v>
      </c>
      <c r="O6" s="128">
        <f>SUM(O2:O4)</f>
        <v>2.8</v>
      </c>
    </row>
    <row r="7" spans="1:15" x14ac:dyDescent="0.2">
      <c r="E7">
        <f t="shared" si="0"/>
        <v>6</v>
      </c>
      <c r="F7" s="128">
        <v>30.6</v>
      </c>
      <c r="G7" s="128">
        <v>0.3</v>
      </c>
      <c r="I7">
        <f t="shared" si="1"/>
        <v>6</v>
      </c>
      <c r="J7" s="128">
        <v>23.86</v>
      </c>
      <c r="K7" s="128">
        <v>1</v>
      </c>
    </row>
    <row r="8" spans="1:15" x14ac:dyDescent="0.2">
      <c r="E8">
        <f t="shared" si="0"/>
        <v>7</v>
      </c>
      <c r="F8" s="128">
        <v>28</v>
      </c>
      <c r="G8" s="128">
        <v>1</v>
      </c>
      <c r="I8">
        <f t="shared" si="1"/>
        <v>7</v>
      </c>
      <c r="J8" s="128">
        <v>22.55</v>
      </c>
      <c r="K8" s="128">
        <v>0.35</v>
      </c>
      <c r="M8" t="s">
        <v>584</v>
      </c>
      <c r="N8" s="128">
        <f>((N2*O2)+(N3*O3)+(N4*O4))/O6</f>
        <v>15.342857142857143</v>
      </c>
    </row>
    <row r="9" spans="1:15" x14ac:dyDescent="0.2">
      <c r="A9" t="s">
        <v>584</v>
      </c>
      <c r="B9" s="232">
        <f>((B2*C2)+(B3*C3)+(B4*C4))/C6</f>
        <v>46.571428571428577</v>
      </c>
      <c r="F9" s="128"/>
      <c r="G9" s="128"/>
      <c r="I9">
        <f t="shared" si="1"/>
        <v>8</v>
      </c>
      <c r="J9" s="128">
        <v>22</v>
      </c>
      <c r="K9" s="128">
        <v>1</v>
      </c>
    </row>
    <row r="10" spans="1:15" x14ac:dyDescent="0.2">
      <c r="F10" s="128">
        <f>AVERAGE(F2:F8)</f>
        <v>30.042857142857141</v>
      </c>
      <c r="G10" s="128">
        <f>SUM(G2:G8)</f>
        <v>4.2</v>
      </c>
      <c r="I10">
        <f t="shared" si="1"/>
        <v>9</v>
      </c>
      <c r="J10" s="128">
        <v>20.5</v>
      </c>
      <c r="K10" s="128">
        <v>1</v>
      </c>
    </row>
    <row r="11" spans="1:15" x14ac:dyDescent="0.2">
      <c r="F11" s="128"/>
      <c r="G11" s="128"/>
      <c r="I11">
        <f t="shared" si="1"/>
        <v>10</v>
      </c>
      <c r="J11" s="128">
        <v>23</v>
      </c>
      <c r="K11" s="128">
        <v>0.35</v>
      </c>
    </row>
    <row r="12" spans="1:15" x14ac:dyDescent="0.2">
      <c r="E12" t="s">
        <v>584</v>
      </c>
      <c r="F12" s="128">
        <f>((F2*G2)+(F3*G3)+(F4*G4)+(F5*G5)+(F6*G6)+(F7*G7)+(F8*G8))/G10</f>
        <v>29.61809523809524</v>
      </c>
      <c r="I12">
        <f t="shared" si="1"/>
        <v>11</v>
      </c>
      <c r="J12" s="128">
        <v>24</v>
      </c>
      <c r="K12" s="128">
        <v>1</v>
      </c>
    </row>
    <row r="13" spans="1:15" x14ac:dyDescent="0.2">
      <c r="J13" s="128"/>
      <c r="K13" s="128"/>
    </row>
    <row r="14" spans="1:15" x14ac:dyDescent="0.2">
      <c r="J14" s="128">
        <f>AVERAGE(J2,J4:J12)</f>
        <v>23.237000000000002</v>
      </c>
      <c r="K14" s="128">
        <f>SUM(K2,K4:K12)</f>
        <v>7.3999999999999995</v>
      </c>
    </row>
    <row r="15" spans="1:15" ht="12" customHeight="1" x14ac:dyDescent="0.2"/>
    <row r="16" spans="1:15" x14ac:dyDescent="0.2">
      <c r="I16" t="s">
        <v>584</v>
      </c>
      <c r="J16" s="128">
        <f>((J2*K2)+(J4*K4)+(J5*K5)+(J6*K6)+(J7*K7)+(J8*K8)+(J9*K9)+(J10*K10)+(J11*K11)+(J12*K12))/K14</f>
        <v>23.228040540540544</v>
      </c>
    </row>
    <row r="26" spans="1:18" x14ac:dyDescent="0.2">
      <c r="A26" s="13" t="s">
        <v>585</v>
      </c>
      <c r="L26" s="331" t="s">
        <v>591</v>
      </c>
      <c r="M26" s="331" t="s">
        <v>593</v>
      </c>
      <c r="N26" s="331" t="s">
        <v>144</v>
      </c>
      <c r="O26" s="2">
        <v>2016</v>
      </c>
      <c r="P26" s="331" t="s">
        <v>597</v>
      </c>
      <c r="Q26" s="331" t="s">
        <v>598</v>
      </c>
      <c r="R26" s="331" t="s">
        <v>598</v>
      </c>
    </row>
    <row r="27" spans="1:18" x14ac:dyDescent="0.2">
      <c r="L27" s="331" t="s">
        <v>77</v>
      </c>
      <c r="M27" s="10">
        <f>2154000</f>
        <v>2154000</v>
      </c>
      <c r="N27" s="10">
        <f>M27*0.0416</f>
        <v>89606.399999999994</v>
      </c>
      <c r="O27" s="10">
        <f>M27+N27</f>
        <v>2243606.4</v>
      </c>
      <c r="P27" s="10" t="e">
        <f>C49</f>
        <v>#REF!</v>
      </c>
      <c r="Q27" s="10" t="e">
        <f>P27-O27</f>
        <v>#REF!</v>
      </c>
      <c r="R27" s="10" t="e">
        <f>P27-M27</f>
        <v>#REF!</v>
      </c>
    </row>
    <row r="28" spans="1:18" x14ac:dyDescent="0.2">
      <c r="A28" s="331" t="s">
        <v>586</v>
      </c>
      <c r="B28" s="331" t="s">
        <v>589</v>
      </c>
      <c r="C28" s="331" t="s">
        <v>588</v>
      </c>
      <c r="D28" s="331" t="s">
        <v>590</v>
      </c>
      <c r="E28" s="331" t="s">
        <v>596</v>
      </c>
      <c r="J28" s="13"/>
      <c r="L28" s="331" t="s">
        <v>592</v>
      </c>
      <c r="M28" s="10">
        <v>3441771</v>
      </c>
      <c r="N28" s="10">
        <f>M28*0.0416</f>
        <v>143177.67359999998</v>
      </c>
      <c r="O28" s="10">
        <f>M28+N28</f>
        <v>3584948.6735999999</v>
      </c>
      <c r="P28" s="10" t="e">
        <f>#REF!</f>
        <v>#REF!</v>
      </c>
      <c r="Q28" s="10" t="e">
        <f>P28-O28</f>
        <v>#REF!</v>
      </c>
      <c r="R28" s="10" t="e">
        <f>P28-M28</f>
        <v>#REF!</v>
      </c>
    </row>
    <row r="29" spans="1:18" x14ac:dyDescent="0.2">
      <c r="A29" s="332" t="e">
        <f>+#REF!</f>
        <v>#REF!</v>
      </c>
      <c r="B29" s="232">
        <f>+'Trended Detail'!O11</f>
        <v>7773.5774725274732</v>
      </c>
      <c r="C29" s="232" t="e">
        <f>+#REF!</f>
        <v>#REF!</v>
      </c>
      <c r="D29" s="232" t="e">
        <f>C29-B29</f>
        <v>#REF!</v>
      </c>
      <c r="E29" s="333">
        <f>B29*0.03</f>
        <v>233.2073241758242</v>
      </c>
    </row>
    <row r="30" spans="1:18" x14ac:dyDescent="0.2">
      <c r="A30" s="332" t="e">
        <f>+#REF!</f>
        <v>#REF!</v>
      </c>
      <c r="B30" s="232">
        <f>+'Trended Detail'!O12</f>
        <v>58285.954212454213</v>
      </c>
      <c r="C30" s="232" t="e">
        <f>+#REF!</f>
        <v>#REF!</v>
      </c>
      <c r="D30" s="232" t="e">
        <f t="shared" ref="D30:D49" si="2">C30-B30</f>
        <v>#REF!</v>
      </c>
      <c r="E30" s="333">
        <f t="shared" ref="E30:E37" si="3">B30*0.03</f>
        <v>1748.5786263736263</v>
      </c>
    </row>
    <row r="31" spans="1:18" x14ac:dyDescent="0.2">
      <c r="A31" s="332" t="e">
        <f>+#REF!</f>
        <v>#REF!</v>
      </c>
      <c r="B31" s="232">
        <f>+'Trended Detail'!O10</f>
        <v>163123.52710622712</v>
      </c>
      <c r="C31" s="232" t="e">
        <f>+#REF!</f>
        <v>#REF!</v>
      </c>
      <c r="D31" s="232" t="e">
        <f t="shared" si="2"/>
        <v>#REF!</v>
      </c>
      <c r="E31" s="333">
        <f t="shared" si="3"/>
        <v>4893.7058131868134</v>
      </c>
    </row>
    <row r="32" spans="1:18" x14ac:dyDescent="0.2">
      <c r="A32" s="332" t="e">
        <f>+#REF!</f>
        <v>#REF!</v>
      </c>
      <c r="B32" s="232">
        <f>+'Trended Detail'!O13</f>
        <v>143256.99157509155</v>
      </c>
      <c r="C32" s="232" t="e">
        <f>+#REF!</f>
        <v>#REF!</v>
      </c>
      <c r="D32" s="232" t="e">
        <f t="shared" si="2"/>
        <v>#REF!</v>
      </c>
      <c r="E32" s="333">
        <f t="shared" si="3"/>
        <v>4297.7097472527466</v>
      </c>
      <c r="F32" s="333"/>
    </row>
    <row r="33" spans="1:6" x14ac:dyDescent="0.2">
      <c r="A33" s="332" t="e">
        <f>+#REF!</f>
        <v>#REF!</v>
      </c>
      <c r="B33" s="232">
        <f>+'Trended Detail'!O14</f>
        <v>337911.89267399261</v>
      </c>
      <c r="C33" s="232" t="e">
        <f>+#REF!</f>
        <v>#REF!</v>
      </c>
      <c r="D33" s="232" t="e">
        <f t="shared" si="2"/>
        <v>#REF!</v>
      </c>
      <c r="E33" s="333">
        <f t="shared" si="3"/>
        <v>10137.356780219778</v>
      </c>
      <c r="F33" s="333"/>
    </row>
    <row r="34" spans="1:6" x14ac:dyDescent="0.2">
      <c r="A34" s="332" t="e">
        <f>+#REF!</f>
        <v>#REF!</v>
      </c>
      <c r="B34" s="232">
        <f>+'Trended Detail'!O15</f>
        <v>538232.55641025631</v>
      </c>
      <c r="C34" s="232" t="e">
        <f>+#REF!</f>
        <v>#REF!</v>
      </c>
      <c r="D34" s="232" t="e">
        <f t="shared" si="2"/>
        <v>#REF!</v>
      </c>
      <c r="E34" s="333">
        <f t="shared" si="3"/>
        <v>16146.97669230769</v>
      </c>
    </row>
    <row r="35" spans="1:6" x14ac:dyDescent="0.2">
      <c r="A35" s="332" t="e">
        <f>+#REF!</f>
        <v>#REF!</v>
      </c>
      <c r="B35" s="232">
        <f>+'Trended Detail'!O16</f>
        <v>92367.688827838836</v>
      </c>
      <c r="C35" s="232" t="e">
        <f>+#REF!</f>
        <v>#REF!</v>
      </c>
      <c r="D35" s="232" t="e">
        <f t="shared" si="2"/>
        <v>#REF!</v>
      </c>
      <c r="E35" s="333">
        <f t="shared" si="3"/>
        <v>2771.0306648351648</v>
      </c>
    </row>
    <row r="36" spans="1:6" x14ac:dyDescent="0.2">
      <c r="A36" s="332" t="e">
        <f>+#REF!</f>
        <v>#REF!</v>
      </c>
      <c r="B36" s="232">
        <f>+'Trended Detail'!O17</f>
        <v>142117.89743589744</v>
      </c>
      <c r="C36" s="232" t="e">
        <f>+#REF!</f>
        <v>#REF!</v>
      </c>
      <c r="D36" s="232" t="e">
        <f t="shared" si="2"/>
        <v>#REF!</v>
      </c>
      <c r="E36" s="333">
        <f t="shared" si="3"/>
        <v>4263.5369230769229</v>
      </c>
    </row>
    <row r="37" spans="1:6" x14ac:dyDescent="0.2">
      <c r="A37" s="332" t="e">
        <f>+#REF!</f>
        <v>#REF!</v>
      </c>
      <c r="B37" s="232">
        <f>+'Trended Detail'!O9</f>
        <v>61454.087362637365</v>
      </c>
      <c r="C37" s="232" t="e">
        <f>+#REF!</f>
        <v>#REF!</v>
      </c>
      <c r="D37" s="232" t="e">
        <f t="shared" si="2"/>
        <v>#REF!</v>
      </c>
      <c r="E37" s="333">
        <f t="shared" si="3"/>
        <v>1843.6226208791209</v>
      </c>
    </row>
    <row r="38" spans="1:6" x14ac:dyDescent="0.2">
      <c r="A38" s="332" t="e">
        <f>+#REF!</f>
        <v>#REF!</v>
      </c>
      <c r="B38" s="232">
        <f>+'Trended Detail'!O43</f>
        <v>37365.705128205132</v>
      </c>
      <c r="C38" s="232" t="e">
        <f>+#REF!</f>
        <v>#REF!</v>
      </c>
      <c r="D38" s="232" t="e">
        <f t="shared" si="2"/>
        <v>#REF!</v>
      </c>
      <c r="E38" s="333">
        <v>0</v>
      </c>
    </row>
    <row r="39" spans="1:6" x14ac:dyDescent="0.2">
      <c r="A39" s="332" t="e">
        <f>+#REF!</f>
        <v>#REF!</v>
      </c>
      <c r="B39" s="232">
        <f>+'Trended Detail'!O44</f>
        <v>59884.065934065933</v>
      </c>
      <c r="C39" s="232" t="e">
        <f>+#REF!</f>
        <v>#REF!</v>
      </c>
      <c r="D39" s="232" t="e">
        <f t="shared" si="2"/>
        <v>#REF!</v>
      </c>
      <c r="E39" s="333">
        <v>0</v>
      </c>
    </row>
    <row r="40" spans="1:6" x14ac:dyDescent="0.2">
      <c r="A40" s="332" t="e">
        <f>+#REF!</f>
        <v>#REF!</v>
      </c>
      <c r="B40" s="232">
        <f>+'Trended Detail'!O45</f>
        <v>186664.74358974359</v>
      </c>
      <c r="C40" s="232" t="e">
        <f>+#REF!</f>
        <v>#REF!</v>
      </c>
      <c r="D40" s="232" t="e">
        <f t="shared" si="2"/>
        <v>#REF!</v>
      </c>
      <c r="E40" s="333">
        <v>0</v>
      </c>
    </row>
    <row r="41" spans="1:6" ht="13.5" thickBot="1" x14ac:dyDescent="0.25">
      <c r="A41" s="10"/>
      <c r="B41" s="334">
        <f>SUM(B29:B40)</f>
        <v>1828438.6877289375</v>
      </c>
      <c r="C41" s="334" t="e">
        <f>SUM(C29:C40)</f>
        <v>#REF!</v>
      </c>
      <c r="D41" s="334" t="e">
        <f>SUM(D29:D40)</f>
        <v>#REF!</v>
      </c>
      <c r="E41" s="335">
        <f>SUM(E29:E40)</f>
        <v>46335.725192307684</v>
      </c>
    </row>
    <row r="42" spans="1:6" ht="13.5" thickTop="1" x14ac:dyDescent="0.2">
      <c r="A42" s="10"/>
      <c r="B42" s="232"/>
      <c r="C42" s="232"/>
      <c r="D42" s="232"/>
    </row>
    <row r="43" spans="1:6" ht="13.5" thickBot="1" x14ac:dyDescent="0.25">
      <c r="A43" s="229" t="s">
        <v>587</v>
      </c>
      <c r="B43" s="334">
        <f>SUM(B38:B40)</f>
        <v>283914.51465201465</v>
      </c>
      <c r="C43" s="334" t="e">
        <f t="shared" ref="C43:D43" si="4">SUM(C38:C40)</f>
        <v>#REF!</v>
      </c>
      <c r="D43" s="334" t="e">
        <f t="shared" si="4"/>
        <v>#REF!</v>
      </c>
    </row>
    <row r="44" spans="1:6" ht="13.5" thickTop="1" x14ac:dyDescent="0.2">
      <c r="A44" s="10"/>
    </row>
    <row r="45" spans="1:6" x14ac:dyDescent="0.2">
      <c r="A45" s="229" t="s">
        <v>127</v>
      </c>
      <c r="B45" s="232">
        <f>(B41-B43)*0.16</f>
        <v>247123.86769230766</v>
      </c>
      <c r="C45" s="232" t="e">
        <f>(C41-C43)*0.16</f>
        <v>#REF!</v>
      </c>
      <c r="D45" s="232" t="e">
        <f t="shared" si="2"/>
        <v>#REF!</v>
      </c>
    </row>
    <row r="46" spans="1:6" x14ac:dyDescent="0.2">
      <c r="A46" s="10"/>
      <c r="B46" s="232"/>
      <c r="C46" s="232"/>
      <c r="D46" s="232"/>
    </row>
    <row r="47" spans="1:6" x14ac:dyDescent="0.2">
      <c r="A47" s="229" t="s">
        <v>594</v>
      </c>
      <c r="B47" s="232">
        <f>B41-B43+B45</f>
        <v>1791648.0407692303</v>
      </c>
      <c r="C47" s="232" t="e">
        <f>C41-C43+C45</f>
        <v>#REF!</v>
      </c>
      <c r="D47" s="232" t="e">
        <f t="shared" si="2"/>
        <v>#REF!</v>
      </c>
    </row>
    <row r="48" spans="1:6" x14ac:dyDescent="0.2">
      <c r="A48" s="10"/>
      <c r="B48" s="232"/>
      <c r="C48" s="232"/>
      <c r="D48" s="232"/>
    </row>
    <row r="49" spans="1:4" x14ac:dyDescent="0.2">
      <c r="A49" s="229" t="s">
        <v>595</v>
      </c>
      <c r="B49" s="232">
        <f>B47+B43</f>
        <v>2075562.5554212451</v>
      </c>
      <c r="C49" s="232" t="e">
        <f>C47+C43</f>
        <v>#REF!</v>
      </c>
      <c r="D49" s="232" t="e">
        <f t="shared" si="2"/>
        <v>#REF!</v>
      </c>
    </row>
    <row r="50" spans="1:4" x14ac:dyDescent="0.2">
      <c r="A50" s="10"/>
      <c r="B50" s="232"/>
      <c r="C50" s="232"/>
      <c r="D50" s="232"/>
    </row>
    <row r="51" spans="1:4" x14ac:dyDescent="0.2">
      <c r="A51" s="10"/>
    </row>
    <row r="52" spans="1:4" x14ac:dyDescent="0.2">
      <c r="A52" s="10"/>
    </row>
    <row r="53" spans="1:4" x14ac:dyDescent="0.2">
      <c r="A53" s="10"/>
    </row>
    <row r="54" spans="1:4" x14ac:dyDescent="0.2">
      <c r="A54" s="10"/>
    </row>
    <row r="55" spans="1:4" x14ac:dyDescent="0.2">
      <c r="A55" s="10"/>
    </row>
    <row r="56" spans="1:4" x14ac:dyDescent="0.2">
      <c r="A56" s="10"/>
    </row>
    <row r="57" spans="1:4" x14ac:dyDescent="0.2">
      <c r="A57" s="10"/>
    </row>
    <row r="58" spans="1:4" x14ac:dyDescent="0.2">
      <c r="A58" s="10"/>
    </row>
    <row r="59" spans="1:4" x14ac:dyDescent="0.2">
      <c r="A59" s="10"/>
    </row>
    <row r="60" spans="1:4" x14ac:dyDescent="0.2">
      <c r="A60" s="10"/>
    </row>
    <row r="61" spans="1:4" x14ac:dyDescent="0.2">
      <c r="A61" s="10"/>
    </row>
    <row r="62" spans="1:4" x14ac:dyDescent="0.2">
      <c r="A62" s="10"/>
    </row>
    <row r="63" spans="1:4" x14ac:dyDescent="0.2">
      <c r="A63" s="10"/>
    </row>
    <row r="64" spans="1:4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5"/>
  <sheetViews>
    <sheetView workbookViewId="0">
      <pane xSplit="2" ySplit="7" topLeftCell="D62" activePane="bottomRight" state="frozen"/>
      <selection pane="topRight" activeCell="C1" sqref="C1"/>
      <selection pane="bottomLeft" activeCell="A8" sqref="A8"/>
      <selection pane="bottomRight" activeCell="S101" sqref="S101"/>
    </sheetView>
  </sheetViews>
  <sheetFormatPr defaultColWidth="9.140625" defaultRowHeight="15" outlineLevelRow="1" x14ac:dyDescent="0.25"/>
  <cols>
    <col min="1" max="1" width="44.28515625" style="255" customWidth="1"/>
    <col min="2" max="2" width="0.28515625" style="255" customWidth="1"/>
    <col min="3" max="11" width="12.7109375" style="257" customWidth="1"/>
    <col min="12" max="12" width="1" style="255" customWidth="1"/>
    <col min="13" max="13" width="12.7109375" style="257" customWidth="1"/>
    <col min="14" max="15" width="12.7109375" style="255" customWidth="1"/>
    <col min="16" max="16" width="13.42578125" style="255" customWidth="1"/>
    <col min="17" max="17" width="13.5703125" style="255" customWidth="1"/>
    <col min="18" max="18" width="11.5703125" style="255" bestFit="1" customWidth="1"/>
    <col min="19" max="20" width="10.5703125" style="255" bestFit="1" customWidth="1"/>
    <col min="21" max="16384" width="9.140625" style="255"/>
  </cols>
  <sheetData>
    <row r="1" spans="1:16" x14ac:dyDescent="0.25">
      <c r="A1" s="252" t="s">
        <v>534</v>
      </c>
      <c r="B1" s="253"/>
      <c r="C1" s="254"/>
      <c r="D1" s="254"/>
      <c r="E1" s="254"/>
      <c r="F1" s="254"/>
      <c r="G1" s="254"/>
      <c r="H1" s="254"/>
      <c r="I1" s="254"/>
      <c r="J1" s="254"/>
      <c r="K1" s="254"/>
      <c r="L1" s="253"/>
      <c r="M1" s="254"/>
    </row>
    <row r="2" spans="1:16" x14ac:dyDescent="0.25">
      <c r="A2" s="252" t="s">
        <v>491</v>
      </c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3"/>
      <c r="M2" s="254"/>
    </row>
    <row r="3" spans="1:16" ht="15.75" thickBot="1" x14ac:dyDescent="0.3">
      <c r="A3" s="252" t="str">
        <f>"For the Twelve Months Ending "&amp;TEXT(A4,"Mmmm DD, YYYY")</f>
        <v>For the Twelve Months Ending June 30, 2015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3"/>
      <c r="M3" s="254"/>
    </row>
    <row r="4" spans="1:16" ht="15.75" thickBot="1" x14ac:dyDescent="0.3">
      <c r="A4" s="256">
        <v>42185</v>
      </c>
      <c r="C4" s="508" t="s">
        <v>535</v>
      </c>
      <c r="D4" s="509"/>
      <c r="E4" s="509"/>
      <c r="F4" s="509"/>
      <c r="G4" s="509"/>
      <c r="H4" s="509"/>
      <c r="I4" s="509"/>
      <c r="J4" s="509"/>
      <c r="K4" s="510"/>
    </row>
    <row r="5" spans="1:16" s="258" customFormat="1" x14ac:dyDescent="0.25">
      <c r="A5" s="258" t="s">
        <v>536</v>
      </c>
      <c r="B5" s="252"/>
      <c r="C5" s="259">
        <v>31</v>
      </c>
      <c r="D5" s="259">
        <v>30</v>
      </c>
      <c r="E5" s="259">
        <v>31</v>
      </c>
      <c r="F5" s="259">
        <v>31</v>
      </c>
      <c r="G5" s="259">
        <v>28</v>
      </c>
      <c r="H5" s="259">
        <v>31</v>
      </c>
      <c r="I5" s="259">
        <v>30</v>
      </c>
      <c r="J5" s="259">
        <v>31</v>
      </c>
      <c r="K5" s="259">
        <v>30</v>
      </c>
      <c r="L5" s="260"/>
      <c r="M5" s="259">
        <f>SUM(C5:K5)</f>
        <v>273</v>
      </c>
    </row>
    <row r="6" spans="1:16" x14ac:dyDescent="0.25">
      <c r="C6" s="261">
        <v>41943</v>
      </c>
      <c r="D6" s="261">
        <v>41973</v>
      </c>
      <c r="E6" s="261">
        <v>42004</v>
      </c>
      <c r="F6" s="261">
        <v>42035</v>
      </c>
      <c r="G6" s="261">
        <v>42063</v>
      </c>
      <c r="H6" s="261">
        <v>42094</v>
      </c>
      <c r="I6" s="261">
        <v>42124</v>
      </c>
      <c r="J6" s="261">
        <v>42155</v>
      </c>
      <c r="K6" s="261">
        <v>42185</v>
      </c>
      <c r="M6" s="261" t="s">
        <v>1</v>
      </c>
      <c r="N6" s="261" t="s">
        <v>537</v>
      </c>
      <c r="O6" s="261" t="s">
        <v>23</v>
      </c>
    </row>
    <row r="7" spans="1:16" ht="4.5" customHeight="1" x14ac:dyDescent="0.25">
      <c r="A7" s="262"/>
      <c r="N7" s="257"/>
      <c r="O7" s="257"/>
    </row>
    <row r="8" spans="1:16" x14ac:dyDescent="0.25">
      <c r="A8" s="263" t="s">
        <v>538</v>
      </c>
      <c r="N8" s="257"/>
      <c r="O8" s="257"/>
    </row>
    <row r="9" spans="1:16" outlineLevel="1" x14ac:dyDescent="0.25">
      <c r="A9" s="264" t="str">
        <f>TRIM(MID("2AB.Salaries:Physicians &amp; Med Directors",5,125))</f>
        <v>Salaries:Physicians &amp; Med Directors</v>
      </c>
      <c r="C9" s="265">
        <f>6364.29+0</f>
        <v>6364.29</v>
      </c>
      <c r="D9" s="265">
        <f>5235+0</f>
        <v>5235</v>
      </c>
      <c r="E9" s="265">
        <f>5003.57+0</f>
        <v>5003.57</v>
      </c>
      <c r="F9" s="265">
        <f>4412.14+0</f>
        <v>4412.1400000000003</v>
      </c>
      <c r="G9" s="265">
        <f>4725+0</f>
        <v>4725</v>
      </c>
      <c r="H9" s="265">
        <f>5417.14+0</f>
        <v>5417.14</v>
      </c>
      <c r="I9" s="265">
        <f>4984.29+0</f>
        <v>4984.29</v>
      </c>
      <c r="J9" s="265">
        <f>5670+0</f>
        <v>5670</v>
      </c>
      <c r="K9" s="265">
        <f>4152.86+0</f>
        <v>4152.8599999999997</v>
      </c>
      <c r="L9" s="266"/>
      <c r="M9" s="265">
        <f t="shared" ref="M9:M18" si="0">SUM(B9:L9)</f>
        <v>45964.29</v>
      </c>
      <c r="N9" s="265">
        <f>AVERAGE(C9:K9)</f>
        <v>5107.1433333333334</v>
      </c>
      <c r="O9" s="267">
        <f t="shared" ref="O9:O17" si="1">(M9/$M$5)*365</f>
        <v>61454.087362637365</v>
      </c>
      <c r="P9" s="268"/>
    </row>
    <row r="10" spans="1:16" outlineLevel="1" x14ac:dyDescent="0.25">
      <c r="A10" s="264" t="str">
        <f>TRIM(MID("2AC.Salaries:HSA &amp; DON",5,125))</f>
        <v>Salaries:HSA &amp; DON</v>
      </c>
      <c r="C10" s="265">
        <f>15810.82+0</f>
        <v>15810.82</v>
      </c>
      <c r="D10" s="265">
        <f>14410.11+0</f>
        <v>14410.11</v>
      </c>
      <c r="E10" s="265">
        <f>14633.5+0</f>
        <v>14633.5</v>
      </c>
      <c r="F10" s="265">
        <f>15793.4+0</f>
        <v>15793.4</v>
      </c>
      <c r="G10" s="265">
        <f>12671.88+0</f>
        <v>12671.88</v>
      </c>
      <c r="H10" s="265">
        <f>14111.64+0</f>
        <v>14111.64</v>
      </c>
      <c r="I10" s="265">
        <f>10493.14+0</f>
        <v>10493.14</v>
      </c>
      <c r="J10" s="265">
        <f>9876.68+0</f>
        <v>9876.68</v>
      </c>
      <c r="K10" s="265">
        <f>14206.29+0</f>
        <v>14206.29</v>
      </c>
      <c r="L10" s="266"/>
      <c r="M10" s="265">
        <f t="shared" si="0"/>
        <v>122007.46000000002</v>
      </c>
      <c r="N10" s="265">
        <f t="shared" ref="N10:N17" si="2">AVERAGE(C10:K10)</f>
        <v>13556.384444444448</v>
      </c>
      <c r="O10" s="267">
        <f t="shared" si="1"/>
        <v>163123.52710622712</v>
      </c>
    </row>
    <row r="11" spans="1:16" outlineLevel="1" x14ac:dyDescent="0.25">
      <c r="A11" s="264" t="str">
        <f>TRIM(MID("2AD.Salaries:Dental",5,125))</f>
        <v>Salaries:Dental</v>
      </c>
      <c r="C11" s="265">
        <f>648.52+0</f>
        <v>648.52</v>
      </c>
      <c r="D11" s="265">
        <f>744.56+0</f>
        <v>744.56</v>
      </c>
      <c r="E11" s="265">
        <f>715.5+0</f>
        <v>715.5</v>
      </c>
      <c r="F11" s="265">
        <f>556.9+0</f>
        <v>556.9</v>
      </c>
      <c r="G11" s="265">
        <f>627.75+0</f>
        <v>627.75</v>
      </c>
      <c r="H11" s="265">
        <f>699.17+0</f>
        <v>699.17</v>
      </c>
      <c r="I11" s="265">
        <f>749.53+0</f>
        <v>749.53</v>
      </c>
      <c r="J11" s="265">
        <f>495.45+0</f>
        <v>495.45</v>
      </c>
      <c r="K11" s="265">
        <f>576.83+0</f>
        <v>576.83000000000004</v>
      </c>
      <c r="L11" s="266"/>
      <c r="M11" s="265">
        <f t="shared" si="0"/>
        <v>5814.21</v>
      </c>
      <c r="N11" s="265">
        <f t="shared" si="2"/>
        <v>646.02333333333331</v>
      </c>
      <c r="O11" s="267">
        <f t="shared" si="1"/>
        <v>7773.5774725274732</v>
      </c>
    </row>
    <row r="12" spans="1:16" outlineLevel="1" x14ac:dyDescent="0.25">
      <c r="A12" s="264" t="str">
        <f>TRIM(MID("2AE.Salaries:Medical Support",5,125))</f>
        <v>Salaries:Medical Support</v>
      </c>
      <c r="C12" s="265">
        <f>5033.92+0</f>
        <v>5033.92</v>
      </c>
      <c r="D12" s="265">
        <f>5001.28+0</f>
        <v>5001.28</v>
      </c>
      <c r="E12" s="265">
        <f>4934.23+0</f>
        <v>4934.2299999999996</v>
      </c>
      <c r="F12" s="265">
        <f>5236.07+0</f>
        <v>5236.07</v>
      </c>
      <c r="G12" s="265">
        <f>3413.65+0</f>
        <v>3413.65</v>
      </c>
      <c r="H12" s="265">
        <f>5277.85+0</f>
        <v>5277.85</v>
      </c>
      <c r="I12" s="265">
        <f>4696.73+0</f>
        <v>4696.7299999999996</v>
      </c>
      <c r="J12" s="265">
        <f>4767.63+0</f>
        <v>4767.63</v>
      </c>
      <c r="K12" s="265">
        <f>5233.34+0</f>
        <v>5233.34</v>
      </c>
      <c r="L12" s="266"/>
      <c r="M12" s="265">
        <f t="shared" si="0"/>
        <v>43594.7</v>
      </c>
      <c r="N12" s="265">
        <f t="shared" si="2"/>
        <v>4843.8555555555549</v>
      </c>
      <c r="O12" s="267">
        <f t="shared" si="1"/>
        <v>58285.954212454213</v>
      </c>
    </row>
    <row r="13" spans="1:16" outlineLevel="1" x14ac:dyDescent="0.25">
      <c r="A13" s="264" t="str">
        <f>TRIM(MID("2AF.Salaries:PA/NP/ARNP",5,125))</f>
        <v>Salaries:PA/NP/ARNP</v>
      </c>
      <c r="C13" s="265">
        <f>13275.04+0</f>
        <v>13275.04</v>
      </c>
      <c r="D13" s="265">
        <f>11830.5+0</f>
        <v>11830.5</v>
      </c>
      <c r="E13" s="265">
        <f>12429+0</f>
        <v>12429</v>
      </c>
      <c r="F13" s="265">
        <f>11704.13+0</f>
        <v>11704.13</v>
      </c>
      <c r="G13" s="265">
        <f>9698.75+0</f>
        <v>9698.75</v>
      </c>
      <c r="H13" s="265">
        <f>12769.01+0</f>
        <v>12769.01</v>
      </c>
      <c r="I13" s="265">
        <f>11203.68+0</f>
        <v>11203.68</v>
      </c>
      <c r="J13" s="265">
        <f>13076.77+0</f>
        <v>13076.77</v>
      </c>
      <c r="K13" s="265">
        <f>11161.5+0</f>
        <v>11161.5</v>
      </c>
      <c r="L13" s="266"/>
      <c r="M13" s="265">
        <f t="shared" si="0"/>
        <v>107148.37999999999</v>
      </c>
      <c r="N13" s="265">
        <f t="shared" si="2"/>
        <v>11905.375555555554</v>
      </c>
      <c r="O13" s="267">
        <f t="shared" si="1"/>
        <v>143256.99157509155</v>
      </c>
    </row>
    <row r="14" spans="1:16" outlineLevel="1" x14ac:dyDescent="0.25">
      <c r="A14" s="264" t="str">
        <f>TRIM(MID("2AG.Salaries:RN's",5,125))</f>
        <v>Salaries:RN's</v>
      </c>
      <c r="C14" s="265">
        <f>34912.55+0</f>
        <v>34912.550000000003</v>
      </c>
      <c r="D14" s="265">
        <f>28482.12+0</f>
        <v>28482.12</v>
      </c>
      <c r="E14" s="265">
        <f>27382.62+0</f>
        <v>27382.62</v>
      </c>
      <c r="F14" s="265">
        <f>27861.69+0</f>
        <v>27861.69</v>
      </c>
      <c r="G14" s="265">
        <f>23725.25+0</f>
        <v>23725.25</v>
      </c>
      <c r="H14" s="265">
        <f>25144.52+0</f>
        <v>25144.52</v>
      </c>
      <c r="I14" s="265">
        <f>24645.98+0</f>
        <v>24645.98</v>
      </c>
      <c r="J14" s="265">
        <f>34713.24+0</f>
        <v>34713.24</v>
      </c>
      <c r="K14" s="265">
        <f>25871.61+0</f>
        <v>25871.61</v>
      </c>
      <c r="L14" s="266"/>
      <c r="M14" s="265">
        <f t="shared" si="0"/>
        <v>252739.57999999996</v>
      </c>
      <c r="N14" s="265">
        <f t="shared" si="2"/>
        <v>28082.17555555555</v>
      </c>
      <c r="O14" s="267">
        <f t="shared" si="1"/>
        <v>337911.89267399261</v>
      </c>
    </row>
    <row r="15" spans="1:16" outlineLevel="1" x14ac:dyDescent="0.25">
      <c r="A15" s="264" t="str">
        <f>TRIM(MID("2AH.Salaries:LPN's",5,125))</f>
        <v>Salaries:LPN's</v>
      </c>
      <c r="C15" s="265">
        <f>42709.98+0</f>
        <v>42709.98</v>
      </c>
      <c r="D15" s="265">
        <f>54802.15+0</f>
        <v>54802.15</v>
      </c>
      <c r="E15" s="265">
        <f>46211.61+0</f>
        <v>46211.61</v>
      </c>
      <c r="F15" s="265">
        <f>47970.03+0</f>
        <v>47970.03</v>
      </c>
      <c r="G15" s="265">
        <f>41035.26+0</f>
        <v>41035.26</v>
      </c>
      <c r="H15" s="265">
        <f>44189.89+0</f>
        <v>44189.89</v>
      </c>
      <c r="I15" s="265">
        <f>38012.56+0</f>
        <v>38012.559999999998</v>
      </c>
      <c r="J15" s="265">
        <f>48873.23+0</f>
        <v>48873.23</v>
      </c>
      <c r="K15" s="265">
        <f>38763.75+0</f>
        <v>38763.75</v>
      </c>
      <c r="L15" s="266"/>
      <c r="M15" s="265">
        <f t="shared" si="0"/>
        <v>402568.45999999996</v>
      </c>
      <c r="N15" s="265">
        <f t="shared" si="2"/>
        <v>44729.828888888886</v>
      </c>
      <c r="O15" s="267">
        <f t="shared" si="1"/>
        <v>538232.55641025631</v>
      </c>
    </row>
    <row r="16" spans="1:16" outlineLevel="1" x14ac:dyDescent="0.25">
      <c r="A16" s="264" t="str">
        <f>TRIM(MID("2AI.Salaries:CMA's",5,125))</f>
        <v>Salaries:CMA's</v>
      </c>
      <c r="C16" s="265">
        <f>8873.55+0</f>
        <v>8873.5499999999993</v>
      </c>
      <c r="D16" s="265">
        <f>8213.73+0</f>
        <v>8213.73</v>
      </c>
      <c r="E16" s="265">
        <f>7803.71+0</f>
        <v>7803.71</v>
      </c>
      <c r="F16" s="265">
        <f>7373.64+0</f>
        <v>7373.64</v>
      </c>
      <c r="G16" s="265">
        <f>5027.73+0</f>
        <v>5027.7299999999996</v>
      </c>
      <c r="H16" s="265">
        <f>9078.92+0</f>
        <v>9078.92</v>
      </c>
      <c r="I16" s="265">
        <f>7705.66+0</f>
        <v>7705.66</v>
      </c>
      <c r="J16" s="265">
        <f>7545.9+0</f>
        <v>7545.9</v>
      </c>
      <c r="K16" s="265">
        <f>7463.13+0</f>
        <v>7463.13</v>
      </c>
      <c r="L16" s="266"/>
      <c r="M16" s="265">
        <f t="shared" si="0"/>
        <v>69085.97</v>
      </c>
      <c r="N16" s="265">
        <f t="shared" si="2"/>
        <v>7676.2188888888886</v>
      </c>
      <c r="O16" s="267">
        <f t="shared" si="1"/>
        <v>92367.688827838836</v>
      </c>
    </row>
    <row r="17" spans="1:17" outlineLevel="1" x14ac:dyDescent="0.25">
      <c r="A17" s="264" t="str">
        <f>TRIM(MID("2AJ.Salaries:Mental Health",5,125))</f>
        <v>Salaries:Mental Health</v>
      </c>
      <c r="C17" s="265">
        <f>18644.17+0</f>
        <v>18644.169999999998</v>
      </c>
      <c r="D17" s="265">
        <f>16272.8+0</f>
        <v>16272.8</v>
      </c>
      <c r="E17" s="265">
        <f>14389.07+0</f>
        <v>14389.07</v>
      </c>
      <c r="F17" s="265">
        <f>12500.28+0</f>
        <v>12500.28</v>
      </c>
      <c r="G17" s="265">
        <f>6965.44+0</f>
        <v>6965.44</v>
      </c>
      <c r="H17" s="265">
        <f>8329.03+0</f>
        <v>8329.0300000000007</v>
      </c>
      <c r="I17" s="265">
        <f>7621.27+0</f>
        <v>7621.27</v>
      </c>
      <c r="J17" s="265">
        <f>9340.88+0</f>
        <v>9340.8799999999992</v>
      </c>
      <c r="K17" s="265">
        <f>12233.46+0</f>
        <v>12233.46</v>
      </c>
      <c r="L17" s="266"/>
      <c r="M17" s="265">
        <f t="shared" si="0"/>
        <v>106296.4</v>
      </c>
      <c r="N17" s="265">
        <f t="shared" si="2"/>
        <v>11810.71111111111</v>
      </c>
      <c r="O17" s="267">
        <f t="shared" si="1"/>
        <v>142117.89743589744</v>
      </c>
    </row>
    <row r="18" spans="1:17" x14ac:dyDescent="0.25">
      <c r="A18" s="263" t="str">
        <f>"Total "&amp;TRIM(MID("2A.Salaries",4,125))</f>
        <v>Total Salaries</v>
      </c>
      <c r="C18" s="269">
        <f>SUM(OSRRefC9_0x_3)</f>
        <v>146272.84000000003</v>
      </c>
      <c r="D18" s="269">
        <f>SUM(OSRRefC9_0x_4)</f>
        <v>144992.25</v>
      </c>
      <c r="E18" s="269">
        <f>SUM(OSRRefC9_0x_5)</f>
        <v>133502.81</v>
      </c>
      <c r="F18" s="269">
        <f>SUM(OSRRefC9_0x_6)</f>
        <v>133408.28</v>
      </c>
      <c r="G18" s="269">
        <f>SUM(OSRRefC9_0x_7)</f>
        <v>107890.71</v>
      </c>
      <c r="H18" s="269">
        <f>SUM(OSRRefC9_0x_8)</f>
        <v>125017.17</v>
      </c>
      <c r="I18" s="269">
        <f>SUM(OSRRefC9_0x_9)</f>
        <v>110112.84000000001</v>
      </c>
      <c r="J18" s="269">
        <f>SUM(OSRRefC9_0x_10)</f>
        <v>134359.78</v>
      </c>
      <c r="K18" s="269">
        <f>SUM(OSRRefC9_0x_11)</f>
        <v>119662.77000000002</v>
      </c>
      <c r="L18" s="266"/>
      <c r="M18" s="269">
        <f t="shared" si="0"/>
        <v>1155219.4500000002</v>
      </c>
      <c r="N18" s="269">
        <f>SUM(N9:N17)</f>
        <v>128357.71666666666</v>
      </c>
      <c r="O18" s="269">
        <f>SUM(O9:O17)</f>
        <v>1544524.173076923</v>
      </c>
    </row>
    <row r="19" spans="1:17" ht="6" customHeight="1" x14ac:dyDescent="0.25">
      <c r="A19" s="263"/>
      <c r="C19" s="270"/>
      <c r="D19" s="270"/>
      <c r="E19" s="270"/>
      <c r="F19" s="270"/>
      <c r="G19" s="270"/>
      <c r="H19" s="270"/>
      <c r="I19" s="270"/>
      <c r="J19" s="270"/>
      <c r="K19" s="270"/>
      <c r="L19" s="266"/>
      <c r="M19" s="270"/>
      <c r="N19" s="270"/>
      <c r="O19" s="270"/>
    </row>
    <row r="20" spans="1:17" outlineLevel="1" x14ac:dyDescent="0.25">
      <c r="A20" s="264" t="str">
        <f>TRIM(MID("2BM.Contract Labor",5,125))</f>
        <v>Contract Labor</v>
      </c>
      <c r="C20" s="265">
        <f>437.4+0</f>
        <v>437.4</v>
      </c>
      <c r="D20" s="265">
        <f t="shared" ref="D20:K20" si="3">0+0</f>
        <v>0</v>
      </c>
      <c r="E20" s="265">
        <f t="shared" si="3"/>
        <v>0</v>
      </c>
      <c r="F20" s="265">
        <f t="shared" si="3"/>
        <v>0</v>
      </c>
      <c r="G20" s="265">
        <f t="shared" si="3"/>
        <v>0</v>
      </c>
      <c r="H20" s="265">
        <f t="shared" si="3"/>
        <v>0</v>
      </c>
      <c r="I20" s="265">
        <f t="shared" si="3"/>
        <v>0</v>
      </c>
      <c r="J20" s="265">
        <f t="shared" si="3"/>
        <v>0</v>
      </c>
      <c r="K20" s="265">
        <f t="shared" si="3"/>
        <v>0</v>
      </c>
      <c r="L20" s="266"/>
      <c r="M20" s="265">
        <f>SUM(B20:L20)</f>
        <v>437.4</v>
      </c>
      <c r="N20" s="265">
        <f t="shared" ref="N20" si="4">AVERAGE(C20:K20)</f>
        <v>48.599999999999994</v>
      </c>
      <c r="O20" s="265">
        <f>(M20/$M$5)*365</f>
        <v>584.80219780219772</v>
      </c>
    </row>
    <row r="21" spans="1:17" x14ac:dyDescent="0.25">
      <c r="A21" s="263" t="str">
        <f>"Total "&amp;TRIM(MID("2B.Contract Labor",4,125))</f>
        <v>Total Contract Labor</v>
      </c>
      <c r="C21" s="269">
        <f>SUM(OSRRefC12_0x_3)</f>
        <v>437.4</v>
      </c>
      <c r="D21" s="269">
        <f>SUM(OSRRefC12_0x_4)</f>
        <v>0</v>
      </c>
      <c r="E21" s="269">
        <f>SUM(OSRRefC12_0x_5)</f>
        <v>0</v>
      </c>
      <c r="F21" s="269">
        <f>SUM(OSRRefC12_0x_6)</f>
        <v>0</v>
      </c>
      <c r="G21" s="269">
        <f>SUM(OSRRefC12_0x_7)</f>
        <v>0</v>
      </c>
      <c r="H21" s="269">
        <f>SUM(OSRRefC12_0x_8)</f>
        <v>0</v>
      </c>
      <c r="I21" s="269">
        <f>SUM(OSRRefC12_0x_9)</f>
        <v>0</v>
      </c>
      <c r="J21" s="269">
        <f>SUM(OSRRefC12_0x_10)</f>
        <v>0</v>
      </c>
      <c r="K21" s="269">
        <f>SUM(OSRRefC12_0x_11)</f>
        <v>0</v>
      </c>
      <c r="L21" s="266"/>
      <c r="M21" s="269">
        <f>SUM(B21:L21)</f>
        <v>437.4</v>
      </c>
      <c r="N21" s="269">
        <f>N20</f>
        <v>48.599999999999994</v>
      </c>
      <c r="O21" s="269"/>
    </row>
    <row r="22" spans="1:17" ht="4.5" customHeight="1" thickBot="1" x14ac:dyDescent="0.3">
      <c r="A22" s="271"/>
      <c r="C22" s="265"/>
      <c r="D22" s="265"/>
      <c r="E22" s="265"/>
      <c r="F22" s="265"/>
      <c r="G22" s="265"/>
      <c r="H22" s="265"/>
      <c r="I22" s="265"/>
      <c r="J22" s="265"/>
      <c r="K22" s="265"/>
      <c r="L22" s="266"/>
      <c r="M22" s="265"/>
      <c r="N22" s="265"/>
      <c r="O22" s="265"/>
    </row>
    <row r="23" spans="1:17" outlineLevel="1" x14ac:dyDescent="0.25">
      <c r="A23" s="264" t="str">
        <f>TRIM(MID("2CA.Payroll Taxes",5,125))</f>
        <v>Payroll Taxes</v>
      </c>
      <c r="C23" s="265">
        <f>12293.91+0</f>
        <v>12293.91</v>
      </c>
      <c r="D23" s="265">
        <f>12159.16+0</f>
        <v>12159.16</v>
      </c>
      <c r="E23" s="265">
        <f>10711.24+0</f>
        <v>10711.24</v>
      </c>
      <c r="F23" s="265">
        <f>13625.14+0</f>
        <v>13625.14</v>
      </c>
      <c r="G23" s="265">
        <f>8860.25+0</f>
        <v>8860.25</v>
      </c>
      <c r="H23" s="265">
        <f>9791.28+0</f>
        <v>9791.2800000000007</v>
      </c>
      <c r="I23" s="265">
        <f>8773.76+0</f>
        <v>8773.76</v>
      </c>
      <c r="J23" s="265">
        <f>10562.66+0</f>
        <v>10562.66</v>
      </c>
      <c r="K23" s="265">
        <f>9330.91+0</f>
        <v>9330.91</v>
      </c>
      <c r="L23" s="266"/>
      <c r="M23" s="265">
        <f>SUM(B23:L23)</f>
        <v>96108.31</v>
      </c>
      <c r="N23" s="265">
        <f t="shared" ref="N23:N26" si="5">AVERAGE(C23:K23)</f>
        <v>10678.701111111111</v>
      </c>
      <c r="O23" s="265">
        <f>(M23/$M$5)*365</f>
        <v>128496.45842490843</v>
      </c>
      <c r="P23" s="324">
        <f>O23/O18</f>
        <v>8.3194850986970492E-2</v>
      </c>
      <c r="Q23" s="324">
        <v>8.8499999999999995E-2</v>
      </c>
    </row>
    <row r="24" spans="1:17" outlineLevel="1" x14ac:dyDescent="0.25">
      <c r="A24" s="264" t="str">
        <f>TRIM(MID("2CB.Employee Health Benefit",5,125))</f>
        <v>Employee Health Benefit</v>
      </c>
      <c r="C24" s="265">
        <f>9103.46+0</f>
        <v>9103.4599999999991</v>
      </c>
      <c r="D24" s="265">
        <f>10093.08+0</f>
        <v>10093.08</v>
      </c>
      <c r="E24" s="265">
        <f>11005.35+0</f>
        <v>11005.35</v>
      </c>
      <c r="F24" s="265">
        <f>6316.19+0</f>
        <v>6316.19</v>
      </c>
      <c r="G24" s="265">
        <f>7551.91+0</f>
        <v>7551.91</v>
      </c>
      <c r="H24" s="265">
        <f>5003.31+0</f>
        <v>5003.3100000000004</v>
      </c>
      <c r="I24" s="265">
        <f>8449.26+0</f>
        <v>8449.26</v>
      </c>
      <c r="J24" s="265">
        <f>6527.4+0</f>
        <v>6527.4</v>
      </c>
      <c r="K24" s="265">
        <f>4489.61+0</f>
        <v>4489.6099999999997</v>
      </c>
      <c r="L24" s="266"/>
      <c r="M24" s="265">
        <f>SUM(B24:L24)</f>
        <v>68539.570000000007</v>
      </c>
      <c r="N24" s="265">
        <f t="shared" si="5"/>
        <v>7615.5077777777788</v>
      </c>
      <c r="O24" s="265">
        <f>(M24/$M$5)*365</f>
        <v>91637.154029304045</v>
      </c>
      <c r="P24" s="325">
        <f>O24/O18</f>
        <v>5.9330346281825513E-2</v>
      </c>
      <c r="Q24" s="325">
        <v>6.0499999999999998E-2</v>
      </c>
    </row>
    <row r="25" spans="1:17" outlineLevel="1" x14ac:dyDescent="0.25">
      <c r="A25" s="264" t="str">
        <f>TRIM(MID("2CC.Employee Vacation Benefit",5,125))</f>
        <v>Employee Vacation Benefit</v>
      </c>
      <c r="C25" s="265">
        <f>-1950.8+0</f>
        <v>-1950.8</v>
      </c>
      <c r="D25" s="265">
        <f>878.4+0</f>
        <v>878.4</v>
      </c>
      <c r="E25" s="265">
        <f>1189.35+0</f>
        <v>1189.3499999999999</v>
      </c>
      <c r="F25" s="265">
        <f>1565.97+0</f>
        <v>1565.97</v>
      </c>
      <c r="G25" s="265">
        <f>2431.02+0</f>
        <v>2431.02</v>
      </c>
      <c r="H25" s="265">
        <f>-2708.95+0</f>
        <v>-2708.95</v>
      </c>
      <c r="I25" s="265">
        <f>-367.42+0</f>
        <v>-367.42</v>
      </c>
      <c r="J25" s="265">
        <f>816.54+0</f>
        <v>816.54</v>
      </c>
      <c r="K25" s="265">
        <f>-849.91+0</f>
        <v>-849.91</v>
      </c>
      <c r="L25" s="266"/>
      <c r="M25" s="265">
        <f>SUM(B25:L25)</f>
        <v>1004.1999999999997</v>
      </c>
      <c r="N25" s="265">
        <f t="shared" si="5"/>
        <v>111.57777777777774</v>
      </c>
      <c r="O25" s="265">
        <f>(M25/$M$5)*365</f>
        <v>1342.6117216117211</v>
      </c>
      <c r="P25" s="325">
        <f>O25/O18</f>
        <v>8.6927206774435768E-4</v>
      </c>
      <c r="Q25" s="325">
        <v>0.01</v>
      </c>
    </row>
    <row r="26" spans="1:17" ht="15.75" outlineLevel="1" thickBot="1" x14ac:dyDescent="0.3">
      <c r="A26" s="264" t="str">
        <f>TRIM(MID("2CD.Insurance:EE Basic Life",5,125))</f>
        <v>Insurance:EE Basic Life</v>
      </c>
      <c r="C26" s="265">
        <f t="shared" ref="C26:E26" si="6">0+0</f>
        <v>0</v>
      </c>
      <c r="D26" s="265">
        <f t="shared" si="6"/>
        <v>0</v>
      </c>
      <c r="E26" s="265">
        <f t="shared" si="6"/>
        <v>0</v>
      </c>
      <c r="F26" s="265">
        <f>215.72+0</f>
        <v>215.72</v>
      </c>
      <c r="G26" s="265">
        <f>214.99+0</f>
        <v>214.99</v>
      </c>
      <c r="H26" s="265">
        <f>214.99+0</f>
        <v>214.99</v>
      </c>
      <c r="I26" s="265">
        <f>214.99+0</f>
        <v>214.99</v>
      </c>
      <c r="J26" s="265">
        <f>154.2+0</f>
        <v>154.19999999999999</v>
      </c>
      <c r="K26" s="265">
        <f>137.14+0</f>
        <v>137.13999999999999</v>
      </c>
      <c r="L26" s="266"/>
      <c r="M26" s="265">
        <f>SUM(B26:L26)</f>
        <v>1152.0300000000002</v>
      </c>
      <c r="N26" s="265">
        <f t="shared" si="5"/>
        <v>128.00333333333336</v>
      </c>
      <c r="O26" s="265">
        <f>(M26/$M$5)*365</f>
        <v>1540.2598901098904</v>
      </c>
      <c r="P26" s="326">
        <f>O26/O18</f>
        <v>9.9723909600033162E-4</v>
      </c>
      <c r="Q26" s="326">
        <v>1E-3</v>
      </c>
    </row>
    <row r="27" spans="1:17" ht="15.75" thickBot="1" x14ac:dyDescent="0.3">
      <c r="A27" s="263" t="str">
        <f>"Total "&amp;TRIM(MID("2C.Benefits",4,125))</f>
        <v>Total Benefits</v>
      </c>
      <c r="C27" s="269">
        <f>SUM(OSRRefC15_0x_3)</f>
        <v>19446.57</v>
      </c>
      <c r="D27" s="269">
        <f>SUM(OSRRefC15_0x_4)</f>
        <v>23130.639999999999</v>
      </c>
      <c r="E27" s="269">
        <f>SUM(OSRRefC15_0x_5)</f>
        <v>22905.94</v>
      </c>
      <c r="F27" s="269">
        <f>SUM(OSRRefC15_0x_6)</f>
        <v>21723.02</v>
      </c>
      <c r="G27" s="269">
        <f>SUM(OSRRefC15_0x_7)</f>
        <v>19058.170000000002</v>
      </c>
      <c r="H27" s="269">
        <f>SUM(OSRRefC15_0x_8)</f>
        <v>12300.63</v>
      </c>
      <c r="I27" s="269">
        <f>SUM(OSRRefC15_0x_9)</f>
        <v>17070.590000000004</v>
      </c>
      <c r="J27" s="269">
        <f>SUM(OSRRefC15_0x_10)</f>
        <v>18060.8</v>
      </c>
      <c r="K27" s="269">
        <f>SUM(OSRRefC15_0x_11)</f>
        <v>13107.75</v>
      </c>
      <c r="L27" s="266"/>
      <c r="M27" s="269">
        <f>SUM(B27:L27)</f>
        <v>166804.10999999999</v>
      </c>
      <c r="N27" s="269">
        <f>SUM(N23:N26)</f>
        <v>18533.79</v>
      </c>
      <c r="O27" s="269">
        <f>SUM(O23:O26)</f>
        <v>223016.48406593408</v>
      </c>
      <c r="Q27" s="329"/>
    </row>
    <row r="28" spans="1:17" ht="15.75" thickBot="1" x14ac:dyDescent="0.3">
      <c r="A28" s="263" t="s">
        <v>539</v>
      </c>
      <c r="C28" s="272">
        <f t="shared" ref="C28:K28" si="7">IFERROR(C27/C18,0)</f>
        <v>0.13294723750492571</v>
      </c>
      <c r="D28" s="272">
        <f t="shared" si="7"/>
        <v>0.15953018178557818</v>
      </c>
      <c r="E28" s="272">
        <f t="shared" si="7"/>
        <v>0.17157646344672445</v>
      </c>
      <c r="F28" s="272">
        <f t="shared" si="7"/>
        <v>0.16283112262597194</v>
      </c>
      <c r="G28" s="272">
        <f t="shared" si="7"/>
        <v>0.17664329023323697</v>
      </c>
      <c r="H28" s="272">
        <f t="shared" si="7"/>
        <v>9.8391524940134215E-2</v>
      </c>
      <c r="I28" s="272">
        <f t="shared" si="7"/>
        <v>0.15502815112206716</v>
      </c>
      <c r="J28" s="272">
        <f t="shared" si="7"/>
        <v>0.13442117871881004</v>
      </c>
      <c r="K28" s="272">
        <f t="shared" si="7"/>
        <v>0.10953908220576875</v>
      </c>
      <c r="L28" s="273"/>
      <c r="M28" s="272">
        <f>M27/M18</f>
        <v>0.14439170843254065</v>
      </c>
      <c r="N28" s="272">
        <f>N27/N18</f>
        <v>0.14439170843254068</v>
      </c>
      <c r="O28" s="272">
        <f>O27/O18</f>
        <v>0.14439170843254071</v>
      </c>
      <c r="P28" s="327">
        <f>O27/O18</f>
        <v>0.14439170843254071</v>
      </c>
      <c r="Q28" s="330">
        <f>SUM(Q23:Q26)</f>
        <v>0.16</v>
      </c>
    </row>
    <row r="29" spans="1:17" ht="5.25" customHeight="1" x14ac:dyDescent="0.25">
      <c r="A29" s="263"/>
      <c r="C29" s="265"/>
      <c r="D29" s="265"/>
      <c r="E29" s="265"/>
      <c r="F29" s="265"/>
      <c r="G29" s="265"/>
      <c r="H29" s="265"/>
      <c r="I29" s="265"/>
      <c r="J29" s="265"/>
      <c r="K29" s="265"/>
      <c r="L29" s="266"/>
      <c r="M29" s="265"/>
      <c r="N29" s="265"/>
      <c r="O29" s="265"/>
      <c r="Q29" s="329"/>
    </row>
    <row r="30" spans="1:17" x14ac:dyDescent="0.25">
      <c r="A30" s="263" t="s">
        <v>540</v>
      </c>
      <c r="C30" s="265">
        <f t="shared" ref="C30:K30" si="8">C27+C21+C18</f>
        <v>166156.81000000003</v>
      </c>
      <c r="D30" s="265">
        <f t="shared" si="8"/>
        <v>168122.89</v>
      </c>
      <c r="E30" s="265">
        <f t="shared" si="8"/>
        <v>156408.75</v>
      </c>
      <c r="F30" s="265">
        <f t="shared" si="8"/>
        <v>155131.29999999999</v>
      </c>
      <c r="G30" s="265">
        <f t="shared" si="8"/>
        <v>126948.88</v>
      </c>
      <c r="H30" s="265">
        <f t="shared" si="8"/>
        <v>137317.79999999999</v>
      </c>
      <c r="I30" s="265">
        <f t="shared" si="8"/>
        <v>127183.43000000002</v>
      </c>
      <c r="J30" s="265">
        <f t="shared" si="8"/>
        <v>152420.57999999999</v>
      </c>
      <c r="K30" s="265">
        <f t="shared" si="8"/>
        <v>132770.52000000002</v>
      </c>
      <c r="L30" s="266"/>
      <c r="M30" s="270">
        <f>SUM(B30:L30)</f>
        <v>1322460.96</v>
      </c>
      <c r="N30" s="270">
        <f>N18+N21+N27</f>
        <v>146940.10666666666</v>
      </c>
      <c r="O30" s="270">
        <f>O18+O21+O27</f>
        <v>1767540.6571428571</v>
      </c>
    </row>
    <row r="31" spans="1:17" ht="4.5" customHeight="1" thickBot="1" x14ac:dyDescent="0.3">
      <c r="A31" s="263"/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5"/>
      <c r="N31" s="265"/>
      <c r="O31" s="265"/>
    </row>
    <row r="32" spans="1:17" ht="15.75" outlineLevel="1" thickBot="1" x14ac:dyDescent="0.3">
      <c r="A32" s="264" t="str">
        <f>TRIM(MID("2DA.Travel",5,125))</f>
        <v>Travel</v>
      </c>
      <c r="C32" s="265">
        <f>1153.05+0</f>
        <v>1153.05</v>
      </c>
      <c r="D32" s="265">
        <f>714.66+0</f>
        <v>714.66</v>
      </c>
      <c r="E32" s="265">
        <f>167.87+0</f>
        <v>167.87</v>
      </c>
      <c r="F32" s="265">
        <f>0+0</f>
        <v>0</v>
      </c>
      <c r="G32" s="265">
        <f>2534.37+0</f>
        <v>2534.37</v>
      </c>
      <c r="H32" s="265">
        <f>0+0</f>
        <v>0</v>
      </c>
      <c r="I32" s="265">
        <f>25+0</f>
        <v>25</v>
      </c>
      <c r="J32" s="265">
        <f>0+0</f>
        <v>0</v>
      </c>
      <c r="K32" s="265">
        <f>0+0</f>
        <v>0</v>
      </c>
      <c r="L32" s="266"/>
      <c r="M32" s="265">
        <f>SUM(B32:L32)</f>
        <v>4594.95</v>
      </c>
      <c r="N32" s="265">
        <f t="shared" ref="N32:N33" si="9">AVERAGE(C32:K32)</f>
        <v>510.54999999999995</v>
      </c>
      <c r="O32" s="265">
        <f>(M32/$M$5)*365</f>
        <v>6143.4313186813188</v>
      </c>
      <c r="P32" s="315">
        <v>8000</v>
      </c>
      <c r="Q32" s="318">
        <f>P32-1000</f>
        <v>7000</v>
      </c>
    </row>
    <row r="33" spans="1:20" ht="15.75" outlineLevel="1" thickBot="1" x14ac:dyDescent="0.3">
      <c r="A33" s="264" t="str">
        <f>TRIM(MID("2DC.Meals &amp; Entertainment",5,125))</f>
        <v>Meals &amp; Entertainment</v>
      </c>
      <c r="C33" s="265">
        <f>209.17+0</f>
        <v>209.17</v>
      </c>
      <c r="D33" s="265">
        <f>116+0</f>
        <v>116</v>
      </c>
      <c r="E33" s="265">
        <f>66.47+0</f>
        <v>66.47</v>
      </c>
      <c r="F33" s="265">
        <f>0+0</f>
        <v>0</v>
      </c>
      <c r="G33" s="265">
        <f>140.06+0</f>
        <v>140.06</v>
      </c>
      <c r="H33" s="265">
        <f>0+0</f>
        <v>0</v>
      </c>
      <c r="I33" s="265">
        <f>0+0</f>
        <v>0</v>
      </c>
      <c r="J33" s="265">
        <f>0+0</f>
        <v>0</v>
      </c>
      <c r="K33" s="265">
        <f>0+0</f>
        <v>0</v>
      </c>
      <c r="L33" s="266"/>
      <c r="M33" s="265">
        <f>SUM(B33:L33)</f>
        <v>531.70000000000005</v>
      </c>
      <c r="N33" s="265">
        <f t="shared" si="9"/>
        <v>59.077777777777783</v>
      </c>
      <c r="O33" s="265">
        <f>(M33/$M$5)*365</f>
        <v>710.88095238095241</v>
      </c>
      <c r="P33" s="316">
        <v>1000</v>
      </c>
    </row>
    <row r="34" spans="1:20" ht="15.75" thickBot="1" x14ac:dyDescent="0.3">
      <c r="A34" s="263" t="str">
        <f>"Total "&amp;TRIM(MID("2D.Travel",4,125))</f>
        <v>Total Travel</v>
      </c>
      <c r="C34" s="269">
        <f>SUM(OSRRefC21_0x_3)</f>
        <v>1362.22</v>
      </c>
      <c r="D34" s="269">
        <f>SUM(OSRRefC21_0x_4)</f>
        <v>830.66</v>
      </c>
      <c r="E34" s="269">
        <f>SUM(OSRRefC21_0x_5)</f>
        <v>234.34</v>
      </c>
      <c r="F34" s="269">
        <f>SUM(OSRRefC21_0x_6)</f>
        <v>0</v>
      </c>
      <c r="G34" s="269">
        <f>SUM(OSRRefC21_0x_7)</f>
        <v>2674.43</v>
      </c>
      <c r="H34" s="269">
        <f>SUM(OSRRefC21_0x_8)</f>
        <v>0</v>
      </c>
      <c r="I34" s="269">
        <f>SUM(OSRRefC21_0x_9)</f>
        <v>25</v>
      </c>
      <c r="J34" s="269">
        <f>SUM(OSRRefC21_0x_10)</f>
        <v>0</v>
      </c>
      <c r="K34" s="269">
        <f>SUM(OSRRefC21_0x_11)</f>
        <v>0</v>
      </c>
      <c r="L34" s="266"/>
      <c r="M34" s="269">
        <f>SUM(B34:L34)</f>
        <v>5126.6499999999996</v>
      </c>
      <c r="N34" s="269">
        <f>SUM(N32:N33)</f>
        <v>569.62777777777774</v>
      </c>
      <c r="O34" s="269">
        <f>SUM(O32:O33)</f>
        <v>6854.3122710622711</v>
      </c>
      <c r="P34" s="319">
        <f>SUM(P32:P33)</f>
        <v>9000</v>
      </c>
    </row>
    <row r="35" spans="1:20" ht="3.75" customHeight="1" thickBot="1" x14ac:dyDescent="0.3">
      <c r="A35" s="263"/>
      <c r="C35" s="270"/>
      <c r="D35" s="270"/>
      <c r="E35" s="270"/>
      <c r="F35" s="270"/>
      <c r="G35" s="270"/>
      <c r="H35" s="270"/>
      <c r="I35" s="270"/>
      <c r="J35" s="270"/>
      <c r="K35" s="270"/>
      <c r="L35" s="266"/>
      <c r="M35" s="270"/>
      <c r="N35" s="270"/>
      <c r="O35" s="270"/>
    </row>
    <row r="36" spans="1:20" outlineLevel="1" x14ac:dyDescent="0.25">
      <c r="A36" s="264" t="str">
        <f>TRIM(MID("2EA.Insurance:Malpractice Premiums",5,125))</f>
        <v>Insurance:Malpractice Premiums</v>
      </c>
      <c r="C36" s="265">
        <f>4376.38+0</f>
        <v>4376.38</v>
      </c>
      <c r="D36" s="265">
        <f>3004.52+0</f>
        <v>3004.52</v>
      </c>
      <c r="E36" s="265">
        <f>2510.66+0</f>
        <v>2510.66</v>
      </c>
      <c r="F36" s="265">
        <f>2412.73+0</f>
        <v>2412.73</v>
      </c>
      <c r="G36" s="265">
        <f>2066.27+0</f>
        <v>2066.27</v>
      </c>
      <c r="H36" s="265">
        <f>2421.72+0</f>
        <v>2421.7199999999998</v>
      </c>
      <c r="I36" s="265">
        <f>2384.03+0</f>
        <v>2384.0300000000002</v>
      </c>
      <c r="J36" s="265">
        <f>2451.67+0</f>
        <v>2451.67</v>
      </c>
      <c r="K36" s="265">
        <f>2298.77+0</f>
        <v>2298.77</v>
      </c>
      <c r="L36" s="266"/>
      <c r="M36" s="265">
        <f>SUM(B36:L36)</f>
        <v>23926.749999999996</v>
      </c>
      <c r="N36" s="265">
        <f t="shared" ref="N36:N39" si="10">AVERAGE(C36:K36)</f>
        <v>2658.5277777777774</v>
      </c>
      <c r="O36" s="265">
        <f>(M36/$M$5)*365</f>
        <v>31989.977106227099</v>
      </c>
      <c r="P36" s="255" t="s">
        <v>577</v>
      </c>
      <c r="Q36" s="266">
        <f>SUM(F36:K36)</f>
        <v>14035.19</v>
      </c>
      <c r="R36" s="268">
        <f>Q36/181</f>
        <v>77.542486187845313</v>
      </c>
      <c r="S36" s="266">
        <f>R36*365</f>
        <v>28303.007458563538</v>
      </c>
      <c r="T36" s="315">
        <v>29000</v>
      </c>
    </row>
    <row r="37" spans="1:20" outlineLevel="1" x14ac:dyDescent="0.25">
      <c r="A37" s="264" t="str">
        <f>TRIM(MID("2EB.Insurance:Malpractice Claims",5,125))</f>
        <v>Insurance:Malpractice Claims</v>
      </c>
      <c r="C37" s="265">
        <f>1252.77+0</f>
        <v>1252.77</v>
      </c>
      <c r="D37" s="265">
        <f>2899.69+0</f>
        <v>2899.69</v>
      </c>
      <c r="E37" s="265">
        <f>6517.87+0</f>
        <v>6517.87</v>
      </c>
      <c r="F37" s="265">
        <f>5514.42+0</f>
        <v>5514.42</v>
      </c>
      <c r="G37" s="265">
        <f>4932.45+0</f>
        <v>4932.45</v>
      </c>
      <c r="H37" s="265">
        <f>5461.54+0</f>
        <v>5461.54</v>
      </c>
      <c r="I37" s="265">
        <f>5411.2+0</f>
        <v>5411.2</v>
      </c>
      <c r="J37" s="265">
        <f>5576.8+0</f>
        <v>5576.8</v>
      </c>
      <c r="K37" s="265">
        <f>5236.01+0</f>
        <v>5236.01</v>
      </c>
      <c r="L37" s="266"/>
      <c r="M37" s="265">
        <f>SUM(B37:L37)</f>
        <v>42802.750000000007</v>
      </c>
      <c r="N37" s="265">
        <f t="shared" si="10"/>
        <v>4755.8611111111122</v>
      </c>
      <c r="O37" s="265">
        <f>(M37/$M$5)*365</f>
        <v>57227.11996336998</v>
      </c>
      <c r="Q37" s="266">
        <f>SUM(F37:K37)</f>
        <v>32132.42</v>
      </c>
      <c r="R37" s="268">
        <f t="shared" ref="R37:R39" si="11">Q37/181</f>
        <v>177.52718232044197</v>
      </c>
      <c r="S37" s="266">
        <f t="shared" ref="S37:S39" si="12">R37*365</f>
        <v>64797.421546961319</v>
      </c>
      <c r="T37" s="316">
        <v>65000</v>
      </c>
    </row>
    <row r="38" spans="1:20" outlineLevel="1" x14ac:dyDescent="0.25">
      <c r="A38" s="264" t="str">
        <f>TRIM(MID("2EF.Insurance:General",5,125))</f>
        <v>Insurance:General</v>
      </c>
      <c r="C38" s="265">
        <f>-355.32+0</f>
        <v>-355.32</v>
      </c>
      <c r="D38" s="265">
        <f>322.89+0</f>
        <v>322.89</v>
      </c>
      <c r="E38" s="265">
        <f>549.53+0</f>
        <v>549.53</v>
      </c>
      <c r="F38" s="265">
        <f>202.6+0</f>
        <v>202.6</v>
      </c>
      <c r="G38" s="265">
        <f>209.78+0</f>
        <v>209.78</v>
      </c>
      <c r="H38" s="265">
        <f>210.39+0</f>
        <v>210.39</v>
      </c>
      <c r="I38" s="265">
        <f>206.3+0</f>
        <v>206.3</v>
      </c>
      <c r="J38" s="265">
        <f>205.85+0</f>
        <v>205.85</v>
      </c>
      <c r="K38" s="265">
        <f>205.85+0</f>
        <v>205.85</v>
      </c>
      <c r="L38" s="266"/>
      <c r="M38" s="265">
        <f>SUM(B38:L38)</f>
        <v>1757.8699999999997</v>
      </c>
      <c r="N38" s="265">
        <f t="shared" si="10"/>
        <v>195.31888888888886</v>
      </c>
      <c r="O38" s="265">
        <f>(M38/$M$5)*365</f>
        <v>2350.2657509157502</v>
      </c>
      <c r="Q38" s="266">
        <f>SUM(F38:K38)</f>
        <v>1240.7699999999998</v>
      </c>
      <c r="R38" s="268">
        <f t="shared" si="11"/>
        <v>6.8550828729281754</v>
      </c>
      <c r="S38" s="266">
        <f t="shared" si="12"/>
        <v>2502.1052486187841</v>
      </c>
      <c r="T38" s="316">
        <v>2500</v>
      </c>
    </row>
    <row r="39" spans="1:20" ht="15.75" outlineLevel="1" thickBot="1" x14ac:dyDescent="0.3">
      <c r="A39" s="264" t="str">
        <f>TRIM(MID("2EH.Insurance:Workers Compensation",5,125))</f>
        <v>Insurance:Workers Compensation</v>
      </c>
      <c r="C39" s="265">
        <f>3262.8+0</f>
        <v>3262.8</v>
      </c>
      <c r="D39" s="265">
        <f>2239.14+0</f>
        <v>2239.14</v>
      </c>
      <c r="E39" s="265">
        <f>2572.12+0</f>
        <v>2572.12</v>
      </c>
      <c r="F39" s="265">
        <f>2254.45+0</f>
        <v>2254.4499999999998</v>
      </c>
      <c r="G39" s="265">
        <f>2069.61+0</f>
        <v>2069.61</v>
      </c>
      <c r="H39" s="265">
        <f>2233.28+0</f>
        <v>2233.2800000000002</v>
      </c>
      <c r="I39" s="265">
        <f>2220.84+0</f>
        <v>2220.84</v>
      </c>
      <c r="J39" s="265">
        <f>2265.24+0</f>
        <v>2265.2399999999998</v>
      </c>
      <c r="K39" s="265">
        <f>2285.76+0</f>
        <v>2285.7600000000002</v>
      </c>
      <c r="L39" s="266"/>
      <c r="M39" s="265">
        <f>SUM(B39:L39)</f>
        <v>21403.240000000005</v>
      </c>
      <c r="N39" s="265">
        <f t="shared" si="10"/>
        <v>2378.1377777777784</v>
      </c>
      <c r="O39" s="265">
        <f>(M39/$M$5)*365</f>
        <v>28616.053479853486</v>
      </c>
      <c r="Q39" s="266">
        <f>SUM(F39:K39)</f>
        <v>13329.18</v>
      </c>
      <c r="R39" s="268">
        <f t="shared" si="11"/>
        <v>73.641878453038672</v>
      </c>
      <c r="S39" s="266">
        <f t="shared" si="12"/>
        <v>26879.285635359116</v>
      </c>
      <c r="T39" s="317">
        <v>27000</v>
      </c>
    </row>
    <row r="40" spans="1:20" ht="15.75" thickBot="1" x14ac:dyDescent="0.3">
      <c r="A40" s="263" t="str">
        <f>"Total "&amp;TRIM(MID("2E.Insurance",4,125))</f>
        <v>Total Insurance</v>
      </c>
      <c r="C40" s="269">
        <f>SUM(OSRRefC21_1x_3)</f>
        <v>8536.630000000001</v>
      </c>
      <c r="D40" s="269">
        <f>SUM(OSRRefC21_1x_4)</f>
        <v>8466.24</v>
      </c>
      <c r="E40" s="269">
        <f>SUM(OSRRefC21_1x_5)</f>
        <v>12150.18</v>
      </c>
      <c r="F40" s="269">
        <f>SUM(OSRRefC21_1x_6)</f>
        <v>10384.200000000001</v>
      </c>
      <c r="G40" s="269">
        <f>SUM(OSRRefC21_1x_7)</f>
        <v>9278.1099999999988</v>
      </c>
      <c r="H40" s="269">
        <f>SUM(OSRRefC21_1x_8)</f>
        <v>10326.93</v>
      </c>
      <c r="I40" s="269">
        <f>SUM(OSRRefC21_1x_9)</f>
        <v>10222.369999999999</v>
      </c>
      <c r="J40" s="269">
        <f>SUM(OSRRefC21_1x_10)</f>
        <v>10499.56</v>
      </c>
      <c r="K40" s="269">
        <f>SUM(OSRRefC21_1x_11)</f>
        <v>10026.390000000001</v>
      </c>
      <c r="L40" s="266"/>
      <c r="M40" s="269">
        <f>SUM(B40:L40)</f>
        <v>89890.61</v>
      </c>
      <c r="N40" s="269">
        <f>SUM(N36:N39)</f>
        <v>9987.8455555555574</v>
      </c>
      <c r="O40" s="269">
        <f>SUM(O36:O39)</f>
        <v>120183.41630036631</v>
      </c>
      <c r="T40" s="318">
        <f>SUM(T36:T39)</f>
        <v>123500</v>
      </c>
    </row>
    <row r="41" spans="1:20" ht="3.75" customHeight="1" x14ac:dyDescent="0.25">
      <c r="A41" s="263"/>
      <c r="C41" s="270"/>
      <c r="D41" s="270"/>
      <c r="E41" s="270"/>
      <c r="F41" s="270"/>
      <c r="G41" s="270"/>
      <c r="H41" s="270"/>
      <c r="I41" s="270"/>
      <c r="J41" s="270"/>
      <c r="K41" s="270"/>
      <c r="L41" s="266"/>
      <c r="M41" s="270"/>
      <c r="N41" s="270"/>
      <c r="O41" s="270"/>
    </row>
    <row r="42" spans="1:20" x14ac:dyDescent="0.25">
      <c r="A42" s="263" t="s">
        <v>541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6"/>
      <c r="M42" s="265"/>
      <c r="N42" s="265"/>
      <c r="O42" s="265"/>
    </row>
    <row r="43" spans="1:20" outlineLevel="1" x14ac:dyDescent="0.25">
      <c r="A43" s="264" t="str">
        <f>TRIM(MID("2FA.Physician Fees",5,125))</f>
        <v>Physician Fees</v>
      </c>
      <c r="C43" s="265">
        <f>5112.5+0</f>
        <v>5112.5</v>
      </c>
      <c r="D43" s="265">
        <f>2700+0</f>
        <v>2700</v>
      </c>
      <c r="E43" s="265">
        <f>5037.5+0</f>
        <v>5037.5</v>
      </c>
      <c r="F43" s="265">
        <f>4547.5+0</f>
        <v>4547.5</v>
      </c>
      <c r="G43" s="265">
        <f>4350+0</f>
        <v>4350</v>
      </c>
      <c r="H43" s="265">
        <f>1100+0</f>
        <v>1100</v>
      </c>
      <c r="I43" s="265">
        <f>2000+0</f>
        <v>2000</v>
      </c>
      <c r="J43" s="265">
        <f>1400+0</f>
        <v>1400</v>
      </c>
      <c r="K43" s="265">
        <f>1700+0</f>
        <v>1700</v>
      </c>
      <c r="L43" s="266"/>
      <c r="M43" s="265">
        <f>SUM(B43:L43)</f>
        <v>27947.5</v>
      </c>
      <c r="N43" s="265">
        <f t="shared" ref="N43:N45" si="13">AVERAGE(C43:K43)</f>
        <v>3105.2777777777778</v>
      </c>
      <c r="O43" s="265">
        <f>(M43/$M$5)*365</f>
        <v>37365.705128205132</v>
      </c>
    </row>
    <row r="44" spans="1:20" outlineLevel="1" x14ac:dyDescent="0.25">
      <c r="A44" s="264" t="str">
        <f>TRIM(MID("2FB.Dentist Fees",5,125))</f>
        <v>Dentist Fees</v>
      </c>
      <c r="C44" s="265">
        <f>4260+0</f>
        <v>4260</v>
      </c>
      <c r="D44" s="265">
        <f>6060+0</f>
        <v>6060</v>
      </c>
      <c r="E44" s="265">
        <f>3570+0</f>
        <v>3570</v>
      </c>
      <c r="F44" s="265">
        <f>5310+0</f>
        <v>5310</v>
      </c>
      <c r="G44" s="265">
        <f>4560+0</f>
        <v>4560</v>
      </c>
      <c r="H44" s="265">
        <f>5550+0</f>
        <v>5550</v>
      </c>
      <c r="I44" s="265">
        <f>5010+0</f>
        <v>5010</v>
      </c>
      <c r="J44" s="265">
        <f>5760+0</f>
        <v>5760</v>
      </c>
      <c r="K44" s="265">
        <f>4710+0</f>
        <v>4710</v>
      </c>
      <c r="L44" s="266"/>
      <c r="M44" s="265">
        <f>SUM(B44:L44)</f>
        <v>44790</v>
      </c>
      <c r="N44" s="265">
        <f t="shared" si="13"/>
        <v>4976.666666666667</v>
      </c>
      <c r="O44" s="265">
        <f>(M44/$M$5)*365</f>
        <v>59884.065934065933</v>
      </c>
    </row>
    <row r="45" spans="1:20" outlineLevel="1" x14ac:dyDescent="0.25">
      <c r="A45" s="264" t="str">
        <f>TRIM(MID("2FC.Psychiatric Fees",5,125))</f>
        <v>Psychiatric Fees</v>
      </c>
      <c r="C45" s="265">
        <f>9430+0</f>
        <v>9430</v>
      </c>
      <c r="D45" s="265">
        <f>21420+0</f>
        <v>21420</v>
      </c>
      <c r="E45" s="265">
        <f>15375+0</f>
        <v>15375</v>
      </c>
      <c r="F45" s="265">
        <f>12700+0</f>
        <v>12700</v>
      </c>
      <c r="G45" s="265">
        <f>15450+0</f>
        <v>15450</v>
      </c>
      <c r="H45" s="265">
        <f>10037.5+0</f>
        <v>10037.5</v>
      </c>
      <c r="I45" s="265">
        <f>22715+0</f>
        <v>22715</v>
      </c>
      <c r="J45" s="265">
        <f>15550+0</f>
        <v>15550</v>
      </c>
      <c r="K45" s="265">
        <f>16937.5+0</f>
        <v>16937.5</v>
      </c>
      <c r="L45" s="266"/>
      <c r="M45" s="265">
        <f>SUM(B45:L45)</f>
        <v>139615</v>
      </c>
      <c r="N45" s="265">
        <f t="shared" si="13"/>
        <v>15512.777777777777</v>
      </c>
      <c r="O45" s="265">
        <f>(M45/$M$5)*365</f>
        <v>186664.74358974359</v>
      </c>
    </row>
    <row r="46" spans="1:20" x14ac:dyDescent="0.25">
      <c r="A46" s="263" t="str">
        <f>"Total "&amp;TRIM(MID("2F.On-Site Professional Services",4,125))</f>
        <v>Total On-Site Professional Services</v>
      </c>
      <c r="C46" s="269">
        <f>SUM(OSRRefC25_0x_3)</f>
        <v>18802.5</v>
      </c>
      <c r="D46" s="269">
        <f>SUM(OSRRefC25_0x_4)</f>
        <v>30180</v>
      </c>
      <c r="E46" s="269">
        <f>SUM(OSRRefC25_0x_5)</f>
        <v>23982.5</v>
      </c>
      <c r="F46" s="269">
        <f>SUM(OSRRefC25_0x_6)</f>
        <v>22557.5</v>
      </c>
      <c r="G46" s="269">
        <f>SUM(OSRRefC25_0x_7)</f>
        <v>24360</v>
      </c>
      <c r="H46" s="269">
        <f>SUM(OSRRefC25_0x_8)</f>
        <v>16687.5</v>
      </c>
      <c r="I46" s="269">
        <f>SUM(OSRRefC25_0x_9)</f>
        <v>29725</v>
      </c>
      <c r="J46" s="269">
        <f>SUM(OSRRefC25_0x_10)</f>
        <v>22710</v>
      </c>
      <c r="K46" s="269">
        <f>SUM(OSRRefC25_0x_11)</f>
        <v>23347.5</v>
      </c>
      <c r="L46" s="266"/>
      <c r="M46" s="269">
        <f>SUM(B46:L46)</f>
        <v>212352.5</v>
      </c>
      <c r="N46" s="269">
        <f>SUM(N43:N45)</f>
        <v>23594.722222222223</v>
      </c>
      <c r="O46" s="269">
        <f>SUM(O43:O45)</f>
        <v>283914.51465201465</v>
      </c>
    </row>
    <row r="47" spans="1:20" ht="6" customHeight="1" x14ac:dyDescent="0.25">
      <c r="A47" s="271"/>
      <c r="C47" s="265"/>
      <c r="D47" s="265"/>
      <c r="E47" s="265"/>
      <c r="F47" s="265"/>
      <c r="G47" s="265"/>
      <c r="H47" s="265"/>
      <c r="I47" s="265"/>
      <c r="J47" s="265"/>
      <c r="K47" s="265"/>
      <c r="L47" s="266"/>
      <c r="M47" s="265"/>
      <c r="N47" s="265"/>
      <c r="O47" s="265"/>
    </row>
    <row r="48" spans="1:20" outlineLevel="1" x14ac:dyDescent="0.25">
      <c r="A48" s="264" t="str">
        <f>TRIM(MID("2GB.Pharmacy:HIV",5,125))</f>
        <v>Pharmacy:HIV</v>
      </c>
      <c r="C48" s="265">
        <f>5659.53+0</f>
        <v>5659.53</v>
      </c>
      <c r="D48" s="265">
        <f>18355.27+0</f>
        <v>18355.27</v>
      </c>
      <c r="E48" s="265">
        <f>5642.42+0</f>
        <v>5642.42</v>
      </c>
      <c r="F48" s="265">
        <f>8328.23+0</f>
        <v>8328.23</v>
      </c>
      <c r="G48" s="265">
        <f>17800.97+0</f>
        <v>17800.97</v>
      </c>
      <c r="H48" s="265">
        <f>13850.23+0</f>
        <v>13850.23</v>
      </c>
      <c r="I48" s="265">
        <f>18056.22+0</f>
        <v>18056.22</v>
      </c>
      <c r="J48" s="265">
        <f>9266.61+0</f>
        <v>9266.61</v>
      </c>
      <c r="K48" s="265">
        <f>5678.27+0</f>
        <v>5678.27</v>
      </c>
      <c r="L48" s="266"/>
      <c r="M48" s="265">
        <f t="shared" ref="M48:M54" si="14">SUM(B48:L48)</f>
        <v>102637.75</v>
      </c>
      <c r="N48" s="265">
        <f t="shared" ref="N48:N53" si="15">AVERAGE(C48:K48)</f>
        <v>11404.194444444445</v>
      </c>
      <c r="O48" s="265">
        <f t="shared" ref="O48:O53" si="16">(M48/$M$5)*365</f>
        <v>137226.29578754577</v>
      </c>
      <c r="P48" s="314">
        <f>140000</f>
        <v>140000</v>
      </c>
    </row>
    <row r="49" spans="1:17" outlineLevel="1" x14ac:dyDescent="0.25">
      <c r="A49" s="264" t="str">
        <f>TRIM(MID("2GC.Pharmacy:Psych",5,125))</f>
        <v>Pharmacy:Psych</v>
      </c>
      <c r="C49" s="265">
        <f>2908+0</f>
        <v>2908</v>
      </c>
      <c r="D49" s="265">
        <f>4045+0</f>
        <v>4045</v>
      </c>
      <c r="E49" s="265">
        <f>4814.89+0</f>
        <v>4814.8900000000003</v>
      </c>
      <c r="F49" s="265">
        <f>4404.45+0</f>
        <v>4404.45</v>
      </c>
      <c r="G49" s="265">
        <f>2232.42+0</f>
        <v>2232.42</v>
      </c>
      <c r="H49" s="265">
        <f>5119.75+0</f>
        <v>5119.75</v>
      </c>
      <c r="I49" s="265">
        <f>2363.63+0</f>
        <v>2363.63</v>
      </c>
      <c r="J49" s="265">
        <f>2003.36+0</f>
        <v>2003.36</v>
      </c>
      <c r="K49" s="265">
        <f>2208.43+0</f>
        <v>2208.4299999999998</v>
      </c>
      <c r="L49" s="266"/>
      <c r="M49" s="265">
        <f t="shared" si="14"/>
        <v>30099.930000000004</v>
      </c>
      <c r="N49" s="265">
        <f t="shared" si="15"/>
        <v>3344.436666666667</v>
      </c>
      <c r="O49" s="265">
        <f t="shared" si="16"/>
        <v>40243.496153846158</v>
      </c>
      <c r="P49" s="314">
        <f>50000</f>
        <v>50000</v>
      </c>
    </row>
    <row r="50" spans="1:17" ht="15.75" outlineLevel="1" thickBot="1" x14ac:dyDescent="0.3">
      <c r="A50" s="264" t="str">
        <f>TRIM(MID("2GD.Pharmacy:Other",5,125))</f>
        <v>Pharmacy:Other</v>
      </c>
      <c r="C50" s="265">
        <f>11603.07+0</f>
        <v>11603.07</v>
      </c>
      <c r="D50" s="265">
        <f>4043.37+0</f>
        <v>4043.37</v>
      </c>
      <c r="E50" s="265">
        <f>11476.24+0</f>
        <v>11476.24</v>
      </c>
      <c r="F50" s="265">
        <f>8128.38+0</f>
        <v>8128.38</v>
      </c>
      <c r="G50" s="265">
        <f>4443.45+0</f>
        <v>4443.45</v>
      </c>
      <c r="H50" s="265">
        <f>7835.15+0</f>
        <v>7835.15</v>
      </c>
      <c r="I50" s="265">
        <f>12749.72+0</f>
        <v>12749.72</v>
      </c>
      <c r="J50" s="265">
        <f>4516.99+0</f>
        <v>4516.99</v>
      </c>
      <c r="K50" s="265">
        <f>15141.14+0</f>
        <v>15141.14</v>
      </c>
      <c r="L50" s="266"/>
      <c r="M50" s="265">
        <f t="shared" si="14"/>
        <v>79937.509999999995</v>
      </c>
      <c r="N50" s="265">
        <f t="shared" si="15"/>
        <v>8881.9455555555542</v>
      </c>
      <c r="O50" s="265">
        <f t="shared" si="16"/>
        <v>106876.15805860807</v>
      </c>
      <c r="P50" s="314">
        <f>115000</f>
        <v>115000</v>
      </c>
    </row>
    <row r="51" spans="1:17" ht="15.75" outlineLevel="1" thickBot="1" x14ac:dyDescent="0.3">
      <c r="A51" s="264" t="str">
        <f>TRIM(MID("2GF.Pharmacy:Hepatitis",5,125))</f>
        <v>Pharmacy:Hepatitis</v>
      </c>
      <c r="C51" s="265">
        <f t="shared" ref="C51:H51" si="17">0+0</f>
        <v>0</v>
      </c>
      <c r="D51" s="265">
        <f t="shared" si="17"/>
        <v>0</v>
      </c>
      <c r="E51" s="265">
        <f t="shared" si="17"/>
        <v>0</v>
      </c>
      <c r="F51" s="265">
        <f t="shared" si="17"/>
        <v>0</v>
      </c>
      <c r="G51" s="265">
        <f t="shared" si="17"/>
        <v>0</v>
      </c>
      <c r="H51" s="265">
        <f t="shared" si="17"/>
        <v>0</v>
      </c>
      <c r="I51" s="265">
        <f>68.13+0</f>
        <v>68.13</v>
      </c>
      <c r="J51" s="265">
        <f>0+0</f>
        <v>0</v>
      </c>
      <c r="K51" s="265">
        <f>0+0</f>
        <v>0</v>
      </c>
      <c r="L51" s="266"/>
      <c r="M51" s="265">
        <f t="shared" si="14"/>
        <v>68.13</v>
      </c>
      <c r="N51" s="265">
        <f t="shared" si="15"/>
        <v>7.5699999999999994</v>
      </c>
      <c r="O51" s="265">
        <f t="shared" si="16"/>
        <v>91.089560439560429</v>
      </c>
      <c r="P51" s="336">
        <f>60000</f>
        <v>60000</v>
      </c>
      <c r="Q51" s="337">
        <v>0</v>
      </c>
    </row>
    <row r="52" spans="1:17" outlineLevel="1" x14ac:dyDescent="0.25">
      <c r="A52" s="264" t="str">
        <f>TRIM(MID("2GG.Pharmacy:Backup",5,125))</f>
        <v>Pharmacy:Backup</v>
      </c>
      <c r="C52" s="265">
        <f>362.92+0</f>
        <v>362.92</v>
      </c>
      <c r="D52" s="265">
        <f>1196.63+0</f>
        <v>1196.6300000000001</v>
      </c>
      <c r="E52" s="265">
        <f>54.55+0</f>
        <v>54.55</v>
      </c>
      <c r="F52" s="265">
        <f>153.16+0</f>
        <v>153.16</v>
      </c>
      <c r="G52" s="265">
        <f>0+0</f>
        <v>0</v>
      </c>
      <c r="H52" s="265">
        <f>0+0</f>
        <v>0</v>
      </c>
      <c r="I52" s="265">
        <f>178.77+0</f>
        <v>178.77</v>
      </c>
      <c r="J52" s="265">
        <f>3354.9+0</f>
        <v>3354.9</v>
      </c>
      <c r="K52" s="265">
        <f>0+0</f>
        <v>0</v>
      </c>
      <c r="L52" s="266"/>
      <c r="M52" s="265">
        <f t="shared" si="14"/>
        <v>5300.93</v>
      </c>
      <c r="N52" s="265">
        <f t="shared" si="15"/>
        <v>588.99222222222227</v>
      </c>
      <c r="O52" s="265">
        <f t="shared" si="16"/>
        <v>7087.3239926739925</v>
      </c>
      <c r="P52" s="314">
        <f>8000</f>
        <v>8000</v>
      </c>
    </row>
    <row r="53" spans="1:17" outlineLevel="1" x14ac:dyDescent="0.25">
      <c r="A53" s="264" t="str">
        <f>TRIM(MID("2GI.Pharmacy Reimbursement",5,125))</f>
        <v>Pharmacy Reimbursement</v>
      </c>
      <c r="C53" s="265">
        <f>-2158.69+0</f>
        <v>-2158.69</v>
      </c>
      <c r="D53" s="265">
        <f>-369.03+0</f>
        <v>-369.03</v>
      </c>
      <c r="E53" s="265">
        <f>-4842.26+0</f>
        <v>-4842.26</v>
      </c>
      <c r="F53" s="265">
        <f>-2069.46+0</f>
        <v>-2069.46</v>
      </c>
      <c r="G53" s="265">
        <f>0+0</f>
        <v>0</v>
      </c>
      <c r="H53" s="265">
        <f>-10732.11+0</f>
        <v>-10732.11</v>
      </c>
      <c r="I53" s="265">
        <f>-2268.28+0</f>
        <v>-2268.2800000000002</v>
      </c>
      <c r="J53" s="265">
        <f>-596.16+0</f>
        <v>-596.16</v>
      </c>
      <c r="K53" s="265">
        <f>-1.57+0</f>
        <v>-1.57</v>
      </c>
      <c r="L53" s="266"/>
      <c r="M53" s="265">
        <f t="shared" si="14"/>
        <v>-23037.56</v>
      </c>
      <c r="N53" s="265">
        <f t="shared" si="15"/>
        <v>-2559.7288888888888</v>
      </c>
      <c r="O53" s="265">
        <f t="shared" si="16"/>
        <v>-30801.133333333335</v>
      </c>
      <c r="P53" s="322">
        <f>-25000</f>
        <v>-25000</v>
      </c>
    </row>
    <row r="54" spans="1:17" x14ac:dyDescent="0.25">
      <c r="A54" s="263" t="str">
        <f>"Total "&amp;TRIM(MID("2G.Pharmacy Supplies",4,125))</f>
        <v>Total Pharmacy Supplies</v>
      </c>
      <c r="C54" s="269">
        <f>SUM(OSRRefC25_1x_3)</f>
        <v>18374.829999999998</v>
      </c>
      <c r="D54" s="269">
        <f>SUM(OSRRefC25_1x_4)</f>
        <v>27271.24</v>
      </c>
      <c r="E54" s="269">
        <f>SUM(OSRRefC25_1x_5)</f>
        <v>17145.840000000004</v>
      </c>
      <c r="F54" s="269">
        <f>SUM(OSRRefC25_1x_6)</f>
        <v>18944.760000000002</v>
      </c>
      <c r="G54" s="269">
        <f>SUM(OSRRefC25_1x_7)</f>
        <v>24476.84</v>
      </c>
      <c r="H54" s="269">
        <f>SUM(OSRRefC25_1x_8)</f>
        <v>16073.019999999997</v>
      </c>
      <c r="I54" s="269">
        <f>SUM(OSRRefC25_1x_9)</f>
        <v>31148.189999999995</v>
      </c>
      <c r="J54" s="269">
        <f>SUM(OSRRefC25_1x_10)</f>
        <v>18545.7</v>
      </c>
      <c r="K54" s="269">
        <f>SUM(OSRRefC25_1x_11)</f>
        <v>23026.27</v>
      </c>
      <c r="L54" s="266"/>
      <c r="M54" s="269">
        <f t="shared" si="14"/>
        <v>195006.69</v>
      </c>
      <c r="N54" s="269">
        <f>SUM(N48:N53)</f>
        <v>21667.410000000003</v>
      </c>
      <c r="O54" s="269">
        <f>SUM(O48:O53)</f>
        <v>260723.23021978021</v>
      </c>
      <c r="P54" s="314">
        <f>SUM(P48:P53)</f>
        <v>348000</v>
      </c>
    </row>
    <row r="55" spans="1:17" ht="6" customHeight="1" thickBot="1" x14ac:dyDescent="0.3">
      <c r="A55" s="271"/>
      <c r="C55" s="265"/>
      <c r="D55" s="265"/>
      <c r="E55" s="265"/>
      <c r="F55" s="265"/>
      <c r="G55" s="265"/>
      <c r="H55" s="265"/>
      <c r="I55" s="265"/>
      <c r="J55" s="265"/>
      <c r="K55" s="265"/>
      <c r="L55" s="266"/>
      <c r="M55" s="265"/>
      <c r="N55" s="265"/>
      <c r="O55" s="265"/>
    </row>
    <row r="56" spans="1:17" outlineLevel="1" x14ac:dyDescent="0.25">
      <c r="A56" s="264" t="str">
        <f>TRIM(MID("2HA.X-Ray",5,125))</f>
        <v>X-Ray</v>
      </c>
      <c r="C56" s="265">
        <f>2570+0</f>
        <v>2570</v>
      </c>
      <c r="D56" s="265">
        <f>3000+0</f>
        <v>3000</v>
      </c>
      <c r="E56" s="265">
        <f>1530+0</f>
        <v>1530</v>
      </c>
      <c r="F56" s="265">
        <f>2529.9+0</f>
        <v>2529.9</v>
      </c>
      <c r="G56" s="265">
        <f>1850+0</f>
        <v>1850</v>
      </c>
      <c r="H56" s="265">
        <f>4427.04+0</f>
        <v>4427.04</v>
      </c>
      <c r="I56" s="265">
        <f>3180+0</f>
        <v>3180</v>
      </c>
      <c r="J56" s="265">
        <f>2790+0</f>
        <v>2790</v>
      </c>
      <c r="K56" s="265">
        <f>3043.95+0</f>
        <v>3043.95</v>
      </c>
      <c r="L56" s="266"/>
      <c r="M56" s="265">
        <f>SUM(B56:L56)</f>
        <v>24920.89</v>
      </c>
      <c r="N56" s="265">
        <f t="shared" ref="N56:N58" si="18">AVERAGE(C56:K56)</f>
        <v>2768.9877777777779</v>
      </c>
      <c r="O56" s="265">
        <f>(M56/$M$5)*365</f>
        <v>33319.138644688646</v>
      </c>
      <c r="P56" s="315">
        <f>34000</f>
        <v>34000</v>
      </c>
    </row>
    <row r="57" spans="1:17" outlineLevel="1" x14ac:dyDescent="0.25">
      <c r="A57" s="264" t="str">
        <f>TRIM(MID("2HB.Laboratory Services",5,125))</f>
        <v>Laboratory Services</v>
      </c>
      <c r="C57" s="265">
        <f>2586.72+0</f>
        <v>2586.7199999999998</v>
      </c>
      <c r="D57" s="265">
        <f>1600.24+0</f>
        <v>1600.24</v>
      </c>
      <c r="E57" s="265">
        <f>1480.42+0</f>
        <v>1480.42</v>
      </c>
      <c r="F57" s="265">
        <f>1905.6+0</f>
        <v>1905.6</v>
      </c>
      <c r="G57" s="265">
        <f>2318.8+0</f>
        <v>2318.8000000000002</v>
      </c>
      <c r="H57" s="265">
        <f>1067.53+0</f>
        <v>1067.53</v>
      </c>
      <c r="I57" s="265">
        <f>2693.12+0</f>
        <v>2693.12</v>
      </c>
      <c r="J57" s="265">
        <f>1309.89+0</f>
        <v>1309.8900000000001</v>
      </c>
      <c r="K57" s="265">
        <f>2341.33+0</f>
        <v>2341.33</v>
      </c>
      <c r="L57" s="266"/>
      <c r="M57" s="265">
        <f>SUM(B57:L57)</f>
        <v>17303.650000000001</v>
      </c>
      <c r="N57" s="265">
        <f t="shared" si="18"/>
        <v>1922.627777777778</v>
      </c>
      <c r="O57" s="265">
        <f>(M57/$M$5)*365</f>
        <v>23134.916666666668</v>
      </c>
      <c r="P57" s="316">
        <f>25000</f>
        <v>25000</v>
      </c>
    </row>
    <row r="58" spans="1:17" ht="15.75" outlineLevel="1" thickBot="1" x14ac:dyDescent="0.3">
      <c r="A58" s="264" t="str">
        <f>TRIM(MID("2HC.Dialysis",5,125))</f>
        <v>Dialysis</v>
      </c>
      <c r="C58" s="265">
        <f t="shared" ref="C58:I58" si="19">0+0</f>
        <v>0</v>
      </c>
      <c r="D58" s="265">
        <f t="shared" si="19"/>
        <v>0</v>
      </c>
      <c r="E58" s="265">
        <f t="shared" si="19"/>
        <v>0</v>
      </c>
      <c r="F58" s="265">
        <f t="shared" si="19"/>
        <v>0</v>
      </c>
      <c r="G58" s="265">
        <f t="shared" si="19"/>
        <v>0</v>
      </c>
      <c r="H58" s="265">
        <f t="shared" si="19"/>
        <v>0</v>
      </c>
      <c r="I58" s="265">
        <f t="shared" si="19"/>
        <v>0</v>
      </c>
      <c r="J58" s="265">
        <f>2382.64+0</f>
        <v>2382.64</v>
      </c>
      <c r="K58" s="265">
        <f>0+0</f>
        <v>0</v>
      </c>
      <c r="L58" s="266"/>
      <c r="M58" s="265">
        <f>SUM(B58:L58)</f>
        <v>2382.64</v>
      </c>
      <c r="N58" s="265">
        <f t="shared" si="18"/>
        <v>264.73777777777775</v>
      </c>
      <c r="O58" s="265">
        <f>(M58/$M$5)*365</f>
        <v>3185.5809523809521</v>
      </c>
      <c r="P58" s="316">
        <f>5000</f>
        <v>5000</v>
      </c>
    </row>
    <row r="59" spans="1:17" ht="15.75" thickBot="1" x14ac:dyDescent="0.3">
      <c r="A59" s="263" t="str">
        <f>"Total "&amp;TRIM(MID("2H.Other On-Site",4,125))</f>
        <v>Total Other On-Site</v>
      </c>
      <c r="C59" s="269">
        <f>SUM(OSRRefC25_2x_3)</f>
        <v>5156.7199999999993</v>
      </c>
      <c r="D59" s="269">
        <f>SUM(OSRRefC25_2x_4)</f>
        <v>4600.24</v>
      </c>
      <c r="E59" s="269">
        <f>SUM(OSRRefC25_2x_5)</f>
        <v>3010.42</v>
      </c>
      <c r="F59" s="269">
        <f>SUM(OSRRefC25_2x_6)</f>
        <v>4435.5</v>
      </c>
      <c r="G59" s="269">
        <f>SUM(OSRRefC25_2x_7)</f>
        <v>4168.8</v>
      </c>
      <c r="H59" s="269">
        <f>SUM(OSRRefC25_2x_8)</f>
        <v>5494.57</v>
      </c>
      <c r="I59" s="269">
        <f>SUM(OSRRefC25_2x_9)</f>
        <v>5873.12</v>
      </c>
      <c r="J59" s="269">
        <f>SUM(OSRRefC25_2x_10)</f>
        <v>6482.5300000000007</v>
      </c>
      <c r="K59" s="269">
        <f>SUM(OSRRefC25_2x_11)</f>
        <v>5385.28</v>
      </c>
      <c r="L59" s="266"/>
      <c r="M59" s="269">
        <f>SUM(B59:L59)</f>
        <v>44607.179999999993</v>
      </c>
      <c r="N59" s="269">
        <f>SUM(N56:N58)</f>
        <v>4956.3533333333335</v>
      </c>
      <c r="O59" s="269">
        <f>SUM(O56:O58)</f>
        <v>59639.636263736269</v>
      </c>
      <c r="P59" s="319">
        <f>SUM(P56:P58)</f>
        <v>64000</v>
      </c>
    </row>
    <row r="60" spans="1:17" ht="6" customHeight="1" thickBot="1" x14ac:dyDescent="0.3">
      <c r="A60" s="271"/>
      <c r="C60" s="265"/>
      <c r="D60" s="265"/>
      <c r="E60" s="265"/>
      <c r="F60" s="265"/>
      <c r="G60" s="265"/>
      <c r="H60" s="265"/>
      <c r="I60" s="265"/>
      <c r="J60" s="265"/>
      <c r="K60" s="265"/>
      <c r="L60" s="266"/>
      <c r="M60" s="265"/>
      <c r="N60" s="265"/>
      <c r="O60" s="265"/>
    </row>
    <row r="61" spans="1:17" ht="15.75" outlineLevel="1" thickBot="1" x14ac:dyDescent="0.3">
      <c r="A61" s="264" t="str">
        <f>TRIM(MID("2IA.Dental Supplies",5,125))</f>
        <v>Dental Supplies</v>
      </c>
      <c r="C61" s="265">
        <f>0+0</f>
        <v>0</v>
      </c>
      <c r="D61" s="265">
        <f>1968.11+0</f>
        <v>1968.11</v>
      </c>
      <c r="E61" s="265">
        <f>207.23+0</f>
        <v>207.23</v>
      </c>
      <c r="F61" s="265">
        <f>0+0</f>
        <v>0</v>
      </c>
      <c r="G61" s="265">
        <f>1230.13+0</f>
        <v>1230.1300000000001</v>
      </c>
      <c r="H61" s="265">
        <f>-241.52+0</f>
        <v>-241.52</v>
      </c>
      <c r="I61" s="265">
        <f>776.51+0</f>
        <v>776.51</v>
      </c>
      <c r="J61" s="265">
        <f>0+0</f>
        <v>0</v>
      </c>
      <c r="K61" s="265">
        <f>1259.64+0</f>
        <v>1259.6400000000001</v>
      </c>
      <c r="L61" s="266"/>
      <c r="M61" s="265">
        <f>SUM(B61:L61)</f>
        <v>5200.1000000000004</v>
      </c>
      <c r="N61" s="265">
        <f t="shared" ref="N61:N62" si="20">AVERAGE(C61:K61)</f>
        <v>577.78888888888889</v>
      </c>
      <c r="O61" s="265">
        <f>(M61/$M$5)*365</f>
        <v>6952.5146520146527</v>
      </c>
      <c r="P61" s="315">
        <f>7000</f>
        <v>7000</v>
      </c>
      <c r="Q61" s="318">
        <f>P61-1000</f>
        <v>6000</v>
      </c>
    </row>
    <row r="62" spans="1:17" ht="15.75" outlineLevel="1" thickBot="1" x14ac:dyDescent="0.3">
      <c r="A62" s="264" t="str">
        <f>TRIM(MID("2IB.Medical Supplies",5,125))</f>
        <v>Medical Supplies</v>
      </c>
      <c r="C62" s="265">
        <f>5972.59+0</f>
        <v>5972.59</v>
      </c>
      <c r="D62" s="265">
        <f>6079.84+0</f>
        <v>6079.84</v>
      </c>
      <c r="E62" s="265">
        <f>822.3+0</f>
        <v>822.3</v>
      </c>
      <c r="F62" s="265">
        <f>2833.81+0</f>
        <v>2833.81</v>
      </c>
      <c r="G62" s="265">
        <f>2357.03+0</f>
        <v>2357.0300000000002</v>
      </c>
      <c r="H62" s="265">
        <f>2802.6+0</f>
        <v>2802.6</v>
      </c>
      <c r="I62" s="265">
        <f>3080.78+0</f>
        <v>3080.78</v>
      </c>
      <c r="J62" s="265">
        <f>2037.59+0</f>
        <v>2037.59</v>
      </c>
      <c r="K62" s="265">
        <f>3959.02+0</f>
        <v>3959.02</v>
      </c>
      <c r="L62" s="266"/>
      <c r="M62" s="265">
        <f>SUM(B62:L62)</f>
        <v>29945.559999999998</v>
      </c>
      <c r="N62" s="265">
        <f t="shared" si="20"/>
        <v>3327.284444444444</v>
      </c>
      <c r="O62" s="265">
        <f>(M62/$M$5)*365</f>
        <v>40037.104029304021</v>
      </c>
      <c r="P62" s="316">
        <v>43000</v>
      </c>
      <c r="Q62" s="318">
        <f>P62-3000</f>
        <v>40000</v>
      </c>
    </row>
    <row r="63" spans="1:17" ht="15.75" thickBot="1" x14ac:dyDescent="0.3">
      <c r="A63" s="263" t="str">
        <f>"Total "&amp;TRIM(MID("2I.Supplies",4,125))</f>
        <v>Total Supplies</v>
      </c>
      <c r="C63" s="269">
        <f>SUM(OSRRefC25_3x_3)</f>
        <v>5972.59</v>
      </c>
      <c r="D63" s="269">
        <f>SUM(OSRRefC25_3x_4)</f>
        <v>8047.95</v>
      </c>
      <c r="E63" s="269">
        <f>SUM(OSRRefC25_3x_5)</f>
        <v>1029.53</v>
      </c>
      <c r="F63" s="269">
        <f>SUM(OSRRefC25_3x_6)</f>
        <v>2833.81</v>
      </c>
      <c r="G63" s="269">
        <f>SUM(OSRRefC25_3x_7)</f>
        <v>3587.1600000000003</v>
      </c>
      <c r="H63" s="269">
        <f>SUM(OSRRefC25_3x_8)</f>
        <v>2561.08</v>
      </c>
      <c r="I63" s="269">
        <f>SUM(OSRRefC25_3x_9)</f>
        <v>3857.29</v>
      </c>
      <c r="J63" s="269">
        <f>SUM(OSRRefC25_3x_10)</f>
        <v>2037.59</v>
      </c>
      <c r="K63" s="269">
        <f>SUM(OSRRefC25_3x_11)</f>
        <v>5218.66</v>
      </c>
      <c r="L63" s="266"/>
      <c r="M63" s="269">
        <f>SUM(B63:L63)</f>
        <v>35145.660000000003</v>
      </c>
      <c r="N63" s="269">
        <f>SUM(N61:N62)</f>
        <v>3905.0733333333328</v>
      </c>
      <c r="O63" s="269">
        <f>SUM(O61:O62)</f>
        <v>46989.618681318672</v>
      </c>
      <c r="P63" s="319">
        <f>SUM(P61:P62)</f>
        <v>50000</v>
      </c>
    </row>
    <row r="64" spans="1:17" ht="6" customHeight="1" x14ac:dyDescent="0.25">
      <c r="A64" s="271"/>
      <c r="C64" s="265"/>
      <c r="D64" s="265"/>
      <c r="E64" s="265"/>
      <c r="F64" s="265"/>
      <c r="G64" s="265"/>
      <c r="H64" s="265"/>
      <c r="I64" s="265"/>
      <c r="J64" s="265"/>
      <c r="K64" s="265"/>
      <c r="L64" s="266"/>
      <c r="M64" s="265"/>
      <c r="N64" s="265"/>
      <c r="O64" s="265"/>
    </row>
    <row r="65" spans="1:19" x14ac:dyDescent="0.25">
      <c r="A65" s="263" t="s">
        <v>542</v>
      </c>
      <c r="C65" s="269">
        <f>SUM(OSRRefC26x_3)</f>
        <v>48306.64</v>
      </c>
      <c r="D65" s="269">
        <f>SUM(OSRRefC26x_4)</f>
        <v>70099.430000000008</v>
      </c>
      <c r="E65" s="269">
        <f>SUM(OSRRefC26x_5)</f>
        <v>45168.29</v>
      </c>
      <c r="F65" s="269">
        <f>SUM(OSRRefC26x_6)</f>
        <v>48771.57</v>
      </c>
      <c r="G65" s="269">
        <f>SUM(OSRRefC26x_7)</f>
        <v>56592.800000000003</v>
      </c>
      <c r="H65" s="269">
        <f>SUM(OSRRefC26x_8)</f>
        <v>40816.17</v>
      </c>
      <c r="I65" s="269">
        <f>SUM(OSRRefC26x_9)</f>
        <v>70603.599999999991</v>
      </c>
      <c r="J65" s="269">
        <f>SUM(OSRRefC26x_10)</f>
        <v>49775.819999999992</v>
      </c>
      <c r="K65" s="269">
        <f>SUM(OSRRefC26x_11)</f>
        <v>56977.710000000006</v>
      </c>
      <c r="L65" s="266"/>
      <c r="M65" s="269">
        <f>SUM(B65:L65)</f>
        <v>487112.03</v>
      </c>
      <c r="N65" s="269">
        <f>N63+N59+N54+N46</f>
        <v>54123.558888888889</v>
      </c>
      <c r="O65" s="269">
        <f>O63+O59+O54+O46</f>
        <v>651266.99981684983</v>
      </c>
    </row>
    <row r="66" spans="1:19" ht="4.5" customHeight="1" x14ac:dyDescent="0.25">
      <c r="A66" s="271"/>
      <c r="C66" s="265"/>
      <c r="D66" s="265"/>
      <c r="E66" s="265"/>
      <c r="F66" s="265"/>
      <c r="G66" s="265"/>
      <c r="H66" s="265"/>
      <c r="I66" s="265"/>
      <c r="J66" s="265"/>
      <c r="K66" s="265"/>
      <c r="L66" s="266"/>
      <c r="M66" s="265"/>
      <c r="N66" s="265"/>
      <c r="O66" s="265"/>
    </row>
    <row r="67" spans="1:19" ht="15.75" thickBot="1" x14ac:dyDescent="0.3">
      <c r="A67" s="263" t="s">
        <v>543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6"/>
      <c r="M67" s="265"/>
      <c r="N67" s="265"/>
      <c r="O67" s="265"/>
    </row>
    <row r="68" spans="1:19" outlineLevel="1" x14ac:dyDescent="0.25">
      <c r="A68" s="264" t="str">
        <f>TRIM(MID("2JA.Hospitalization",5,125))</f>
        <v>Hospitalization</v>
      </c>
      <c r="C68" s="265">
        <f>44770+0</f>
        <v>44770</v>
      </c>
      <c r="D68" s="265">
        <f>70805.11+0</f>
        <v>70805.11</v>
      </c>
      <c r="E68" s="265">
        <f>4070+0</f>
        <v>4070</v>
      </c>
      <c r="F68" s="265">
        <f>30525+0</f>
        <v>30525</v>
      </c>
      <c r="G68" s="265">
        <f>20350+0</f>
        <v>20350</v>
      </c>
      <c r="H68" s="265">
        <f>28490+0</f>
        <v>28490</v>
      </c>
      <c r="I68" s="265">
        <f>22385+0</f>
        <v>22385</v>
      </c>
      <c r="J68" s="265">
        <f>20350+0</f>
        <v>20350</v>
      </c>
      <c r="K68" s="265">
        <f>40700+0</f>
        <v>40700</v>
      </c>
      <c r="L68" s="266"/>
      <c r="M68" s="265">
        <f>SUM(B68:L68)</f>
        <v>282445.11</v>
      </c>
      <c r="N68" s="265">
        <f t="shared" ref="N68:N69" si="21">AVERAGE(C68:K68)</f>
        <v>31382.789999999997</v>
      </c>
      <c r="O68" s="265">
        <f>(M68/$M$5)*365</f>
        <v>377628.07747252745</v>
      </c>
      <c r="P68" s="511" t="s">
        <v>578</v>
      </c>
      <c r="Q68" s="512"/>
      <c r="R68" s="512"/>
      <c r="S68" s="513"/>
    </row>
    <row r="69" spans="1:19" outlineLevel="1" x14ac:dyDescent="0.25">
      <c r="A69" s="264" t="str">
        <f>TRIM(MID("2JC.Emergency Room &amp; Ambulance ",5,125))</f>
        <v>Emergency Room &amp; Ambulance</v>
      </c>
      <c r="C69" s="265">
        <f>12000+0</f>
        <v>12000</v>
      </c>
      <c r="D69" s="265">
        <f>23650+0</f>
        <v>23650</v>
      </c>
      <c r="E69" s="265">
        <f>20050+0</f>
        <v>20050</v>
      </c>
      <c r="F69" s="265">
        <f>25200+0</f>
        <v>25200</v>
      </c>
      <c r="G69" s="265">
        <f>18650+0</f>
        <v>18650</v>
      </c>
      <c r="H69" s="265">
        <f>23100+0</f>
        <v>23100</v>
      </c>
      <c r="I69" s="265">
        <f>32650+0</f>
        <v>32650</v>
      </c>
      <c r="J69" s="265">
        <f>25200+0</f>
        <v>25200</v>
      </c>
      <c r="K69" s="265">
        <f>23650+0</f>
        <v>23650</v>
      </c>
      <c r="L69" s="266"/>
      <c r="M69" s="265">
        <f>SUM(B69:L69)</f>
        <v>204150</v>
      </c>
      <c r="N69" s="265">
        <f t="shared" si="21"/>
        <v>22683.333333333332</v>
      </c>
      <c r="O69" s="265">
        <f>(M69/$M$5)*365</f>
        <v>272947.80219780223</v>
      </c>
      <c r="P69" s="514"/>
      <c r="Q69" s="515"/>
      <c r="R69" s="515"/>
      <c r="S69" s="516"/>
    </row>
    <row r="70" spans="1:19" x14ac:dyDescent="0.25">
      <c r="A70" s="263" t="str">
        <f>"Total "&amp;TRIM(MID("2J.Off-Site Hospitalization Services",4,125))</f>
        <v>Total Off-Site Hospitalization Services</v>
      </c>
      <c r="C70" s="269">
        <f>SUM(OSRRefC31_0x_3)</f>
        <v>56770</v>
      </c>
      <c r="D70" s="269">
        <f>SUM(OSRRefC31_0x_4)</f>
        <v>94455.11</v>
      </c>
      <c r="E70" s="269">
        <f>SUM(OSRRefC31_0x_5)</f>
        <v>24120</v>
      </c>
      <c r="F70" s="269">
        <f>SUM(OSRRefC31_0x_6)</f>
        <v>55725</v>
      </c>
      <c r="G70" s="269">
        <f>SUM(OSRRefC31_0x_7)</f>
        <v>39000</v>
      </c>
      <c r="H70" s="269">
        <f>SUM(OSRRefC31_0x_8)</f>
        <v>51590</v>
      </c>
      <c r="I70" s="269">
        <f>SUM(OSRRefC31_0x_9)</f>
        <v>55035</v>
      </c>
      <c r="J70" s="269">
        <f>SUM(OSRRefC31_0x_10)</f>
        <v>45550</v>
      </c>
      <c r="K70" s="269">
        <f>SUM(OSRRefC31_0x_11)</f>
        <v>64350</v>
      </c>
      <c r="L70" s="266"/>
      <c r="M70" s="269">
        <f>SUM(B70:L70)</f>
        <v>486595.11</v>
      </c>
      <c r="N70" s="269">
        <f>SUM(N68:N69)</f>
        <v>54066.123333333329</v>
      </c>
      <c r="O70" s="269">
        <f>SUM(O68:O69)</f>
        <v>650575.87967032962</v>
      </c>
      <c r="P70" s="514"/>
      <c r="Q70" s="515"/>
      <c r="R70" s="515"/>
      <c r="S70" s="516"/>
    </row>
    <row r="71" spans="1:19" ht="6.75" customHeight="1" x14ac:dyDescent="0.25">
      <c r="A71" s="271"/>
      <c r="C71" s="265"/>
      <c r="D71" s="265"/>
      <c r="E71" s="265"/>
      <c r="F71" s="265"/>
      <c r="G71" s="265"/>
      <c r="H71" s="265"/>
      <c r="I71" s="265"/>
      <c r="J71" s="265"/>
      <c r="K71" s="265"/>
      <c r="L71" s="266"/>
      <c r="M71" s="265"/>
      <c r="N71" s="265"/>
      <c r="O71" s="265"/>
      <c r="P71" s="514"/>
      <c r="Q71" s="515"/>
      <c r="R71" s="515"/>
      <c r="S71" s="516"/>
    </row>
    <row r="72" spans="1:19" outlineLevel="1" x14ac:dyDescent="0.25">
      <c r="A72" s="264" t="str">
        <f>TRIM(MID("2KA.Office Visits",5,125))</f>
        <v>Office Visits</v>
      </c>
      <c r="C72" s="265">
        <f>1200+0</f>
        <v>1200</v>
      </c>
      <c r="D72" s="265">
        <f>1850+0</f>
        <v>1850</v>
      </c>
      <c r="E72" s="265">
        <f>1850+0</f>
        <v>1850</v>
      </c>
      <c r="F72" s="265">
        <f>2000+0</f>
        <v>2000</v>
      </c>
      <c r="G72" s="265">
        <f>900+0</f>
        <v>900</v>
      </c>
      <c r="H72" s="265">
        <f>950+0</f>
        <v>950</v>
      </c>
      <c r="I72" s="265">
        <f>1700+0</f>
        <v>1700</v>
      </c>
      <c r="J72" s="265">
        <f>1500+0</f>
        <v>1500</v>
      </c>
      <c r="K72" s="265">
        <f>450+0</f>
        <v>450</v>
      </c>
      <c r="L72" s="266"/>
      <c r="M72" s="265">
        <f>SUM(B72:L72)</f>
        <v>12400</v>
      </c>
      <c r="N72" s="265">
        <f t="shared" ref="N72:N73" si="22">AVERAGE(C72:K72)</f>
        <v>1377.7777777777778</v>
      </c>
      <c r="O72" s="265">
        <f>(M72/$M$5)*365</f>
        <v>16578.754578754579</v>
      </c>
      <c r="P72" s="514"/>
      <c r="Q72" s="515"/>
      <c r="R72" s="515"/>
      <c r="S72" s="516"/>
    </row>
    <row r="73" spans="1:19" outlineLevel="1" x14ac:dyDescent="0.25">
      <c r="A73" s="264" t="str">
        <f>TRIM(MID("2KB.Claims Adjustment",5,125))</f>
        <v>Claims Adjustment</v>
      </c>
      <c r="C73" s="265">
        <f>0+0</f>
        <v>0</v>
      </c>
      <c r="D73" s="265">
        <f>0+0</f>
        <v>0</v>
      </c>
      <c r="E73" s="265">
        <f>-8206.76+0</f>
        <v>-8206.76</v>
      </c>
      <c r="F73" s="265">
        <f>-22291.5+0</f>
        <v>-22291.5</v>
      </c>
      <c r="G73" s="265">
        <f>-12499+0</f>
        <v>-12499</v>
      </c>
      <c r="H73" s="265">
        <f>70579.48+0</f>
        <v>70579.48</v>
      </c>
      <c r="I73" s="265">
        <f>7337.44+0</f>
        <v>7337.44</v>
      </c>
      <c r="J73" s="265">
        <f>-31703.36+0</f>
        <v>-31703.360000000001</v>
      </c>
      <c r="K73" s="265">
        <f>-15000+0</f>
        <v>-15000</v>
      </c>
      <c r="L73" s="266"/>
      <c r="M73" s="265">
        <f>SUM(B73:L73)</f>
        <v>-11783.700000000004</v>
      </c>
      <c r="N73" s="265">
        <f t="shared" si="22"/>
        <v>-1309.3000000000004</v>
      </c>
      <c r="O73" s="265">
        <f>(M73/$M$5)*365</f>
        <v>-15754.763736263743</v>
      </c>
      <c r="P73" s="514"/>
      <c r="Q73" s="515"/>
      <c r="R73" s="515"/>
      <c r="S73" s="516"/>
    </row>
    <row r="74" spans="1:19" x14ac:dyDescent="0.25">
      <c r="A74" s="263" t="str">
        <f>"Total "&amp;TRIM(MID("2J.Physician Visits",4,125))</f>
        <v>Total Physician Visits</v>
      </c>
      <c r="C74" s="269">
        <f>SUM(OSRRefC31_1x_3)</f>
        <v>1200</v>
      </c>
      <c r="D74" s="269">
        <f>SUM(OSRRefC31_1x_4)</f>
        <v>1850</v>
      </c>
      <c r="E74" s="269">
        <f>SUM(OSRRefC31_1x_5)</f>
        <v>-6356.76</v>
      </c>
      <c r="F74" s="269">
        <f>SUM(OSRRefC31_1x_6)</f>
        <v>-20291.5</v>
      </c>
      <c r="G74" s="269">
        <f>SUM(OSRRefC31_1x_7)</f>
        <v>-11599</v>
      </c>
      <c r="H74" s="269">
        <f>SUM(OSRRefC31_1x_8)</f>
        <v>71529.48</v>
      </c>
      <c r="I74" s="269">
        <f>SUM(OSRRefC31_1x_9)</f>
        <v>9037.4399999999987</v>
      </c>
      <c r="J74" s="269">
        <f>SUM(OSRRefC31_1x_10)</f>
        <v>-30203.360000000001</v>
      </c>
      <c r="K74" s="269">
        <f>SUM(OSRRefC31_1x_11)</f>
        <v>-14550</v>
      </c>
      <c r="L74" s="266"/>
      <c r="M74" s="269">
        <f>SUM(B74:L74)</f>
        <v>616.29999999998836</v>
      </c>
      <c r="N74" s="269">
        <f>SUM(N72:N73)</f>
        <v>68.477777777777419</v>
      </c>
      <c r="O74" s="269">
        <f>SUM(O72:O73)</f>
        <v>823.99084249083535</v>
      </c>
      <c r="P74" s="514"/>
      <c r="Q74" s="515"/>
      <c r="R74" s="515"/>
      <c r="S74" s="516"/>
    </row>
    <row r="75" spans="1:19" ht="6.75" customHeight="1" x14ac:dyDescent="0.25">
      <c r="A75" s="271"/>
      <c r="C75" s="265"/>
      <c r="D75" s="265"/>
      <c r="E75" s="265"/>
      <c r="F75" s="265"/>
      <c r="G75" s="265"/>
      <c r="H75" s="265"/>
      <c r="I75" s="265"/>
      <c r="J75" s="265"/>
      <c r="K75" s="265"/>
      <c r="L75" s="266"/>
      <c r="M75" s="265"/>
      <c r="N75" s="265"/>
      <c r="O75" s="265"/>
      <c r="P75" s="514"/>
      <c r="Q75" s="515"/>
      <c r="R75" s="515"/>
      <c r="S75" s="516"/>
    </row>
    <row r="76" spans="1:19" outlineLevel="1" x14ac:dyDescent="0.25">
      <c r="A76" s="264" t="str">
        <f>TRIM(MID("2LA.Outpatient One Day",5,125))</f>
        <v>Outpatient One Day</v>
      </c>
      <c r="C76" s="265">
        <f>3500+0</f>
        <v>3500</v>
      </c>
      <c r="D76" s="265">
        <f>0+0</f>
        <v>0</v>
      </c>
      <c r="E76" s="265">
        <f>3500+0</f>
        <v>3500</v>
      </c>
      <c r="F76" s="265">
        <f t="shared" ref="F76:K76" si="23">0+0</f>
        <v>0</v>
      </c>
      <c r="G76" s="265">
        <f t="shared" si="23"/>
        <v>0</v>
      </c>
      <c r="H76" s="265">
        <f t="shared" si="23"/>
        <v>0</v>
      </c>
      <c r="I76" s="265">
        <f t="shared" si="23"/>
        <v>0</v>
      </c>
      <c r="J76" s="265">
        <f t="shared" si="23"/>
        <v>0</v>
      </c>
      <c r="K76" s="265">
        <f t="shared" si="23"/>
        <v>0</v>
      </c>
      <c r="L76" s="266"/>
      <c r="M76" s="265">
        <f>SUM(B76:L76)</f>
        <v>7000</v>
      </c>
      <c r="N76" s="265">
        <f t="shared" ref="N76:N77" si="24">AVERAGE(C76:K76)</f>
        <v>777.77777777777783</v>
      </c>
      <c r="O76" s="265">
        <f>(M76/$M$5)*365</f>
        <v>9358.9743589743593</v>
      </c>
      <c r="P76" s="514"/>
      <c r="Q76" s="515"/>
      <c r="R76" s="515"/>
      <c r="S76" s="516"/>
    </row>
    <row r="77" spans="1:19" outlineLevel="1" x14ac:dyDescent="0.25">
      <c r="A77" s="264" t="str">
        <f>TRIM(MID("2LD.Off-Site Radiology",5,125))</f>
        <v>Off-Site Radiology</v>
      </c>
      <c r="C77" s="265">
        <f>0+0</f>
        <v>0</v>
      </c>
      <c r="D77" s="265">
        <f>500+0</f>
        <v>500</v>
      </c>
      <c r="E77" s="265">
        <f>1000+0</f>
        <v>1000</v>
      </c>
      <c r="F77" s="265">
        <f>0+0</f>
        <v>0</v>
      </c>
      <c r="G77" s="265">
        <f>0+0</f>
        <v>0</v>
      </c>
      <c r="H77" s="265">
        <f>500+0</f>
        <v>500</v>
      </c>
      <c r="I77" s="265">
        <f>0+0</f>
        <v>0</v>
      </c>
      <c r="J77" s="265">
        <f>0+0</f>
        <v>0</v>
      </c>
      <c r="K77" s="265">
        <f>500+0</f>
        <v>500</v>
      </c>
      <c r="L77" s="266"/>
      <c r="M77" s="265">
        <f>SUM(B77:L77)</f>
        <v>2500</v>
      </c>
      <c r="N77" s="265">
        <f t="shared" si="24"/>
        <v>277.77777777777777</v>
      </c>
      <c r="O77" s="265">
        <f>(M77/$M$5)*365</f>
        <v>3342.4908424908422</v>
      </c>
      <c r="P77" s="514"/>
      <c r="Q77" s="515"/>
      <c r="R77" s="515"/>
      <c r="S77" s="516"/>
    </row>
    <row r="78" spans="1:19" x14ac:dyDescent="0.25">
      <c r="A78" s="263" t="str">
        <f>"Total "&amp;TRIM(MID("2K.Other Off-Site",4,125))</f>
        <v>Total Other Off-Site</v>
      </c>
      <c r="C78" s="269">
        <f>SUM(OSRRefC31_2x_3)</f>
        <v>3500</v>
      </c>
      <c r="D78" s="269">
        <f>SUM(OSRRefC31_2x_4)</f>
        <v>500</v>
      </c>
      <c r="E78" s="269">
        <f>SUM(OSRRefC31_2x_5)</f>
        <v>4500</v>
      </c>
      <c r="F78" s="269">
        <f>SUM(OSRRefC31_2x_6)</f>
        <v>0</v>
      </c>
      <c r="G78" s="269">
        <f>SUM(OSRRefC31_2x_7)</f>
        <v>0</v>
      </c>
      <c r="H78" s="269">
        <f>SUM(OSRRefC31_2x_8)</f>
        <v>500</v>
      </c>
      <c r="I78" s="269">
        <f>SUM(OSRRefC31_2x_9)</f>
        <v>0</v>
      </c>
      <c r="J78" s="269">
        <f>SUM(OSRRefC31_2x_10)</f>
        <v>0</v>
      </c>
      <c r="K78" s="269">
        <f>SUM(OSRRefC31_2x_11)</f>
        <v>500</v>
      </c>
      <c r="L78" s="266"/>
      <c r="M78" s="269">
        <f>SUM(B78:L78)</f>
        <v>9500</v>
      </c>
      <c r="N78" s="269">
        <f>SUM(N76:N77)</f>
        <v>1055.5555555555557</v>
      </c>
      <c r="O78" s="269">
        <f>SUM(O76:O77)</f>
        <v>12701.465201465202</v>
      </c>
      <c r="P78" s="514"/>
      <c r="Q78" s="515"/>
      <c r="R78" s="515"/>
      <c r="S78" s="516"/>
    </row>
    <row r="79" spans="1:19" ht="6.75" customHeight="1" x14ac:dyDescent="0.25">
      <c r="A79" s="271"/>
      <c r="C79" s="265"/>
      <c r="D79" s="265"/>
      <c r="E79" s="265"/>
      <c r="F79" s="265"/>
      <c r="G79" s="265"/>
      <c r="H79" s="265"/>
      <c r="I79" s="265"/>
      <c r="J79" s="265"/>
      <c r="K79" s="265"/>
      <c r="L79" s="266"/>
      <c r="M79" s="265"/>
      <c r="N79" s="265"/>
      <c r="O79" s="265"/>
      <c r="P79" s="514"/>
      <c r="Q79" s="515"/>
      <c r="R79" s="515"/>
      <c r="S79" s="516"/>
    </row>
    <row r="80" spans="1:19" ht="15.75" thickBot="1" x14ac:dyDescent="0.3">
      <c r="A80" s="263" t="s">
        <v>544</v>
      </c>
      <c r="C80" s="269">
        <f>SUM(OSRRefC32x_3)</f>
        <v>61470</v>
      </c>
      <c r="D80" s="269">
        <f>SUM(OSRRefC32x_4)</f>
        <v>96805.11</v>
      </c>
      <c r="E80" s="269">
        <f>SUM(OSRRefC32x_5)</f>
        <v>22263.239999999998</v>
      </c>
      <c r="F80" s="269">
        <f>SUM(OSRRefC32x_6)</f>
        <v>35433.5</v>
      </c>
      <c r="G80" s="269">
        <f>SUM(OSRRefC32x_7)</f>
        <v>27401</v>
      </c>
      <c r="H80" s="269">
        <f>SUM(OSRRefC32x_8)</f>
        <v>123619.48</v>
      </c>
      <c r="I80" s="269">
        <f>SUM(OSRRefC32x_9)</f>
        <v>64072.44</v>
      </c>
      <c r="J80" s="269">
        <f>SUM(OSRRefC32x_10)</f>
        <v>15346.64</v>
      </c>
      <c r="K80" s="269">
        <f>SUM(OSRRefC32x_11)</f>
        <v>50300</v>
      </c>
      <c r="L80" s="266"/>
      <c r="M80" s="269">
        <f>SUM(B80:L80)</f>
        <v>496711.41</v>
      </c>
      <c r="N80" s="269">
        <f>N78+N74+N70</f>
        <v>55190.156666666662</v>
      </c>
      <c r="O80" s="269">
        <f>O78+O74+O70</f>
        <v>664101.33571428561</v>
      </c>
      <c r="P80" s="517"/>
      <c r="Q80" s="518"/>
      <c r="R80" s="518"/>
      <c r="S80" s="519"/>
    </row>
    <row r="81" spans="1:18" ht="5.25" customHeight="1" x14ac:dyDescent="0.25">
      <c r="A81" s="263"/>
      <c r="C81" s="270"/>
      <c r="D81" s="270"/>
      <c r="E81" s="270"/>
      <c r="F81" s="270"/>
      <c r="G81" s="270"/>
      <c r="H81" s="270"/>
      <c r="I81" s="270"/>
      <c r="J81" s="270"/>
      <c r="K81" s="270"/>
      <c r="L81" s="266"/>
      <c r="M81" s="270"/>
      <c r="N81" s="270"/>
      <c r="O81" s="270"/>
    </row>
    <row r="82" spans="1:18" x14ac:dyDescent="0.25">
      <c r="A82" s="263" t="s">
        <v>545</v>
      </c>
      <c r="C82" s="269">
        <f>SUM(OSRRefC34x_3)+SUM(OSRRefC28x_3)</f>
        <v>109776.64</v>
      </c>
      <c r="D82" s="269">
        <f>SUM(OSRRefC34x_4)+SUM(OSRRefC28x_4)</f>
        <v>166904.54</v>
      </c>
      <c r="E82" s="269">
        <f>SUM(OSRRefC34x_5)+SUM(OSRRefC28x_5)</f>
        <v>67431.53</v>
      </c>
      <c r="F82" s="269">
        <f>SUM(OSRRefC34x_6)+SUM(OSRRefC28x_6)</f>
        <v>84205.07</v>
      </c>
      <c r="G82" s="269">
        <f>SUM(OSRRefC34x_7)+SUM(OSRRefC28x_7)</f>
        <v>83993.8</v>
      </c>
      <c r="H82" s="269">
        <f>SUM(OSRRefC34x_8)+SUM(OSRRefC28x_8)</f>
        <v>164435.65</v>
      </c>
      <c r="I82" s="269">
        <f>SUM(OSRRefC34x_9)+SUM(OSRRefC28x_9)</f>
        <v>134676.03999999998</v>
      </c>
      <c r="J82" s="269">
        <f>SUM(OSRRefC34x_10)+SUM(OSRRefC28x_10)</f>
        <v>65122.459999999992</v>
      </c>
      <c r="K82" s="269">
        <f>SUM(OSRRefC34x_11)+SUM(OSRRefC28x_11)</f>
        <v>107277.71</v>
      </c>
      <c r="L82" s="266"/>
      <c r="M82" s="269">
        <f>SUM(B82:L82)</f>
        <v>983823.44</v>
      </c>
      <c r="N82" s="269">
        <f>N80+N65</f>
        <v>109313.71555555555</v>
      </c>
      <c r="O82" s="269">
        <f>O80+O65</f>
        <v>1315368.3355311356</v>
      </c>
      <c r="P82" s="258" t="s">
        <v>579</v>
      </c>
      <c r="Q82" s="258" t="s">
        <v>580</v>
      </c>
    </row>
    <row r="83" spans="1:18" ht="3.75" customHeight="1" thickBot="1" x14ac:dyDescent="0.3">
      <c r="A83" s="263"/>
      <c r="C83" s="270"/>
      <c r="D83" s="270"/>
      <c r="E83" s="270"/>
      <c r="F83" s="270"/>
      <c r="G83" s="270"/>
      <c r="H83" s="270"/>
      <c r="I83" s="270"/>
      <c r="J83" s="270"/>
      <c r="K83" s="270"/>
      <c r="L83" s="266"/>
      <c r="M83" s="270"/>
      <c r="N83" s="270"/>
      <c r="O83" s="270"/>
    </row>
    <row r="84" spans="1:18" outlineLevel="1" x14ac:dyDescent="0.25">
      <c r="A84" s="264" t="str">
        <f>TRIM(MID("2NB.Advertising &amp; Promotions",5,125))</f>
        <v>Advertising &amp; Promotions</v>
      </c>
      <c r="C84" s="265">
        <f t="shared" ref="C84:I85" si="25">0+0</f>
        <v>0</v>
      </c>
      <c r="D84" s="265">
        <f t="shared" si="25"/>
        <v>0</v>
      </c>
      <c r="E84" s="265">
        <f t="shared" si="25"/>
        <v>0</v>
      </c>
      <c r="F84" s="265">
        <f t="shared" si="25"/>
        <v>0</v>
      </c>
      <c r="G84" s="265">
        <f t="shared" si="25"/>
        <v>0</v>
      </c>
      <c r="H84" s="265">
        <f t="shared" si="25"/>
        <v>0</v>
      </c>
      <c r="I84" s="265">
        <f t="shared" si="25"/>
        <v>0</v>
      </c>
      <c r="J84" s="265">
        <f>25+0</f>
        <v>25</v>
      </c>
      <c r="K84" s="265">
        <f>0+0</f>
        <v>0</v>
      </c>
      <c r="L84" s="266"/>
      <c r="M84" s="265">
        <f t="shared" ref="M84:M99" si="26">SUM(B84:L84)</f>
        <v>25</v>
      </c>
      <c r="N84" s="265">
        <f t="shared" ref="N84:N98" si="27">AVERAGE(C84:K84)</f>
        <v>2.7777777777777777</v>
      </c>
      <c r="O84" s="265">
        <f t="shared" ref="O84:O98" si="28">(M84/$M$5)*365</f>
        <v>33.424908424908423</v>
      </c>
      <c r="P84" s="314">
        <f t="shared" ref="P84:P85" si="29">O84*1.038</f>
        <v>34.695054945054942</v>
      </c>
      <c r="Q84" s="315">
        <v>40</v>
      </c>
    </row>
    <row r="85" spans="1:18" outlineLevel="1" x14ac:dyDescent="0.25">
      <c r="A85" s="264" t="str">
        <f>TRIM(MID("2NH.Data Processing Fees &amp; Supplies",5,125))</f>
        <v>Data Processing Fees &amp; Supplies</v>
      </c>
      <c r="C85" s="265">
        <f t="shared" si="25"/>
        <v>0</v>
      </c>
      <c r="D85" s="265">
        <f t="shared" si="25"/>
        <v>0</v>
      </c>
      <c r="E85" s="265">
        <f t="shared" si="25"/>
        <v>0</v>
      </c>
      <c r="F85" s="265">
        <f t="shared" si="25"/>
        <v>0</v>
      </c>
      <c r="G85" s="265">
        <f t="shared" si="25"/>
        <v>0</v>
      </c>
      <c r="H85" s="265">
        <f t="shared" si="25"/>
        <v>0</v>
      </c>
      <c r="I85" s="265">
        <f>1600+0</f>
        <v>1600</v>
      </c>
      <c r="J85" s="265">
        <f>-1600+0</f>
        <v>-1600</v>
      </c>
      <c r="K85" s="265">
        <f>0+0</f>
        <v>0</v>
      </c>
      <c r="L85" s="266"/>
      <c r="M85" s="265">
        <f t="shared" si="26"/>
        <v>0</v>
      </c>
      <c r="N85" s="265">
        <f t="shared" si="27"/>
        <v>0</v>
      </c>
      <c r="O85" s="265">
        <f t="shared" si="28"/>
        <v>0</v>
      </c>
      <c r="P85" s="314">
        <f t="shared" si="29"/>
        <v>0</v>
      </c>
      <c r="Q85" s="316">
        <v>0</v>
      </c>
    </row>
    <row r="86" spans="1:18" outlineLevel="1" x14ac:dyDescent="0.25">
      <c r="A86" s="264" t="str">
        <f>TRIM(MID("2NJ.Employee Education &amp; Training",5,125))</f>
        <v>Employee Education &amp; Training</v>
      </c>
      <c r="C86" s="265">
        <f>76.83+0</f>
        <v>76.83</v>
      </c>
      <c r="D86" s="265">
        <f>76.83+0</f>
        <v>76.83</v>
      </c>
      <c r="E86" s="265">
        <f>76.83+0</f>
        <v>76.83</v>
      </c>
      <c r="F86" s="265">
        <f>76.83+0</f>
        <v>76.83</v>
      </c>
      <c r="G86" s="265">
        <f>79.95+0</f>
        <v>79.95</v>
      </c>
      <c r="H86" s="265">
        <f>79.95+0</f>
        <v>79.95</v>
      </c>
      <c r="I86" s="265">
        <f>79.95+0</f>
        <v>79.95</v>
      </c>
      <c r="J86" s="265">
        <f>79.95+0</f>
        <v>79.95</v>
      </c>
      <c r="K86" s="265">
        <f>79.95+0</f>
        <v>79.95</v>
      </c>
      <c r="L86" s="266"/>
      <c r="M86" s="265">
        <f t="shared" si="26"/>
        <v>707.07</v>
      </c>
      <c r="N86" s="265">
        <f t="shared" si="27"/>
        <v>78.563333333333333</v>
      </c>
      <c r="O86" s="265">
        <f t="shared" si="28"/>
        <v>945.35000000000014</v>
      </c>
      <c r="P86" s="314">
        <f>O86*1.038</f>
        <v>981.27330000000018</v>
      </c>
      <c r="Q86" s="316">
        <v>1000</v>
      </c>
    </row>
    <row r="87" spans="1:18" outlineLevel="1" x14ac:dyDescent="0.25">
      <c r="A87" s="264" t="str">
        <f>TRIM(MID("2NL.Employee Goodwill",5,125))</f>
        <v>Employee Goodwill</v>
      </c>
      <c r="C87" s="265">
        <f>0+0</f>
        <v>0</v>
      </c>
      <c r="D87" s="265">
        <f>0+0</f>
        <v>0</v>
      </c>
      <c r="E87" s="265">
        <f>39.12+0</f>
        <v>39.119999999999997</v>
      </c>
      <c r="F87" s="265">
        <f>0+0</f>
        <v>0</v>
      </c>
      <c r="G87" s="265">
        <f>0+0</f>
        <v>0</v>
      </c>
      <c r="H87" s="265">
        <f>0+0</f>
        <v>0</v>
      </c>
      <c r="I87" s="265">
        <f>106.31+0</f>
        <v>106.31</v>
      </c>
      <c r="J87" s="265">
        <f>245+0</f>
        <v>245</v>
      </c>
      <c r="K87" s="265">
        <f>0+0</f>
        <v>0</v>
      </c>
      <c r="L87" s="266"/>
      <c r="M87" s="265">
        <f t="shared" si="26"/>
        <v>390.43</v>
      </c>
      <c r="N87" s="265">
        <f t="shared" si="27"/>
        <v>43.38111111111111</v>
      </c>
      <c r="O87" s="265">
        <f t="shared" si="28"/>
        <v>522.00347985347992</v>
      </c>
      <c r="P87" s="314">
        <f t="shared" ref="P87:P98" si="30">O87*1.038</f>
        <v>541.8396120879122</v>
      </c>
      <c r="Q87" s="316">
        <f>550-0.38</f>
        <v>549.62</v>
      </c>
    </row>
    <row r="88" spans="1:18" outlineLevel="1" x14ac:dyDescent="0.25">
      <c r="A88" s="264" t="str">
        <f>TRIM(MID("2NM.Employee Recruitment",5,125))</f>
        <v>Employee Recruitment</v>
      </c>
      <c r="C88" s="265">
        <f>113.32+0</f>
        <v>113.32</v>
      </c>
      <c r="D88" s="265">
        <f>78.15+0</f>
        <v>78.150000000000006</v>
      </c>
      <c r="E88" s="265">
        <f>144.3+0</f>
        <v>144.30000000000001</v>
      </c>
      <c r="F88" s="265">
        <f>116.81+0</f>
        <v>116.81</v>
      </c>
      <c r="G88" s="265">
        <f>121.06+0</f>
        <v>121.06</v>
      </c>
      <c r="H88" s="265">
        <f>130.84+0</f>
        <v>130.84</v>
      </c>
      <c r="I88" s="265">
        <f>192.66+0</f>
        <v>192.66</v>
      </c>
      <c r="J88" s="265">
        <f>117.66+0</f>
        <v>117.66</v>
      </c>
      <c r="K88" s="265">
        <f>380.28+0</f>
        <v>380.28</v>
      </c>
      <c r="L88" s="266"/>
      <c r="M88" s="265">
        <f t="shared" si="26"/>
        <v>1395.08</v>
      </c>
      <c r="N88" s="265">
        <f t="shared" si="27"/>
        <v>155.00888888888889</v>
      </c>
      <c r="O88" s="265">
        <f t="shared" si="28"/>
        <v>1865.2168498168496</v>
      </c>
      <c r="P88" s="314">
        <f t="shared" si="30"/>
        <v>1936.09509010989</v>
      </c>
      <c r="Q88" s="316">
        <v>2000</v>
      </c>
    </row>
    <row r="89" spans="1:18" outlineLevel="1" x14ac:dyDescent="0.25">
      <c r="A89" s="264" t="str">
        <f>TRIM(MID("2NQ.Licenses Fees",5,125))</f>
        <v>Licenses Fees</v>
      </c>
      <c r="C89" s="265">
        <f>1717.34+0</f>
        <v>1717.34</v>
      </c>
      <c r="D89" s="265">
        <f>1832.65+0</f>
        <v>1832.65</v>
      </c>
      <c r="E89" s="265">
        <f>1903.13+0</f>
        <v>1903.13</v>
      </c>
      <c r="F89" s="265">
        <f>1715.1+0</f>
        <v>1715.1</v>
      </c>
      <c r="G89" s="265">
        <f>1720.67+0</f>
        <v>1720.67</v>
      </c>
      <c r="H89" s="265">
        <f>1720.67+0</f>
        <v>1720.67</v>
      </c>
      <c r="I89" s="265">
        <f>120.53+0</f>
        <v>120.53</v>
      </c>
      <c r="J89" s="265">
        <f>3320.53+0</f>
        <v>3320.53</v>
      </c>
      <c r="K89" s="265">
        <f>1720.53+0</f>
        <v>1720.53</v>
      </c>
      <c r="L89" s="266"/>
      <c r="M89" s="265">
        <f t="shared" si="26"/>
        <v>15771.150000000001</v>
      </c>
      <c r="N89" s="265">
        <f t="shared" si="27"/>
        <v>1752.3500000000001</v>
      </c>
      <c r="O89" s="265">
        <f t="shared" si="28"/>
        <v>21085.969780219781</v>
      </c>
      <c r="P89" s="314">
        <f t="shared" si="30"/>
        <v>21887.236631868134</v>
      </c>
      <c r="Q89" s="316">
        <v>22000</v>
      </c>
    </row>
    <row r="90" spans="1:18" ht="15.75" outlineLevel="1" thickBot="1" x14ac:dyDescent="0.3">
      <c r="A90" s="264" t="str">
        <f>TRIM(MID("2NR.Maintenance Contracts",5,125))</f>
        <v>Maintenance Contracts</v>
      </c>
      <c r="C90" s="265">
        <f>88.94+0</f>
        <v>88.94</v>
      </c>
      <c r="D90" s="265">
        <f>57.58+0</f>
        <v>57.58</v>
      </c>
      <c r="E90" s="265">
        <f>134.36+0</f>
        <v>134.36000000000001</v>
      </c>
      <c r="F90" s="265">
        <f>49.78+0</f>
        <v>49.78</v>
      </c>
      <c r="G90" s="265">
        <f>102.16+0</f>
        <v>102.16</v>
      </c>
      <c r="H90" s="265">
        <f>63.07+0</f>
        <v>63.07</v>
      </c>
      <c r="I90" s="265">
        <f>80.43+0</f>
        <v>80.430000000000007</v>
      </c>
      <c r="J90" s="265">
        <f>106.26+0</f>
        <v>106.26</v>
      </c>
      <c r="K90" s="265">
        <f>94.44+0</f>
        <v>94.44</v>
      </c>
      <c r="L90" s="266"/>
      <c r="M90" s="265">
        <f t="shared" si="26"/>
        <v>777.02</v>
      </c>
      <c r="N90" s="265">
        <f t="shared" si="27"/>
        <v>86.335555555555558</v>
      </c>
      <c r="O90" s="265">
        <f t="shared" si="28"/>
        <v>1038.8728937728938</v>
      </c>
      <c r="P90" s="314">
        <f t="shared" si="30"/>
        <v>1078.3500637362638</v>
      </c>
      <c r="Q90" s="316">
        <v>1100</v>
      </c>
    </row>
    <row r="91" spans="1:18" ht="15.75" outlineLevel="1" thickBot="1" x14ac:dyDescent="0.3">
      <c r="A91" s="264" t="str">
        <f>TRIM(MID("2NT.Office Supplies",5,125))</f>
        <v>Office Supplies</v>
      </c>
      <c r="C91" s="265">
        <f>1115.69+0</f>
        <v>1115.69</v>
      </c>
      <c r="D91" s="265">
        <f>139.65+0</f>
        <v>139.65</v>
      </c>
      <c r="E91" s="265">
        <f>420.84+0</f>
        <v>420.84</v>
      </c>
      <c r="F91" s="265">
        <f>131.16+0</f>
        <v>131.16</v>
      </c>
      <c r="G91" s="265">
        <f>138.42+0</f>
        <v>138.41999999999999</v>
      </c>
      <c r="H91" s="265">
        <f>296.56+0</f>
        <v>296.56</v>
      </c>
      <c r="I91" s="265">
        <f>293.04+0</f>
        <v>293.04000000000002</v>
      </c>
      <c r="J91" s="265">
        <f>682.28+0</f>
        <v>682.28</v>
      </c>
      <c r="K91" s="265">
        <f>222.78+0</f>
        <v>222.78</v>
      </c>
      <c r="L91" s="266"/>
      <c r="M91" s="265">
        <f t="shared" si="26"/>
        <v>3440.4200000000005</v>
      </c>
      <c r="N91" s="265">
        <f t="shared" si="27"/>
        <v>382.26888888888897</v>
      </c>
      <c r="O91" s="265">
        <f t="shared" si="28"/>
        <v>4599.8289377289384</v>
      </c>
      <c r="P91" s="314">
        <f t="shared" si="30"/>
        <v>4774.6224373626383</v>
      </c>
      <c r="Q91" s="316">
        <v>5000</v>
      </c>
      <c r="R91" s="338">
        <f>Q91-348.58</f>
        <v>4651.42</v>
      </c>
    </row>
    <row r="92" spans="1:18" outlineLevel="1" x14ac:dyDescent="0.25">
      <c r="A92" s="264" t="str">
        <f>TRIM(MID("2NU.Outside Services:Nonmedical",5,125))</f>
        <v>Outside Services:Nonmedical</v>
      </c>
      <c r="C92" s="265">
        <f>497.5+0</f>
        <v>497.5</v>
      </c>
      <c r="D92" s="265">
        <f>54.7+0</f>
        <v>54.7</v>
      </c>
      <c r="E92" s="265">
        <f>605.9+0</f>
        <v>605.9</v>
      </c>
      <c r="F92" s="265">
        <f>43+0</f>
        <v>43</v>
      </c>
      <c r="G92" s="265">
        <f>75+0</f>
        <v>75</v>
      </c>
      <c r="H92" s="265">
        <f>0+0</f>
        <v>0</v>
      </c>
      <c r="I92" s="265">
        <f>0+0</f>
        <v>0</v>
      </c>
      <c r="J92" s="265">
        <f>-75+0</f>
        <v>-75</v>
      </c>
      <c r="K92" s="265">
        <f>0+0</f>
        <v>0</v>
      </c>
      <c r="L92" s="266"/>
      <c r="M92" s="265">
        <f t="shared" si="26"/>
        <v>1201.0999999999999</v>
      </c>
      <c r="N92" s="265">
        <f t="shared" si="27"/>
        <v>133.45555555555555</v>
      </c>
      <c r="O92" s="265">
        <f t="shared" si="28"/>
        <v>1605.8663003663003</v>
      </c>
      <c r="P92" s="314">
        <f t="shared" si="30"/>
        <v>1666.8892197802197</v>
      </c>
      <c r="Q92" s="316">
        <v>1700</v>
      </c>
    </row>
    <row r="93" spans="1:18" outlineLevel="1" x14ac:dyDescent="0.25">
      <c r="A93" s="264" t="str">
        <f>TRIM(MID("2NW.Postage and Mailings",5,125))</f>
        <v>Postage and Mailings</v>
      </c>
      <c r="C93" s="265">
        <f>14.56+0</f>
        <v>14.56</v>
      </c>
      <c r="D93" s="265">
        <f>29.12+0</f>
        <v>29.12</v>
      </c>
      <c r="E93" s="265">
        <f>69.65+0</f>
        <v>69.650000000000006</v>
      </c>
      <c r="F93" s="265">
        <f>37.74+0</f>
        <v>37.74</v>
      </c>
      <c r="G93" s="265">
        <f>49.4+0</f>
        <v>49.4</v>
      </c>
      <c r="H93" s="265">
        <f>24.55+0</f>
        <v>24.55</v>
      </c>
      <c r="I93" s="265">
        <f>55.75+0</f>
        <v>55.75</v>
      </c>
      <c r="J93" s="265">
        <f>93.94+0</f>
        <v>93.94</v>
      </c>
      <c r="K93" s="265">
        <f>22.14+0</f>
        <v>22.14</v>
      </c>
      <c r="L93" s="266"/>
      <c r="M93" s="265">
        <f t="shared" si="26"/>
        <v>396.85</v>
      </c>
      <c r="N93" s="265">
        <f t="shared" si="27"/>
        <v>44.094444444444449</v>
      </c>
      <c r="O93" s="265">
        <f t="shared" si="28"/>
        <v>530.58699633699644</v>
      </c>
      <c r="P93" s="314">
        <f t="shared" si="30"/>
        <v>550.74930219780231</v>
      </c>
      <c r="Q93" s="316">
        <v>600</v>
      </c>
    </row>
    <row r="94" spans="1:18" ht="15.75" outlineLevel="1" thickBot="1" x14ac:dyDescent="0.3">
      <c r="A94" s="264" t="str">
        <f>TRIM(MID("2NX.Printing &amp; Forms",5,125))</f>
        <v>Printing &amp; Forms</v>
      </c>
      <c r="C94" s="265">
        <f t="shared" ref="C94:J94" si="31">0+0</f>
        <v>0</v>
      </c>
      <c r="D94" s="265">
        <f t="shared" si="31"/>
        <v>0</v>
      </c>
      <c r="E94" s="265">
        <f t="shared" si="31"/>
        <v>0</v>
      </c>
      <c r="F94" s="265">
        <f t="shared" si="31"/>
        <v>0</v>
      </c>
      <c r="G94" s="265">
        <f t="shared" si="31"/>
        <v>0</v>
      </c>
      <c r="H94" s="265">
        <f t="shared" si="31"/>
        <v>0</v>
      </c>
      <c r="I94" s="265">
        <f t="shared" si="31"/>
        <v>0</v>
      </c>
      <c r="J94" s="265">
        <f t="shared" si="31"/>
        <v>0</v>
      </c>
      <c r="K94" s="265">
        <f>287.62+0</f>
        <v>287.62</v>
      </c>
      <c r="L94" s="266"/>
      <c r="M94" s="265">
        <f t="shared" si="26"/>
        <v>287.62</v>
      </c>
      <c r="N94" s="265">
        <f t="shared" si="27"/>
        <v>31.957777777777778</v>
      </c>
      <c r="O94" s="265">
        <f t="shared" si="28"/>
        <v>384.54688644688645</v>
      </c>
      <c r="P94" s="314">
        <f t="shared" si="30"/>
        <v>399.15966813186816</v>
      </c>
      <c r="Q94" s="316">
        <v>450</v>
      </c>
    </row>
    <row r="95" spans="1:18" ht="15.75" outlineLevel="1" thickBot="1" x14ac:dyDescent="0.3">
      <c r="A95" s="264" t="str">
        <f>TRIM(MID("2NZ.Rent:Equipment",5,125))</f>
        <v>Rent:Equipment</v>
      </c>
      <c r="C95" s="265">
        <f>463.39+0</f>
        <v>463.39</v>
      </c>
      <c r="D95" s="265">
        <f>377.85+0</f>
        <v>377.85</v>
      </c>
      <c r="E95" s="265">
        <f>404.99+0</f>
        <v>404.99</v>
      </c>
      <c r="F95" s="265">
        <f>224.53+0</f>
        <v>224.53</v>
      </c>
      <c r="G95" s="265">
        <f>345.98+0</f>
        <v>345.98</v>
      </c>
      <c r="H95" s="265">
        <f>344+0</f>
        <v>344</v>
      </c>
      <c r="I95" s="265">
        <f>750.9+0</f>
        <v>750.9</v>
      </c>
      <c r="J95" s="265">
        <f>479.01+0</f>
        <v>479.01</v>
      </c>
      <c r="K95" s="265">
        <f>444.31+0</f>
        <v>444.31</v>
      </c>
      <c r="L95" s="266"/>
      <c r="M95" s="265">
        <f t="shared" si="26"/>
        <v>3834.9599999999996</v>
      </c>
      <c r="N95" s="265">
        <f t="shared" si="27"/>
        <v>426.10666666666663</v>
      </c>
      <c r="O95" s="265">
        <f t="shared" si="28"/>
        <v>5127.3274725274714</v>
      </c>
      <c r="P95" s="314">
        <f t="shared" si="30"/>
        <v>5322.1659164835155</v>
      </c>
      <c r="Q95" s="316">
        <v>5400</v>
      </c>
      <c r="R95" s="318">
        <f>Q95-400</f>
        <v>5000</v>
      </c>
    </row>
    <row r="96" spans="1:18" outlineLevel="1" x14ac:dyDescent="0.25">
      <c r="A96" s="264" t="str">
        <f>TRIM(MID("2OB.Repairs &amp; Maintenance",5,125))</f>
        <v>Repairs &amp; Maintenance</v>
      </c>
      <c r="C96" s="265">
        <f>176.87+0</f>
        <v>176.87</v>
      </c>
      <c r="D96" s="265">
        <f>176.87+0</f>
        <v>176.87</v>
      </c>
      <c r="E96" s="265">
        <f>181.17+0</f>
        <v>181.17</v>
      </c>
      <c r="F96" s="265">
        <f>146.09+0</f>
        <v>146.09</v>
      </c>
      <c r="G96" s="265">
        <f>315.67+0</f>
        <v>315.67</v>
      </c>
      <c r="H96" s="265">
        <f>152.27+0</f>
        <v>152.27000000000001</v>
      </c>
      <c r="I96" s="265">
        <f>109.43+0</f>
        <v>109.43</v>
      </c>
      <c r="J96" s="265">
        <f>109.43+0</f>
        <v>109.43</v>
      </c>
      <c r="K96" s="265">
        <f>109.43+0</f>
        <v>109.43</v>
      </c>
      <c r="L96" s="266"/>
      <c r="M96" s="265">
        <f t="shared" si="26"/>
        <v>1477.2300000000002</v>
      </c>
      <c r="N96" s="265">
        <f t="shared" si="27"/>
        <v>164.13666666666668</v>
      </c>
      <c r="O96" s="265">
        <f t="shared" si="28"/>
        <v>1975.0510989010993</v>
      </c>
      <c r="P96" s="314">
        <f t="shared" si="30"/>
        <v>2050.1030406593413</v>
      </c>
      <c r="Q96" s="316">
        <v>2100</v>
      </c>
    </row>
    <row r="97" spans="1:18" outlineLevel="1" x14ac:dyDescent="0.25">
      <c r="A97" s="264" t="str">
        <f>TRIM(MID("2OC.Telephone",5,125))</f>
        <v>Telephone</v>
      </c>
      <c r="C97" s="265">
        <f>404.95+0</f>
        <v>404.95</v>
      </c>
      <c r="D97" s="265">
        <f>500+0</f>
        <v>500</v>
      </c>
      <c r="E97" s="265">
        <f>500+0</f>
        <v>500</v>
      </c>
      <c r="F97" s="265">
        <f>217.69+0</f>
        <v>217.69</v>
      </c>
      <c r="G97" s="265">
        <f>69.45+0</f>
        <v>69.45</v>
      </c>
      <c r="H97" s="265">
        <f>200+0</f>
        <v>200</v>
      </c>
      <c r="I97" s="265">
        <f>200+0</f>
        <v>200</v>
      </c>
      <c r="J97" s="265">
        <f>1419.01+0</f>
        <v>1419.01</v>
      </c>
      <c r="K97" s="265">
        <f>600+0</f>
        <v>600</v>
      </c>
      <c r="L97" s="266"/>
      <c r="M97" s="265">
        <f t="shared" si="26"/>
        <v>4111.1000000000004</v>
      </c>
      <c r="N97" s="265">
        <f t="shared" si="27"/>
        <v>456.78888888888895</v>
      </c>
      <c r="O97" s="265">
        <f t="shared" si="28"/>
        <v>5496.5256410256416</v>
      </c>
      <c r="P97" s="314">
        <f t="shared" si="30"/>
        <v>5705.3936153846162</v>
      </c>
      <c r="Q97" s="316">
        <v>5700</v>
      </c>
    </row>
    <row r="98" spans="1:18" ht="15.75" outlineLevel="1" thickBot="1" x14ac:dyDescent="0.3">
      <c r="A98" s="264" t="str">
        <f>TRIM(MID("2OF.Depreciation",5,125))</f>
        <v>Depreciation</v>
      </c>
      <c r="C98" s="265">
        <f>591.2+0</f>
        <v>591.20000000000005</v>
      </c>
      <c r="D98" s="265">
        <f>591.24+0</f>
        <v>591.24</v>
      </c>
      <c r="E98" s="265">
        <f>591.2+0</f>
        <v>591.20000000000005</v>
      </c>
      <c r="F98" s="265">
        <f>591.25+0</f>
        <v>591.25</v>
      </c>
      <c r="G98" s="265">
        <f>591.25+0</f>
        <v>591.25</v>
      </c>
      <c r="H98" s="265">
        <f>591.25+0</f>
        <v>591.25</v>
      </c>
      <c r="I98" s="265">
        <f>825.51+0</f>
        <v>825.51</v>
      </c>
      <c r="J98" s="265">
        <f>825.47+0</f>
        <v>825.47</v>
      </c>
      <c r="K98" s="265">
        <f>825.47+0</f>
        <v>825.47</v>
      </c>
      <c r="L98" s="266"/>
      <c r="M98" s="265">
        <f t="shared" si="26"/>
        <v>6023.8400000000011</v>
      </c>
      <c r="N98" s="265">
        <f t="shared" si="27"/>
        <v>669.31555555555565</v>
      </c>
      <c r="O98" s="265">
        <f t="shared" si="28"/>
        <v>8053.8520146520168</v>
      </c>
      <c r="P98" s="314">
        <f t="shared" si="30"/>
        <v>8359.8983912087933</v>
      </c>
      <c r="Q98" s="317">
        <v>8400</v>
      </c>
    </row>
    <row r="99" spans="1:18" ht="15.75" thickBot="1" x14ac:dyDescent="0.3">
      <c r="A99" s="263" t="s">
        <v>546</v>
      </c>
      <c r="C99" s="269">
        <f>SUM(OSRRefC41_0x_3)</f>
        <v>5260.5899999999992</v>
      </c>
      <c r="D99" s="269">
        <f>SUM(OSRRefC41_0x_4)</f>
        <v>3914.6399999999994</v>
      </c>
      <c r="E99" s="269">
        <f>SUM(OSRRefC41_0x_5)</f>
        <v>5071.4900000000007</v>
      </c>
      <c r="F99" s="269">
        <f>SUM(OSRRefC41_0x_6)</f>
        <v>3349.98</v>
      </c>
      <c r="G99" s="269">
        <f>SUM(OSRRefC41_0x_7)</f>
        <v>3609.01</v>
      </c>
      <c r="H99" s="269">
        <f>SUM(OSRRefC41_0x_8)</f>
        <v>3603.1600000000003</v>
      </c>
      <c r="I99" s="269">
        <f>SUM(OSRRefC41_0x_9)</f>
        <v>4414.51</v>
      </c>
      <c r="J99" s="269">
        <f>SUM(OSRRefC41_0x_10)</f>
        <v>5828.54</v>
      </c>
      <c r="K99" s="269">
        <f>SUM(OSRRefC41_0x_11)</f>
        <v>4786.95</v>
      </c>
      <c r="L99" s="266"/>
      <c r="M99" s="269">
        <f t="shared" si="26"/>
        <v>39838.869999999995</v>
      </c>
      <c r="N99" s="269">
        <f>SUM(N84:N98)</f>
        <v>4426.5411111111107</v>
      </c>
      <c r="O99" s="269">
        <f>SUM(O84:O98)</f>
        <v>53264.423260073258</v>
      </c>
      <c r="P99" s="314">
        <f>SUM(P86:P98)</f>
        <v>55253.776289010995</v>
      </c>
      <c r="Q99" s="319">
        <f>SUM(Q84:Q98)</f>
        <v>56039.619999999995</v>
      </c>
    </row>
    <row r="100" spans="1:18" ht="6.75" customHeight="1" x14ac:dyDescent="0.25">
      <c r="A100" s="271"/>
      <c r="C100" s="265"/>
      <c r="D100" s="265"/>
      <c r="E100" s="265"/>
      <c r="F100" s="265"/>
      <c r="G100" s="265"/>
      <c r="H100" s="265"/>
      <c r="I100" s="265"/>
      <c r="J100" s="265"/>
      <c r="K100" s="265"/>
      <c r="L100" s="266"/>
      <c r="M100" s="265"/>
      <c r="N100" s="265"/>
      <c r="O100" s="265"/>
    </row>
    <row r="101" spans="1:18" s="262" customFormat="1" x14ac:dyDescent="0.25">
      <c r="A101" s="263" t="s">
        <v>547</v>
      </c>
      <c r="C101" s="274">
        <f>SUM(OSRRefC10x_3)+SUM(OSRRefC26x_3)+SUM(OSRRefC32x_3)+SUM(0)+OSRRefC13x_3+OSRRefC16x_3+SUM(OSRRefC22x_3)+SUM(OSRRefC42x_3)</f>
        <v>291092.89</v>
      </c>
      <c r="D101" s="274">
        <f>SUM(OSRRefC10x_4)+SUM(OSRRefC26x_4)+SUM(OSRRefC32x_4)+SUM(0)+OSRRefC13x_4+OSRRefC16x_4+SUM(OSRRefC22x_4)+SUM(OSRRefC42x_4)</f>
        <v>348238.97000000003</v>
      </c>
      <c r="E101" s="274">
        <f>SUM(OSRRefC10x_5)+SUM(OSRRefC26x_5)+SUM(OSRRefC32x_5)+SUM(0)+OSRRefC13x_5+OSRRefC16x_5+SUM(OSRRefC22x_5)+SUM(OSRRefC42x_5)</f>
        <v>241296.28999999998</v>
      </c>
      <c r="F101" s="274">
        <f>SUM(OSRRefC10x_6)+SUM(OSRRefC26x_6)+SUM(OSRRefC32x_6)+SUM(0)+OSRRefC13x_6+OSRRefC16x_6+SUM(OSRRefC22x_6)+SUM(OSRRefC42x_6)</f>
        <v>253070.55000000002</v>
      </c>
      <c r="G101" s="274">
        <f>SUM(OSRRefC10x_7)+SUM(OSRRefC26x_7)+SUM(OSRRefC32x_7)+SUM(0)+OSRRefC13x_7+OSRRefC16x_7+SUM(OSRRefC22x_7)+SUM(OSRRefC42x_7)</f>
        <v>226504.23000000004</v>
      </c>
      <c r="H101" s="274">
        <f>SUM(OSRRefC10x_8)+SUM(OSRRefC26x_8)+SUM(OSRRefC32x_8)+SUM(0)+OSRRefC13x_8+OSRRefC16x_8+SUM(OSRRefC22x_8)+SUM(OSRRefC42x_8)</f>
        <v>315683.53999999998</v>
      </c>
      <c r="I101" s="274">
        <f>SUM(OSRRefC10x_9)+SUM(OSRRefC26x_9)+SUM(OSRRefC32x_9)+SUM(0)+OSRRefC13x_9+OSRRefC16x_9+SUM(OSRRefC22x_9)+SUM(OSRRefC42x_9)</f>
        <v>276521.35000000003</v>
      </c>
      <c r="J101" s="274">
        <f>SUM(OSRRefC10x_10)+SUM(OSRRefC26x_10)+SUM(OSRRefC32x_10)+SUM(0)+OSRRefC13x_10+OSRRefC16x_10+SUM(OSRRefC22x_10)+SUM(OSRRefC42x_10)</f>
        <v>233871.13999999998</v>
      </c>
      <c r="K101" s="274">
        <f>SUM(OSRRefC10x_11)+SUM(OSRRefC26x_11)+SUM(OSRRefC32x_11)+SUM(0)+OSRRefC13x_11+OSRRefC16x_11+SUM(OSRRefC22x_11)+SUM(OSRRefC42x_11)</f>
        <v>254861.57000000007</v>
      </c>
      <c r="L101" s="275"/>
      <c r="M101" s="274">
        <f>SUM(B101:L101)</f>
        <v>2441140.5300000003</v>
      </c>
      <c r="N101" s="274">
        <f>N99+N82+N40+N34+N30</f>
        <v>271237.83666666667</v>
      </c>
      <c r="O101" s="274">
        <f>O99+O82+O40+O34+O30</f>
        <v>3263211.1445054943</v>
      </c>
      <c r="Q101" s="255"/>
    </row>
    <row r="102" spans="1:18" ht="6" customHeight="1" thickBot="1" x14ac:dyDescent="0.3">
      <c r="A102" s="271"/>
      <c r="C102" s="265"/>
      <c r="D102" s="265"/>
      <c r="E102" s="265"/>
      <c r="F102" s="265"/>
      <c r="G102" s="265"/>
      <c r="H102" s="265"/>
      <c r="I102" s="265"/>
      <c r="J102" s="265"/>
      <c r="K102" s="265"/>
      <c r="L102" s="266"/>
      <c r="M102" s="265"/>
      <c r="N102" s="265"/>
      <c r="O102" s="265"/>
    </row>
    <row r="103" spans="1:18" ht="15.75" thickBot="1" x14ac:dyDescent="0.3">
      <c r="A103" s="271" t="s">
        <v>55</v>
      </c>
      <c r="C103" s="265">
        <f>--30617.81+0</f>
        <v>30617.81</v>
      </c>
      <c r="D103" s="265">
        <f>--29630.13+0</f>
        <v>29630.13</v>
      </c>
      <c r="E103" s="265">
        <f>--30617.8+0</f>
        <v>30617.8</v>
      </c>
      <c r="F103" s="265">
        <f>--30617.8+0</f>
        <v>30617.8</v>
      </c>
      <c r="G103" s="265">
        <f>--27654.79+0</f>
        <v>27654.79</v>
      </c>
      <c r="H103" s="265">
        <f>--30617.81+0</f>
        <v>30617.81</v>
      </c>
      <c r="I103" s="265">
        <f>--29630.14+0</f>
        <v>29630.14</v>
      </c>
      <c r="J103" s="265">
        <f>--30617.81+0</f>
        <v>30617.81</v>
      </c>
      <c r="K103" s="265">
        <f>--29630.14+0</f>
        <v>29630.14</v>
      </c>
      <c r="L103" s="266"/>
      <c r="M103" s="265">
        <f>SUM(B103:L103)</f>
        <v>269634.23000000004</v>
      </c>
      <c r="N103" s="265">
        <f>AVERAGE(C103:K103)</f>
        <v>29959.358888888892</v>
      </c>
      <c r="O103" s="265">
        <f t="shared" ref="O103" si="32">(M103/$M$5)*365</f>
        <v>360499.97783882788</v>
      </c>
      <c r="Q103" s="320" t="s">
        <v>582</v>
      </c>
      <c r="R103" s="321">
        <f>O103*1.038</f>
        <v>374198.97699670336</v>
      </c>
    </row>
    <row r="104" spans="1:18" ht="6" customHeight="1" x14ac:dyDescent="0.25">
      <c r="A104" s="271"/>
      <c r="C104" s="265"/>
      <c r="D104" s="265"/>
      <c r="E104" s="265"/>
      <c r="F104" s="265"/>
      <c r="G104" s="265"/>
      <c r="H104" s="265"/>
      <c r="I104" s="265"/>
      <c r="J104" s="265"/>
      <c r="K104" s="265"/>
      <c r="L104" s="266"/>
      <c r="M104" s="265"/>
      <c r="N104" s="265"/>
      <c r="O104" s="265"/>
    </row>
    <row r="105" spans="1:18" s="262" customFormat="1" x14ac:dyDescent="0.25">
      <c r="A105" s="263" t="s">
        <v>548</v>
      </c>
      <c r="C105" s="276">
        <f t="shared" ref="C105:K105" si="33">SUM(C101:C104)</f>
        <v>321710.7</v>
      </c>
      <c r="D105" s="276">
        <f t="shared" si="33"/>
        <v>377869.10000000003</v>
      </c>
      <c r="E105" s="276">
        <f t="shared" si="33"/>
        <v>271914.08999999997</v>
      </c>
      <c r="F105" s="276">
        <f t="shared" si="33"/>
        <v>283688.35000000003</v>
      </c>
      <c r="G105" s="276">
        <f t="shared" si="33"/>
        <v>254159.02000000005</v>
      </c>
      <c r="H105" s="276">
        <f t="shared" si="33"/>
        <v>346301.35</v>
      </c>
      <c r="I105" s="276">
        <f t="shared" si="33"/>
        <v>306151.49000000005</v>
      </c>
      <c r="J105" s="276">
        <f t="shared" si="33"/>
        <v>264488.95</v>
      </c>
      <c r="K105" s="276">
        <f t="shared" si="33"/>
        <v>284491.71000000008</v>
      </c>
      <c r="L105" s="275"/>
      <c r="M105" s="276">
        <f>SUM(B105:L105)</f>
        <v>2710774.7600000002</v>
      </c>
      <c r="N105" s="276">
        <f>N101+N103</f>
        <v>301197.19555555558</v>
      </c>
      <c r="O105" s="276">
        <f>O101+O103</f>
        <v>3623711.122344322</v>
      </c>
    </row>
  </sheetData>
  <mergeCells count="2">
    <mergeCell ref="C4:K4"/>
    <mergeCell ref="P68:S80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1"/>
  <sheetViews>
    <sheetView topLeftCell="J1" workbookViewId="0">
      <selection activeCell="AE70" sqref="AE70"/>
    </sheetView>
  </sheetViews>
  <sheetFormatPr defaultColWidth="9.140625" defaultRowHeight="12.75" x14ac:dyDescent="0.2"/>
  <cols>
    <col min="1" max="4" width="0" style="277" hidden="1" customWidth="1"/>
    <col min="5" max="5" width="40.5703125" style="277" bestFit="1" customWidth="1"/>
    <col min="6" max="9" width="0" style="277" hidden="1" customWidth="1"/>
    <col min="10" max="10" width="18" style="277" customWidth="1"/>
    <col min="11" max="13" width="9.140625" style="277" customWidth="1"/>
    <col min="14" max="14" width="5.85546875" style="277" customWidth="1"/>
    <col min="15" max="18" width="0" style="277" hidden="1" customWidth="1"/>
    <col min="19" max="19" width="42.85546875" style="277" customWidth="1"/>
    <col min="20" max="23" width="0" style="277" hidden="1" customWidth="1"/>
    <col min="24" max="24" width="13.140625" style="277" customWidth="1"/>
    <col min="25" max="27" width="9.140625" style="277" customWidth="1"/>
    <col min="28" max="28" width="3.5703125" style="277" customWidth="1"/>
    <col min="29" max="29" width="14.42578125" style="277" bestFit="1" customWidth="1"/>
    <col min="30" max="30" width="16" style="277" bestFit="1" customWidth="1"/>
    <col min="31" max="31" width="19.28515625" style="277" bestFit="1" customWidth="1"/>
    <col min="32" max="32" width="20.42578125" style="277" customWidth="1"/>
    <col min="33" max="16384" width="9.140625" style="277"/>
  </cols>
  <sheetData>
    <row r="1" spans="1:27" ht="15.75" x14ac:dyDescent="0.25">
      <c r="A1" s="520" t="s">
        <v>549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O1" s="521" t="s">
        <v>549</v>
      </c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</row>
    <row r="2" spans="1:27" ht="15.75" x14ac:dyDescent="0.25">
      <c r="A2" s="520" t="s">
        <v>550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1" t="s">
        <v>550</v>
      </c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</row>
    <row r="3" spans="1:27" ht="15.75" x14ac:dyDescent="0.25">
      <c r="A3" s="520" t="s">
        <v>551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O3" s="521" t="s">
        <v>552</v>
      </c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</row>
    <row r="4" spans="1:27" x14ac:dyDescent="0.2">
      <c r="A4" s="278"/>
      <c r="B4" s="278"/>
      <c r="C4" s="278"/>
      <c r="D4" s="279"/>
      <c r="E4" s="280"/>
      <c r="F4" s="278"/>
      <c r="G4" s="278"/>
      <c r="H4" s="278"/>
      <c r="I4" s="278"/>
      <c r="J4" s="278"/>
      <c r="K4" s="278"/>
      <c r="L4" s="278"/>
      <c r="M4" s="279"/>
      <c r="O4" s="281"/>
      <c r="P4" s="281"/>
      <c r="Q4" s="281"/>
      <c r="R4" s="282"/>
      <c r="S4" s="283"/>
      <c r="T4" s="281"/>
      <c r="U4" s="281"/>
      <c r="V4" s="281"/>
      <c r="W4" s="281"/>
      <c r="X4" s="281"/>
      <c r="Y4" s="281"/>
      <c r="Z4" s="281"/>
      <c r="AA4" s="282"/>
    </row>
    <row r="5" spans="1:27" x14ac:dyDescent="0.2">
      <c r="A5" s="278"/>
      <c r="B5" s="278"/>
      <c r="C5" s="278"/>
      <c r="D5" s="279"/>
      <c r="E5" s="280"/>
      <c r="F5" s="278"/>
      <c r="G5" s="278"/>
      <c r="H5" s="278"/>
      <c r="I5" s="278"/>
      <c r="J5" s="278"/>
      <c r="K5" s="278"/>
      <c r="L5" s="278"/>
      <c r="M5" s="279"/>
      <c r="O5" s="281"/>
      <c r="P5" s="281"/>
      <c r="Q5" s="281"/>
      <c r="R5" s="282"/>
      <c r="S5" s="283"/>
      <c r="T5" s="281"/>
      <c r="U5" s="281"/>
      <c r="V5" s="281"/>
      <c r="W5" s="281"/>
      <c r="X5" s="281"/>
      <c r="Y5" s="281"/>
      <c r="Z5" s="281"/>
      <c r="AA5" s="282"/>
    </row>
    <row r="6" spans="1:27" x14ac:dyDescent="0.2">
      <c r="A6" s="278"/>
      <c r="B6" s="278"/>
      <c r="C6" s="278"/>
      <c r="D6" s="279"/>
      <c r="E6" s="280"/>
      <c r="F6" s="278"/>
      <c r="G6" s="278"/>
      <c r="H6" s="278"/>
      <c r="I6" s="278"/>
      <c r="J6" s="278"/>
      <c r="K6" s="278"/>
      <c r="L6" s="278"/>
      <c r="M6" s="279"/>
      <c r="O6" s="281"/>
      <c r="P6" s="281"/>
      <c r="Q6" s="281"/>
      <c r="R6" s="282"/>
      <c r="S6" s="283"/>
      <c r="T6" s="281"/>
      <c r="U6" s="281"/>
      <c r="V6" s="281"/>
      <c r="W6" s="281"/>
      <c r="X6" s="281"/>
      <c r="Y6" s="281"/>
      <c r="Z6" s="281"/>
      <c r="AA6" s="282"/>
    </row>
    <row r="7" spans="1:27" x14ac:dyDescent="0.2">
      <c r="A7" s="278"/>
      <c r="B7" s="278"/>
      <c r="C7" s="278"/>
      <c r="D7" s="279"/>
      <c r="E7" s="280"/>
      <c r="F7" s="278"/>
      <c r="G7" s="278"/>
      <c r="H7" s="278"/>
      <c r="I7" s="278"/>
      <c r="J7" s="278"/>
      <c r="K7" s="278"/>
      <c r="L7" s="278"/>
      <c r="M7" s="279"/>
      <c r="O7" s="281"/>
      <c r="P7" s="281"/>
      <c r="Q7" s="281"/>
      <c r="R7" s="282"/>
      <c r="S7" s="283"/>
      <c r="T7" s="281"/>
      <c r="U7" s="281"/>
      <c r="V7" s="281"/>
      <c r="W7" s="281"/>
      <c r="X7" s="281"/>
      <c r="Y7" s="281"/>
      <c r="Z7" s="281"/>
      <c r="AA7" s="282"/>
    </row>
    <row r="8" spans="1:27" x14ac:dyDescent="0.2">
      <c r="A8" s="284" t="s">
        <v>553</v>
      </c>
      <c r="B8" s="285"/>
      <c r="C8" s="285"/>
      <c r="D8" s="286"/>
      <c r="E8" s="280"/>
      <c r="F8" s="278"/>
      <c r="G8" s="278"/>
      <c r="H8" s="278"/>
      <c r="I8" s="278"/>
      <c r="J8" s="284" t="s">
        <v>554</v>
      </c>
      <c r="K8" s="285"/>
      <c r="L8" s="285"/>
      <c r="M8" s="286"/>
      <c r="O8" s="287" t="s">
        <v>555</v>
      </c>
      <c r="P8" s="288"/>
      <c r="Q8" s="288"/>
      <c r="R8" s="289"/>
      <c r="S8" s="283"/>
      <c r="T8" s="281"/>
      <c r="U8" s="281"/>
      <c r="V8" s="281"/>
      <c r="W8" s="281"/>
      <c r="X8" s="287" t="s">
        <v>556</v>
      </c>
      <c r="Y8" s="288"/>
      <c r="Z8" s="288"/>
      <c r="AA8" s="289"/>
    </row>
    <row r="9" spans="1:27" x14ac:dyDescent="0.2">
      <c r="A9" s="290" t="s">
        <v>557</v>
      </c>
      <c r="B9" s="290" t="s">
        <v>0</v>
      </c>
      <c r="C9" s="291" t="s">
        <v>175</v>
      </c>
      <c r="D9" s="292"/>
      <c r="E9" s="280"/>
      <c r="F9" s="278"/>
      <c r="G9" s="278"/>
      <c r="H9" s="278"/>
      <c r="I9" s="278"/>
      <c r="J9" s="290" t="s">
        <v>557</v>
      </c>
      <c r="K9" s="290" t="s">
        <v>0</v>
      </c>
      <c r="L9" s="291" t="s">
        <v>175</v>
      </c>
      <c r="M9" s="292"/>
      <c r="O9" s="293" t="s">
        <v>557</v>
      </c>
      <c r="P9" s="293" t="s">
        <v>0</v>
      </c>
      <c r="Q9" s="294" t="s">
        <v>175</v>
      </c>
      <c r="R9" s="295"/>
      <c r="S9" s="283"/>
      <c r="T9" s="281"/>
      <c r="U9" s="281"/>
      <c r="V9" s="281"/>
      <c r="W9" s="281"/>
      <c r="X9" s="293" t="s">
        <v>557</v>
      </c>
      <c r="Y9" s="293" t="s">
        <v>0</v>
      </c>
      <c r="Z9" s="294" t="s">
        <v>175</v>
      </c>
      <c r="AA9" s="295"/>
    </row>
    <row r="10" spans="1:27" x14ac:dyDescent="0.2">
      <c r="A10" s="290" t="s">
        <v>558</v>
      </c>
      <c r="B10" s="290" t="s">
        <v>558</v>
      </c>
      <c r="C10" s="290" t="s">
        <v>558</v>
      </c>
      <c r="D10" s="290" t="s">
        <v>76</v>
      </c>
      <c r="E10" s="280"/>
      <c r="F10" s="278"/>
      <c r="G10" s="278"/>
      <c r="H10" s="278"/>
      <c r="I10" s="278"/>
      <c r="J10" s="290" t="s">
        <v>558</v>
      </c>
      <c r="K10" s="290" t="s">
        <v>558</v>
      </c>
      <c r="L10" s="290" t="s">
        <v>558</v>
      </c>
      <c r="M10" s="290" t="s">
        <v>76</v>
      </c>
      <c r="O10" s="293" t="s">
        <v>558</v>
      </c>
      <c r="P10" s="293" t="s">
        <v>558</v>
      </c>
      <c r="Q10" s="293" t="s">
        <v>558</v>
      </c>
      <c r="R10" s="293" t="s">
        <v>76</v>
      </c>
      <c r="S10" s="283"/>
      <c r="T10" s="281"/>
      <c r="U10" s="281"/>
      <c r="V10" s="281"/>
      <c r="W10" s="281"/>
      <c r="X10" s="293" t="s">
        <v>558</v>
      </c>
      <c r="Y10" s="293" t="s">
        <v>558</v>
      </c>
      <c r="Z10" s="293" t="s">
        <v>558</v>
      </c>
      <c r="AA10" s="293" t="s">
        <v>76</v>
      </c>
    </row>
    <row r="11" spans="1:27" x14ac:dyDescent="0.2">
      <c r="A11" s="278"/>
      <c r="B11" s="278"/>
      <c r="C11" s="278"/>
      <c r="D11" s="279"/>
      <c r="E11" s="280"/>
      <c r="F11" s="278"/>
      <c r="G11" s="278"/>
      <c r="H11" s="278"/>
      <c r="I11" s="278"/>
      <c r="J11" s="278"/>
      <c r="K11" s="278"/>
      <c r="L11" s="278"/>
      <c r="M11" s="279"/>
      <c r="O11" s="281"/>
      <c r="P11" s="281"/>
      <c r="Q11" s="281"/>
      <c r="R11" s="282"/>
      <c r="S11" s="283"/>
      <c r="T11" s="281"/>
      <c r="U11" s="281"/>
      <c r="V11" s="281"/>
      <c r="W11" s="281"/>
      <c r="X11" s="281"/>
      <c r="Y11" s="281"/>
      <c r="Z11" s="281"/>
      <c r="AA11" s="282"/>
    </row>
    <row r="12" spans="1:27" hidden="1" x14ac:dyDescent="0.2">
      <c r="A12" s="278"/>
      <c r="B12" s="278"/>
      <c r="C12" s="278"/>
      <c r="D12" s="279"/>
      <c r="E12" s="280" t="s">
        <v>338</v>
      </c>
      <c r="F12" s="278"/>
      <c r="G12" s="278"/>
      <c r="H12" s="278"/>
      <c r="I12" s="278"/>
      <c r="J12" s="278"/>
      <c r="K12" s="278"/>
      <c r="L12" s="278"/>
      <c r="M12" s="279"/>
      <c r="O12" s="281"/>
      <c r="P12" s="281"/>
      <c r="Q12" s="281"/>
      <c r="R12" s="282"/>
      <c r="S12" s="283" t="s">
        <v>338</v>
      </c>
      <c r="T12" s="281"/>
      <c r="U12" s="281"/>
      <c r="V12" s="281"/>
      <c r="W12" s="281"/>
      <c r="X12" s="281"/>
      <c r="Y12" s="281"/>
      <c r="Z12" s="281"/>
      <c r="AA12" s="282"/>
    </row>
    <row r="13" spans="1:27" hidden="1" x14ac:dyDescent="0.2">
      <c r="A13" s="278"/>
      <c r="B13" s="278"/>
      <c r="C13" s="278"/>
      <c r="D13" s="279"/>
      <c r="E13" s="280"/>
      <c r="F13" s="278"/>
      <c r="G13" s="278"/>
      <c r="H13" s="278"/>
      <c r="I13" s="278"/>
      <c r="J13" s="278"/>
      <c r="K13" s="278"/>
      <c r="L13" s="278"/>
      <c r="M13" s="279"/>
      <c r="O13" s="281"/>
      <c r="P13" s="281"/>
      <c r="Q13" s="281"/>
      <c r="R13" s="282"/>
      <c r="S13" s="283"/>
      <c r="T13" s="281"/>
      <c r="U13" s="281"/>
      <c r="V13" s="281"/>
      <c r="W13" s="281"/>
      <c r="X13" s="281"/>
      <c r="Y13" s="281"/>
      <c r="Z13" s="281"/>
      <c r="AA13" s="282"/>
    </row>
    <row r="14" spans="1:27" hidden="1" x14ac:dyDescent="0.2">
      <c r="A14" s="278"/>
      <c r="B14" s="278"/>
      <c r="C14" s="278"/>
      <c r="D14" s="279"/>
      <c r="E14" s="280" t="s">
        <v>341</v>
      </c>
      <c r="F14" s="278"/>
      <c r="G14" s="278"/>
      <c r="H14" s="278"/>
      <c r="I14" s="278"/>
      <c r="J14" s="278"/>
      <c r="K14" s="278"/>
      <c r="L14" s="278"/>
      <c r="M14" s="279"/>
      <c r="O14" s="281"/>
      <c r="P14" s="281"/>
      <c r="Q14" s="281"/>
      <c r="R14" s="282"/>
      <c r="S14" s="283" t="s">
        <v>341</v>
      </c>
      <c r="T14" s="281"/>
      <c r="U14" s="281"/>
      <c r="V14" s="281"/>
      <c r="W14" s="281"/>
      <c r="X14" s="281"/>
      <c r="Y14" s="281"/>
      <c r="Z14" s="281"/>
      <c r="AA14" s="282"/>
    </row>
    <row r="15" spans="1:27" hidden="1" x14ac:dyDescent="0.2">
      <c r="A15" s="278"/>
      <c r="B15" s="278"/>
      <c r="C15" s="278"/>
      <c r="D15" s="279"/>
      <c r="E15" s="280" t="s">
        <v>342</v>
      </c>
      <c r="F15" s="278"/>
      <c r="G15" s="278"/>
      <c r="H15" s="278"/>
      <c r="I15" s="278"/>
      <c r="J15" s="278"/>
      <c r="K15" s="278"/>
      <c r="L15" s="278"/>
      <c r="M15" s="279"/>
      <c r="O15" s="281"/>
      <c r="P15" s="281"/>
      <c r="Q15" s="281"/>
      <c r="R15" s="282"/>
      <c r="S15" s="283" t="s">
        <v>342</v>
      </c>
      <c r="T15" s="281"/>
      <c r="U15" s="281"/>
      <c r="V15" s="281"/>
      <c r="W15" s="281"/>
      <c r="X15" s="281"/>
      <c r="Y15" s="281"/>
      <c r="Z15" s="281"/>
      <c r="AA15" s="282"/>
    </row>
    <row r="16" spans="1:27" hidden="1" x14ac:dyDescent="0.2">
      <c r="A16" s="296">
        <v>27725.1</v>
      </c>
      <c r="B16" s="296">
        <v>0</v>
      </c>
      <c r="C16" s="296">
        <v>-27725.1</v>
      </c>
      <c r="D16" s="297">
        <v>0</v>
      </c>
      <c r="E16" s="280" t="s">
        <v>344</v>
      </c>
      <c r="F16" s="278"/>
      <c r="G16" s="278"/>
      <c r="H16" s="278"/>
      <c r="I16" s="278"/>
      <c r="J16" s="296">
        <v>56150.1</v>
      </c>
      <c r="K16" s="296">
        <v>0</v>
      </c>
      <c r="L16" s="296">
        <v>-56150.1</v>
      </c>
      <c r="M16" s="297">
        <v>0</v>
      </c>
      <c r="O16" s="298">
        <v>0</v>
      </c>
      <c r="P16" s="298">
        <v>0</v>
      </c>
      <c r="Q16" s="298">
        <v>0</v>
      </c>
      <c r="R16" s="299">
        <v>0</v>
      </c>
      <c r="S16" s="283" t="s">
        <v>344</v>
      </c>
      <c r="T16" s="281"/>
      <c r="U16" s="281"/>
      <c r="V16" s="281"/>
      <c r="W16" s="281"/>
      <c r="X16" s="298">
        <v>79600.899999999994</v>
      </c>
      <c r="Y16" s="298">
        <v>0</v>
      </c>
      <c r="Z16" s="298">
        <v>-79600.899999999994</v>
      </c>
      <c r="AA16" s="299">
        <v>0</v>
      </c>
    </row>
    <row r="17" spans="1:27" hidden="1" x14ac:dyDescent="0.2">
      <c r="A17" s="296">
        <v>18050</v>
      </c>
      <c r="B17" s="296">
        <v>16247.92</v>
      </c>
      <c r="C17" s="296">
        <v>-1802.08</v>
      </c>
      <c r="D17" s="297">
        <v>-0.110911427431942</v>
      </c>
      <c r="E17" s="280" t="s">
        <v>348</v>
      </c>
      <c r="F17" s="278"/>
      <c r="G17" s="278"/>
      <c r="H17" s="278"/>
      <c r="I17" s="278"/>
      <c r="J17" s="296">
        <v>346656.82</v>
      </c>
      <c r="K17" s="296">
        <v>197683.04</v>
      </c>
      <c r="L17" s="296">
        <v>-148973.78</v>
      </c>
      <c r="M17" s="297">
        <v>-0.75359919596542002</v>
      </c>
      <c r="O17" s="298">
        <v>12533.75</v>
      </c>
      <c r="P17" s="298">
        <v>18356.95</v>
      </c>
      <c r="Q17" s="298">
        <v>5823.2</v>
      </c>
      <c r="R17" s="299">
        <v>0.31722045328880899</v>
      </c>
      <c r="S17" s="283" t="s">
        <v>348</v>
      </c>
      <c r="T17" s="281"/>
      <c r="U17" s="281"/>
      <c r="V17" s="281"/>
      <c r="W17" s="281"/>
      <c r="X17" s="298">
        <v>135236.25</v>
      </c>
      <c r="Y17" s="298">
        <v>143894.79999999999</v>
      </c>
      <c r="Z17" s="298">
        <v>8658.5499999999902</v>
      </c>
      <c r="AA17" s="299">
        <v>6.0172779002437803E-2</v>
      </c>
    </row>
    <row r="18" spans="1:27" hidden="1" x14ac:dyDescent="0.2">
      <c r="A18" s="300" t="s">
        <v>484</v>
      </c>
      <c r="B18" s="300" t="s">
        <v>484</v>
      </c>
      <c r="C18" s="300" t="s">
        <v>484</v>
      </c>
      <c r="D18" s="300" t="s">
        <v>484</v>
      </c>
      <c r="E18" s="280"/>
      <c r="F18" s="278"/>
      <c r="G18" s="278"/>
      <c r="H18" s="278"/>
      <c r="I18" s="278"/>
      <c r="J18" s="300" t="s">
        <v>484</v>
      </c>
      <c r="K18" s="300" t="s">
        <v>484</v>
      </c>
      <c r="L18" s="300" t="s">
        <v>484</v>
      </c>
      <c r="M18" s="300" t="s">
        <v>484</v>
      </c>
      <c r="O18" s="301" t="s">
        <v>484</v>
      </c>
      <c r="P18" s="301" t="s">
        <v>484</v>
      </c>
      <c r="Q18" s="301" t="s">
        <v>484</v>
      </c>
      <c r="R18" s="301" t="s">
        <v>484</v>
      </c>
      <c r="S18" s="283"/>
      <c r="T18" s="281"/>
      <c r="U18" s="281"/>
      <c r="V18" s="281"/>
      <c r="W18" s="281"/>
      <c r="X18" s="301" t="s">
        <v>484</v>
      </c>
      <c r="Y18" s="301" t="s">
        <v>484</v>
      </c>
      <c r="Z18" s="301" t="s">
        <v>484</v>
      </c>
      <c r="AA18" s="301" t="s">
        <v>484</v>
      </c>
    </row>
    <row r="19" spans="1:27" hidden="1" x14ac:dyDescent="0.2">
      <c r="A19" s="296">
        <v>45775.1</v>
      </c>
      <c r="B19" s="296">
        <v>16247.92</v>
      </c>
      <c r="C19" s="296">
        <v>-29527.18</v>
      </c>
      <c r="D19" s="297">
        <v>-1.81728984386925</v>
      </c>
      <c r="E19" s="280" t="s">
        <v>353</v>
      </c>
      <c r="F19" s="278"/>
      <c r="G19" s="278"/>
      <c r="H19" s="278"/>
      <c r="I19" s="278"/>
      <c r="J19" s="296">
        <v>402806.92</v>
      </c>
      <c r="K19" s="296">
        <v>197683.04</v>
      </c>
      <c r="L19" s="296">
        <v>-205123.88</v>
      </c>
      <c r="M19" s="297">
        <v>-1.0376402548240899</v>
      </c>
      <c r="O19" s="298">
        <v>12533.75</v>
      </c>
      <c r="P19" s="298">
        <v>18356.95</v>
      </c>
      <c r="Q19" s="298">
        <v>5823.2</v>
      </c>
      <c r="R19" s="299">
        <v>0.31722045328880899</v>
      </c>
      <c r="S19" s="283" t="s">
        <v>353</v>
      </c>
      <c r="T19" s="281"/>
      <c r="U19" s="281"/>
      <c r="V19" s="281"/>
      <c r="W19" s="281"/>
      <c r="X19" s="298">
        <v>214837.15</v>
      </c>
      <c r="Y19" s="298">
        <v>143894.79999999999</v>
      </c>
      <c r="Z19" s="298">
        <v>-70942.350000000006</v>
      </c>
      <c r="AA19" s="299">
        <v>-0.49301538346069501</v>
      </c>
    </row>
    <row r="20" spans="1:27" hidden="1" x14ac:dyDescent="0.2">
      <c r="A20" s="278"/>
      <c r="B20" s="278"/>
      <c r="C20" s="278"/>
      <c r="D20" s="279"/>
      <c r="E20" s="280"/>
      <c r="F20" s="278"/>
      <c r="G20" s="278"/>
      <c r="H20" s="278"/>
      <c r="I20" s="278"/>
      <c r="J20" s="278"/>
      <c r="K20" s="278"/>
      <c r="L20" s="278"/>
      <c r="M20" s="279"/>
      <c r="O20" s="281"/>
      <c r="P20" s="281"/>
      <c r="Q20" s="281"/>
      <c r="R20" s="282"/>
      <c r="S20" s="283"/>
      <c r="T20" s="281"/>
      <c r="U20" s="281"/>
      <c r="V20" s="281"/>
      <c r="W20" s="281"/>
      <c r="X20" s="281"/>
      <c r="Y20" s="281"/>
      <c r="Z20" s="281"/>
      <c r="AA20" s="282"/>
    </row>
    <row r="21" spans="1:27" hidden="1" x14ac:dyDescent="0.2">
      <c r="A21" s="278"/>
      <c r="B21" s="278"/>
      <c r="C21" s="278"/>
      <c r="D21" s="279"/>
      <c r="E21" s="280" t="s">
        <v>356</v>
      </c>
      <c r="F21" s="278"/>
      <c r="G21" s="278"/>
      <c r="H21" s="278"/>
      <c r="I21" s="278"/>
      <c r="J21" s="278"/>
      <c r="K21" s="278"/>
      <c r="L21" s="278"/>
      <c r="M21" s="279"/>
      <c r="O21" s="281"/>
      <c r="P21" s="281"/>
      <c r="Q21" s="281"/>
      <c r="R21" s="282"/>
      <c r="S21" s="283" t="s">
        <v>356</v>
      </c>
      <c r="T21" s="281"/>
      <c r="U21" s="281"/>
      <c r="V21" s="281"/>
      <c r="W21" s="281"/>
      <c r="X21" s="281"/>
      <c r="Y21" s="281"/>
      <c r="Z21" s="281"/>
      <c r="AA21" s="282"/>
    </row>
    <row r="22" spans="1:27" hidden="1" x14ac:dyDescent="0.2">
      <c r="A22" s="296">
        <v>15485.85</v>
      </c>
      <c r="B22" s="296">
        <v>18602.57</v>
      </c>
      <c r="C22" s="296">
        <v>3116.72</v>
      </c>
      <c r="D22" s="297">
        <v>0.16754244171638599</v>
      </c>
      <c r="E22" s="280" t="s">
        <v>559</v>
      </c>
      <c r="F22" s="278"/>
      <c r="G22" s="278"/>
      <c r="H22" s="278"/>
      <c r="I22" s="278"/>
      <c r="J22" s="296">
        <v>141558.12</v>
      </c>
      <c r="K22" s="296">
        <v>226331.3</v>
      </c>
      <c r="L22" s="296">
        <v>84773.18</v>
      </c>
      <c r="M22" s="297">
        <v>0.37455349746146499</v>
      </c>
      <c r="O22" s="298">
        <v>8113.47</v>
      </c>
      <c r="P22" s="298">
        <v>12753.25</v>
      </c>
      <c r="Q22" s="298">
        <v>4639.78</v>
      </c>
      <c r="R22" s="299">
        <v>0.36381157744104398</v>
      </c>
      <c r="S22" s="283" t="s">
        <v>559</v>
      </c>
      <c r="T22" s="281"/>
      <c r="U22" s="281"/>
      <c r="V22" s="281"/>
      <c r="W22" s="281"/>
      <c r="X22" s="298">
        <v>83964.27</v>
      </c>
      <c r="Y22" s="298">
        <v>99969.01</v>
      </c>
      <c r="Z22" s="298">
        <v>16004.74</v>
      </c>
      <c r="AA22" s="299">
        <v>0.16009701406465901</v>
      </c>
    </row>
    <row r="23" spans="1:27" hidden="1" x14ac:dyDescent="0.2">
      <c r="A23" s="296">
        <v>6419.61</v>
      </c>
      <c r="B23" s="296">
        <v>7117.74</v>
      </c>
      <c r="C23" s="296">
        <v>698.13</v>
      </c>
      <c r="D23" s="297">
        <v>9.8083099410767996E-2</v>
      </c>
      <c r="E23" s="280" t="s">
        <v>560</v>
      </c>
      <c r="F23" s="278"/>
      <c r="G23" s="278"/>
      <c r="H23" s="278"/>
      <c r="I23" s="278"/>
      <c r="J23" s="296">
        <v>39397.42</v>
      </c>
      <c r="K23" s="296">
        <v>86599.18</v>
      </c>
      <c r="L23" s="296">
        <v>47201.760000000002</v>
      </c>
      <c r="M23" s="297">
        <v>0.54506012643537705</v>
      </c>
      <c r="O23" s="298">
        <v>6319.3</v>
      </c>
      <c r="P23" s="298">
        <v>3103.06</v>
      </c>
      <c r="Q23" s="298">
        <v>-3216.24</v>
      </c>
      <c r="R23" s="299">
        <v>-1.0364736743730401</v>
      </c>
      <c r="S23" s="283" t="s">
        <v>560</v>
      </c>
      <c r="T23" s="281"/>
      <c r="U23" s="281"/>
      <c r="V23" s="281"/>
      <c r="W23" s="281"/>
      <c r="X23" s="298">
        <v>77217.83</v>
      </c>
      <c r="Y23" s="298">
        <v>24323.99</v>
      </c>
      <c r="Z23" s="298">
        <v>-52893.84</v>
      </c>
      <c r="AA23" s="299">
        <v>-2.1745544213757699</v>
      </c>
    </row>
    <row r="24" spans="1:27" hidden="1" x14ac:dyDescent="0.2">
      <c r="A24" s="296">
        <v>15075.15</v>
      </c>
      <c r="B24" s="296">
        <v>25258</v>
      </c>
      <c r="C24" s="296">
        <v>10182.85</v>
      </c>
      <c r="D24" s="297">
        <v>0.40315345633066801</v>
      </c>
      <c r="E24" s="280" t="s">
        <v>561</v>
      </c>
      <c r="F24" s="278"/>
      <c r="G24" s="278"/>
      <c r="H24" s="278"/>
      <c r="I24" s="278"/>
      <c r="J24" s="296">
        <v>122117.36</v>
      </c>
      <c r="K24" s="296">
        <v>307305.71999999997</v>
      </c>
      <c r="L24" s="296">
        <v>185188.36</v>
      </c>
      <c r="M24" s="297">
        <v>0.60261930692341203</v>
      </c>
      <c r="O24" s="298">
        <v>28120.21</v>
      </c>
      <c r="P24" s="298">
        <v>12206.22</v>
      </c>
      <c r="Q24" s="298">
        <v>-15913.99</v>
      </c>
      <c r="R24" s="299">
        <v>-1.30376070560747</v>
      </c>
      <c r="S24" s="283" t="s">
        <v>561</v>
      </c>
      <c r="T24" s="281"/>
      <c r="U24" s="281"/>
      <c r="V24" s="281"/>
      <c r="W24" s="281"/>
      <c r="X24" s="298">
        <v>178285.1</v>
      </c>
      <c r="Y24" s="298">
        <v>95681.01</v>
      </c>
      <c r="Z24" s="298">
        <v>-82604.09</v>
      </c>
      <c r="AA24" s="299">
        <v>-0.86332794772964905</v>
      </c>
    </row>
    <row r="25" spans="1:27" hidden="1" x14ac:dyDescent="0.2">
      <c r="A25" s="296">
        <v>0</v>
      </c>
      <c r="B25" s="296">
        <v>0</v>
      </c>
      <c r="C25" s="296">
        <v>0</v>
      </c>
      <c r="D25" s="297">
        <v>0</v>
      </c>
      <c r="E25" s="280" t="s">
        <v>562</v>
      </c>
      <c r="F25" s="278"/>
      <c r="G25" s="278"/>
      <c r="H25" s="278"/>
      <c r="I25" s="278"/>
      <c r="J25" s="296">
        <v>3778.87</v>
      </c>
      <c r="K25" s="296">
        <v>0</v>
      </c>
      <c r="L25" s="296">
        <v>-3778.87</v>
      </c>
      <c r="M25" s="297">
        <v>0</v>
      </c>
      <c r="O25" s="298">
        <v>30.66</v>
      </c>
      <c r="P25" s="298">
        <v>372.71</v>
      </c>
      <c r="Q25" s="298">
        <v>342.05</v>
      </c>
      <c r="R25" s="299">
        <v>0.91773765125701001</v>
      </c>
      <c r="S25" s="283" t="s">
        <v>562</v>
      </c>
      <c r="T25" s="281"/>
      <c r="U25" s="281"/>
      <c r="V25" s="281"/>
      <c r="W25" s="281"/>
      <c r="X25" s="298">
        <v>61.32</v>
      </c>
      <c r="Y25" s="298">
        <v>2921.55</v>
      </c>
      <c r="Z25" s="298">
        <v>2860.23</v>
      </c>
      <c r="AA25" s="299">
        <v>0.97901114134620304</v>
      </c>
    </row>
    <row r="26" spans="1:27" hidden="1" x14ac:dyDescent="0.2">
      <c r="A26" s="296">
        <v>85.55</v>
      </c>
      <c r="B26" s="296">
        <v>0</v>
      </c>
      <c r="C26" s="296">
        <v>-85.55</v>
      </c>
      <c r="D26" s="297">
        <v>0</v>
      </c>
      <c r="E26" s="280" t="s">
        <v>563</v>
      </c>
      <c r="F26" s="278"/>
      <c r="G26" s="278"/>
      <c r="H26" s="278"/>
      <c r="I26" s="278"/>
      <c r="J26" s="296">
        <v>4766.51</v>
      </c>
      <c r="K26" s="296">
        <v>0</v>
      </c>
      <c r="L26" s="296">
        <v>-4766.51</v>
      </c>
      <c r="M26" s="297">
        <v>0</v>
      </c>
      <c r="O26" s="298">
        <v>199.71</v>
      </c>
      <c r="P26" s="298">
        <v>697.73</v>
      </c>
      <c r="Q26" s="298">
        <v>498.02</v>
      </c>
      <c r="R26" s="299">
        <v>0.71377180284637298</v>
      </c>
      <c r="S26" s="283" t="s">
        <v>563</v>
      </c>
      <c r="T26" s="281"/>
      <c r="U26" s="281"/>
      <c r="V26" s="281"/>
      <c r="W26" s="281"/>
      <c r="X26" s="298">
        <v>1642.24</v>
      </c>
      <c r="Y26" s="298">
        <v>5469.3</v>
      </c>
      <c r="Z26" s="298">
        <v>3827.06</v>
      </c>
      <c r="AA26" s="299">
        <v>0.69973488380597104</v>
      </c>
    </row>
    <row r="27" spans="1:27" hidden="1" x14ac:dyDescent="0.2">
      <c r="A27" s="296">
        <v>-5713.93</v>
      </c>
      <c r="B27" s="296">
        <v>-8370.06</v>
      </c>
      <c r="C27" s="296">
        <v>-2656.13</v>
      </c>
      <c r="D27" s="297">
        <v>0.31733703223154902</v>
      </c>
      <c r="E27" s="280" t="s">
        <v>368</v>
      </c>
      <c r="F27" s="278"/>
      <c r="G27" s="278"/>
      <c r="H27" s="278"/>
      <c r="I27" s="278"/>
      <c r="J27" s="296">
        <v>-63812.39</v>
      </c>
      <c r="K27" s="296">
        <v>-101835.71</v>
      </c>
      <c r="L27" s="296">
        <v>-38023.32</v>
      </c>
      <c r="M27" s="297">
        <v>0.37337904355947399</v>
      </c>
      <c r="O27" s="298">
        <v>-1828.48</v>
      </c>
      <c r="P27" s="298">
        <v>-6166.81</v>
      </c>
      <c r="Q27" s="298">
        <v>-4338.33</v>
      </c>
      <c r="R27" s="299">
        <v>0.70349662142988001</v>
      </c>
      <c r="S27" s="283" t="s">
        <v>368</v>
      </c>
      <c r="T27" s="281"/>
      <c r="U27" s="281"/>
      <c r="V27" s="281"/>
      <c r="W27" s="281"/>
      <c r="X27" s="298">
        <v>-44746.83</v>
      </c>
      <c r="Y27" s="298">
        <v>-48339.83</v>
      </c>
      <c r="Z27" s="298">
        <v>-3593</v>
      </c>
      <c r="AA27" s="299">
        <v>7.4327940334088904E-2</v>
      </c>
    </row>
    <row r="28" spans="1:27" hidden="1" x14ac:dyDescent="0.2">
      <c r="A28" s="300" t="s">
        <v>484</v>
      </c>
      <c r="B28" s="300" t="s">
        <v>484</v>
      </c>
      <c r="C28" s="300" t="s">
        <v>484</v>
      </c>
      <c r="D28" s="300" t="s">
        <v>484</v>
      </c>
      <c r="E28" s="280"/>
      <c r="F28" s="278"/>
      <c r="G28" s="278"/>
      <c r="H28" s="278"/>
      <c r="I28" s="278"/>
      <c r="J28" s="300" t="s">
        <v>484</v>
      </c>
      <c r="K28" s="300" t="s">
        <v>484</v>
      </c>
      <c r="L28" s="300" t="s">
        <v>484</v>
      </c>
      <c r="M28" s="300" t="s">
        <v>484</v>
      </c>
      <c r="O28" s="301" t="s">
        <v>484</v>
      </c>
      <c r="P28" s="301" t="s">
        <v>484</v>
      </c>
      <c r="Q28" s="301" t="s">
        <v>484</v>
      </c>
      <c r="R28" s="301" t="s">
        <v>484</v>
      </c>
      <c r="S28" s="283"/>
      <c r="T28" s="281"/>
      <c r="U28" s="281"/>
      <c r="V28" s="281"/>
      <c r="W28" s="281"/>
      <c r="X28" s="301" t="s">
        <v>484</v>
      </c>
      <c r="Y28" s="301" t="s">
        <v>484</v>
      </c>
      <c r="Z28" s="301" t="s">
        <v>484</v>
      </c>
      <c r="AA28" s="301" t="s">
        <v>484</v>
      </c>
    </row>
    <row r="29" spans="1:27" hidden="1" x14ac:dyDescent="0.2">
      <c r="A29" s="296">
        <v>31352.23</v>
      </c>
      <c r="B29" s="296">
        <v>42608.25</v>
      </c>
      <c r="C29" s="296">
        <v>11256.02</v>
      </c>
      <c r="D29" s="297">
        <v>0.26417466101048498</v>
      </c>
      <c r="E29" s="280" t="s">
        <v>371</v>
      </c>
      <c r="F29" s="278"/>
      <c r="G29" s="278"/>
      <c r="H29" s="278"/>
      <c r="I29" s="278"/>
      <c r="J29" s="296">
        <v>247805.89</v>
      </c>
      <c r="K29" s="296">
        <v>518400.49</v>
      </c>
      <c r="L29" s="296">
        <v>270594.59999999998</v>
      </c>
      <c r="M29" s="297">
        <v>0.52197983069036102</v>
      </c>
      <c r="O29" s="298">
        <v>40954.870000000003</v>
      </c>
      <c r="P29" s="298">
        <v>22966.16</v>
      </c>
      <c r="Q29" s="298">
        <v>-17988.71</v>
      </c>
      <c r="R29" s="299">
        <v>-0.78327025501868797</v>
      </c>
      <c r="S29" s="283" t="s">
        <v>371</v>
      </c>
      <c r="T29" s="281"/>
      <c r="U29" s="281"/>
      <c r="V29" s="281"/>
      <c r="W29" s="281"/>
      <c r="X29" s="298">
        <v>296423.93</v>
      </c>
      <c r="Y29" s="298">
        <v>180025.03</v>
      </c>
      <c r="Z29" s="298">
        <v>-116398.9</v>
      </c>
      <c r="AA29" s="299">
        <v>-0.64657064631512595</v>
      </c>
    </row>
    <row r="30" spans="1:27" hidden="1" x14ac:dyDescent="0.2">
      <c r="A30" s="278"/>
      <c r="B30" s="278"/>
      <c r="C30" s="278"/>
      <c r="D30" s="279"/>
      <c r="E30" s="280"/>
      <c r="F30" s="278"/>
      <c r="G30" s="278"/>
      <c r="H30" s="278"/>
      <c r="I30" s="278"/>
      <c r="J30" s="278"/>
      <c r="K30" s="278"/>
      <c r="L30" s="278"/>
      <c r="M30" s="279"/>
      <c r="O30" s="281"/>
      <c r="P30" s="281"/>
      <c r="Q30" s="281"/>
      <c r="R30" s="282"/>
      <c r="S30" s="283"/>
      <c r="T30" s="281"/>
      <c r="U30" s="281"/>
      <c r="V30" s="281"/>
      <c r="W30" s="281"/>
      <c r="X30" s="281"/>
      <c r="Y30" s="281"/>
      <c r="Z30" s="281"/>
      <c r="AA30" s="282"/>
    </row>
    <row r="31" spans="1:27" hidden="1" x14ac:dyDescent="0.2">
      <c r="A31" s="278"/>
      <c r="B31" s="278"/>
      <c r="C31" s="278"/>
      <c r="D31" s="279"/>
      <c r="E31" s="280" t="s">
        <v>46</v>
      </c>
      <c r="F31" s="278"/>
      <c r="G31" s="278"/>
      <c r="H31" s="278"/>
      <c r="I31" s="278"/>
      <c r="J31" s="278"/>
      <c r="K31" s="278"/>
      <c r="L31" s="278"/>
      <c r="M31" s="279"/>
      <c r="O31" s="281"/>
      <c r="P31" s="281"/>
      <c r="Q31" s="281"/>
      <c r="R31" s="282"/>
      <c r="S31" s="283" t="s">
        <v>46</v>
      </c>
      <c r="T31" s="281"/>
      <c r="U31" s="281"/>
      <c r="V31" s="281"/>
      <c r="W31" s="281"/>
      <c r="X31" s="281"/>
      <c r="Y31" s="281"/>
      <c r="Z31" s="281"/>
      <c r="AA31" s="282"/>
    </row>
    <row r="32" spans="1:27" hidden="1" x14ac:dyDescent="0.2">
      <c r="A32" s="296">
        <v>2900</v>
      </c>
      <c r="B32" s="296">
        <v>2673.65</v>
      </c>
      <c r="C32" s="296">
        <v>-226.35</v>
      </c>
      <c r="D32" s="297">
        <v>-8.4659547809174701E-2</v>
      </c>
      <c r="E32" s="280" t="s">
        <v>7</v>
      </c>
      <c r="F32" s="278"/>
      <c r="G32" s="278"/>
      <c r="H32" s="278"/>
      <c r="I32" s="278"/>
      <c r="J32" s="296">
        <v>26485</v>
      </c>
      <c r="K32" s="296">
        <v>32529.39</v>
      </c>
      <c r="L32" s="296">
        <v>6044.39</v>
      </c>
      <c r="M32" s="297">
        <v>0.18581319846452701</v>
      </c>
      <c r="O32" s="298">
        <v>2730</v>
      </c>
      <c r="P32" s="298">
        <v>2596.27</v>
      </c>
      <c r="Q32" s="298">
        <v>-133.72999999999999</v>
      </c>
      <c r="R32" s="299">
        <v>-5.1508510285910199E-2</v>
      </c>
      <c r="S32" s="283" t="s">
        <v>7</v>
      </c>
      <c r="T32" s="281"/>
      <c r="U32" s="281"/>
      <c r="V32" s="281"/>
      <c r="W32" s="281"/>
      <c r="X32" s="298">
        <v>23172</v>
      </c>
      <c r="Y32" s="298">
        <v>20351.41</v>
      </c>
      <c r="Z32" s="298">
        <v>-2820.59</v>
      </c>
      <c r="AA32" s="299">
        <v>-0.13859432835366201</v>
      </c>
    </row>
    <row r="33" spans="1:32" hidden="1" x14ac:dyDescent="0.2">
      <c r="A33" s="296">
        <v>1873.81</v>
      </c>
      <c r="B33" s="296">
        <v>2159.23</v>
      </c>
      <c r="C33" s="296">
        <v>285.42</v>
      </c>
      <c r="D33" s="297">
        <v>0.13218601075383399</v>
      </c>
      <c r="E33" s="280" t="s">
        <v>375</v>
      </c>
      <c r="F33" s="278"/>
      <c r="G33" s="278"/>
      <c r="H33" s="278"/>
      <c r="I33" s="278"/>
      <c r="J33" s="296">
        <v>21841.24</v>
      </c>
      <c r="K33" s="296">
        <v>26270.6</v>
      </c>
      <c r="L33" s="296">
        <v>4429.3599999999997</v>
      </c>
      <c r="M33" s="297">
        <v>0.16860520886466199</v>
      </c>
      <c r="O33" s="298">
        <v>1721.93</v>
      </c>
      <c r="P33" s="298">
        <v>2194.69</v>
      </c>
      <c r="Q33" s="298">
        <v>472.76</v>
      </c>
      <c r="R33" s="299">
        <v>0.21541083250937501</v>
      </c>
      <c r="S33" s="283" t="s">
        <v>375</v>
      </c>
      <c r="T33" s="281"/>
      <c r="U33" s="281"/>
      <c r="V33" s="281"/>
      <c r="W33" s="281"/>
      <c r="X33" s="298">
        <v>21956.75</v>
      </c>
      <c r="Y33" s="298">
        <v>17203.55</v>
      </c>
      <c r="Z33" s="298">
        <v>-4753.2</v>
      </c>
      <c r="AA33" s="299">
        <v>-0.27629181186441198</v>
      </c>
    </row>
    <row r="34" spans="1:32" hidden="1" x14ac:dyDescent="0.2">
      <c r="A34" s="300" t="s">
        <v>484</v>
      </c>
      <c r="B34" s="300" t="s">
        <v>484</v>
      </c>
      <c r="C34" s="300" t="s">
        <v>484</v>
      </c>
      <c r="D34" s="300" t="s">
        <v>484</v>
      </c>
      <c r="E34" s="280"/>
      <c r="F34" s="278"/>
      <c r="G34" s="278"/>
      <c r="H34" s="278"/>
      <c r="I34" s="278"/>
      <c r="J34" s="300" t="s">
        <v>484</v>
      </c>
      <c r="K34" s="300" t="s">
        <v>484</v>
      </c>
      <c r="L34" s="300" t="s">
        <v>484</v>
      </c>
      <c r="M34" s="300" t="s">
        <v>484</v>
      </c>
      <c r="O34" s="301" t="s">
        <v>484</v>
      </c>
      <c r="P34" s="301" t="s">
        <v>484</v>
      </c>
      <c r="Q34" s="301" t="s">
        <v>484</v>
      </c>
      <c r="R34" s="301" t="s">
        <v>484</v>
      </c>
      <c r="S34" s="283"/>
      <c r="T34" s="281"/>
      <c r="U34" s="281"/>
      <c r="V34" s="281"/>
      <c r="W34" s="281"/>
      <c r="X34" s="301" t="s">
        <v>484</v>
      </c>
      <c r="Y34" s="301" t="s">
        <v>484</v>
      </c>
      <c r="Z34" s="301" t="s">
        <v>484</v>
      </c>
      <c r="AA34" s="301" t="s">
        <v>484</v>
      </c>
    </row>
    <row r="35" spans="1:32" hidden="1" x14ac:dyDescent="0.2">
      <c r="A35" s="296">
        <v>4773.8100000000004</v>
      </c>
      <c r="B35" s="296">
        <v>4832.88</v>
      </c>
      <c r="C35" s="296">
        <v>59.069999999999702</v>
      </c>
      <c r="D35" s="297">
        <v>1.2222525698962001E-2</v>
      </c>
      <c r="E35" s="280" t="s">
        <v>379</v>
      </c>
      <c r="F35" s="278"/>
      <c r="G35" s="278"/>
      <c r="H35" s="278"/>
      <c r="I35" s="278"/>
      <c r="J35" s="296">
        <v>48326.239999999998</v>
      </c>
      <c r="K35" s="296">
        <v>58799.99</v>
      </c>
      <c r="L35" s="296">
        <v>10473.75</v>
      </c>
      <c r="M35" s="297">
        <v>0.17812503029337301</v>
      </c>
      <c r="O35" s="298">
        <v>4451.93</v>
      </c>
      <c r="P35" s="298">
        <v>4790.96</v>
      </c>
      <c r="Q35" s="298">
        <v>339.03</v>
      </c>
      <c r="R35" s="299">
        <v>7.0764523185332398E-2</v>
      </c>
      <c r="S35" s="283" t="s">
        <v>379</v>
      </c>
      <c r="T35" s="281"/>
      <c r="U35" s="281"/>
      <c r="V35" s="281"/>
      <c r="W35" s="281"/>
      <c r="X35" s="298">
        <v>45128.75</v>
      </c>
      <c r="Y35" s="298">
        <v>37554.959999999999</v>
      </c>
      <c r="Z35" s="298">
        <v>-7573.79</v>
      </c>
      <c r="AA35" s="299">
        <v>-0.20167216261180901</v>
      </c>
    </row>
    <row r="36" spans="1:32" hidden="1" x14ac:dyDescent="0.2">
      <c r="A36" s="278"/>
      <c r="B36" s="278"/>
      <c r="C36" s="278"/>
      <c r="D36" s="279"/>
      <c r="E36" s="280"/>
      <c r="F36" s="278"/>
      <c r="G36" s="278"/>
      <c r="H36" s="278"/>
      <c r="I36" s="278"/>
      <c r="J36" s="278"/>
      <c r="K36" s="278"/>
      <c r="L36" s="278"/>
      <c r="M36" s="279"/>
      <c r="O36" s="281"/>
      <c r="P36" s="281"/>
      <c r="Q36" s="281"/>
      <c r="R36" s="282"/>
      <c r="S36" s="283"/>
      <c r="T36" s="281"/>
      <c r="U36" s="281"/>
      <c r="V36" s="281"/>
      <c r="W36" s="281"/>
      <c r="X36" s="281"/>
      <c r="Y36" s="281"/>
      <c r="Z36" s="281"/>
      <c r="AA36" s="282"/>
    </row>
    <row r="37" spans="1:32" hidden="1" x14ac:dyDescent="0.2">
      <c r="A37" s="278"/>
      <c r="B37" s="278"/>
      <c r="C37" s="278"/>
      <c r="D37" s="279"/>
      <c r="E37" s="280" t="s">
        <v>382</v>
      </c>
      <c r="F37" s="278"/>
      <c r="G37" s="278"/>
      <c r="H37" s="278"/>
      <c r="I37" s="278"/>
      <c r="J37" s="278"/>
      <c r="K37" s="278"/>
      <c r="L37" s="278"/>
      <c r="M37" s="279"/>
      <c r="O37" s="281"/>
      <c r="P37" s="281"/>
      <c r="Q37" s="281"/>
      <c r="R37" s="282"/>
      <c r="S37" s="283" t="s">
        <v>382</v>
      </c>
      <c r="T37" s="281"/>
      <c r="U37" s="281"/>
      <c r="V37" s="281"/>
      <c r="W37" s="281"/>
      <c r="X37" s="281"/>
      <c r="Y37" s="281"/>
      <c r="Z37" s="281"/>
      <c r="AA37" s="282"/>
    </row>
    <row r="38" spans="1:32" hidden="1" x14ac:dyDescent="0.2">
      <c r="A38" s="296">
        <v>633.29999999999995</v>
      </c>
      <c r="B38" s="296">
        <v>344.45</v>
      </c>
      <c r="C38" s="296">
        <v>-288.85000000000002</v>
      </c>
      <c r="D38" s="297">
        <v>-0.83858324865727996</v>
      </c>
      <c r="E38" s="280" t="s">
        <v>110</v>
      </c>
      <c r="F38" s="278"/>
      <c r="G38" s="278"/>
      <c r="H38" s="278"/>
      <c r="I38" s="278"/>
      <c r="J38" s="296">
        <v>6603.49</v>
      </c>
      <c r="K38" s="296">
        <v>4190.79</v>
      </c>
      <c r="L38" s="296">
        <v>-2412.6999999999998</v>
      </c>
      <c r="M38" s="297">
        <v>-0.57571484135449402</v>
      </c>
      <c r="O38" s="298">
        <v>563.97</v>
      </c>
      <c r="P38" s="298">
        <v>474.19</v>
      </c>
      <c r="Q38" s="298">
        <v>-89.78</v>
      </c>
      <c r="R38" s="299">
        <v>-0.18933338956958201</v>
      </c>
      <c r="S38" s="283" t="s">
        <v>110</v>
      </c>
      <c r="T38" s="281"/>
      <c r="U38" s="281"/>
      <c r="V38" s="281"/>
      <c r="W38" s="281"/>
      <c r="X38" s="298">
        <v>2944.96</v>
      </c>
      <c r="Y38" s="298">
        <v>3717.03</v>
      </c>
      <c r="Z38" s="298">
        <v>772.07</v>
      </c>
      <c r="AA38" s="299">
        <v>0.20771153313263499</v>
      </c>
    </row>
    <row r="39" spans="1:32" hidden="1" x14ac:dyDescent="0.2">
      <c r="A39" s="296">
        <v>8464.2999999999993</v>
      </c>
      <c r="B39" s="296">
        <v>5390.57</v>
      </c>
      <c r="C39" s="296">
        <v>-3073.73</v>
      </c>
      <c r="D39" s="297">
        <v>-0.57020500614962799</v>
      </c>
      <c r="E39" s="280" t="s">
        <v>111</v>
      </c>
      <c r="F39" s="278"/>
      <c r="G39" s="278"/>
      <c r="H39" s="278"/>
      <c r="I39" s="278"/>
      <c r="J39" s="296">
        <v>65192.71</v>
      </c>
      <c r="K39" s="296">
        <v>65585.22</v>
      </c>
      <c r="L39" s="296">
        <v>392.51000000000198</v>
      </c>
      <c r="M39" s="297">
        <v>5.9847325357756196E-3</v>
      </c>
      <c r="O39" s="298">
        <f>5749.22+348.79</f>
        <v>6098.01</v>
      </c>
      <c r="P39" s="298">
        <v>5383.74</v>
      </c>
      <c r="Q39" s="298">
        <f>P39-O39</f>
        <v>-714.27000000000044</v>
      </c>
      <c r="R39" s="299">
        <f>Q39/P39</f>
        <v>-0.13267171148681037</v>
      </c>
      <c r="S39" s="283" t="s">
        <v>111</v>
      </c>
      <c r="T39" s="281"/>
      <c r="U39" s="281"/>
      <c r="V39" s="281"/>
      <c r="W39" s="281"/>
      <c r="X39" s="298">
        <v>40959.42</v>
      </c>
      <c r="Y39" s="298">
        <v>42201.57</v>
      </c>
      <c r="Z39" s="298">
        <v>1242.1500000000001</v>
      </c>
      <c r="AA39" s="299">
        <v>2.9433739076532E-2</v>
      </c>
    </row>
    <row r="40" spans="1:32" hidden="1" x14ac:dyDescent="0.2">
      <c r="A40" s="300" t="s">
        <v>484</v>
      </c>
      <c r="B40" s="300" t="s">
        <v>484</v>
      </c>
      <c r="C40" s="300" t="s">
        <v>484</v>
      </c>
      <c r="D40" s="300" t="s">
        <v>484</v>
      </c>
      <c r="E40" s="280"/>
      <c r="F40" s="278"/>
      <c r="G40" s="278"/>
      <c r="H40" s="278"/>
      <c r="I40" s="278"/>
      <c r="J40" s="300" t="s">
        <v>484</v>
      </c>
      <c r="K40" s="300" t="s">
        <v>484</v>
      </c>
      <c r="L40" s="300" t="s">
        <v>484</v>
      </c>
      <c r="M40" s="300" t="s">
        <v>484</v>
      </c>
      <c r="O40" s="301" t="s">
        <v>484</v>
      </c>
      <c r="P40" s="301" t="s">
        <v>484</v>
      </c>
      <c r="Q40" s="301" t="s">
        <v>484</v>
      </c>
      <c r="R40" s="301" t="s">
        <v>484</v>
      </c>
      <c r="S40" s="283"/>
      <c r="T40" s="281"/>
      <c r="U40" s="281"/>
      <c r="V40" s="281"/>
      <c r="W40" s="281"/>
      <c r="X40" s="301" t="s">
        <v>484</v>
      </c>
      <c r="Y40" s="301" t="s">
        <v>484</v>
      </c>
      <c r="Z40" s="301" t="s">
        <v>484</v>
      </c>
      <c r="AA40" s="301" t="s">
        <v>484</v>
      </c>
    </row>
    <row r="41" spans="1:32" hidden="1" x14ac:dyDescent="0.2">
      <c r="A41" s="296">
        <v>9097.6</v>
      </c>
      <c r="B41" s="296">
        <v>5735.02</v>
      </c>
      <c r="C41" s="296">
        <v>-3362.58</v>
      </c>
      <c r="D41" s="297">
        <v>-0.586324023281523</v>
      </c>
      <c r="E41" s="280" t="s">
        <v>391</v>
      </c>
      <c r="F41" s="278"/>
      <c r="G41" s="278"/>
      <c r="H41" s="278"/>
      <c r="I41" s="278"/>
      <c r="J41" s="296">
        <v>71796.2</v>
      </c>
      <c r="K41" s="296">
        <v>69776.009999999995</v>
      </c>
      <c r="L41" s="296">
        <v>-2020.19</v>
      </c>
      <c r="M41" s="297">
        <v>-2.89525010100176E-2</v>
      </c>
      <c r="O41" s="298">
        <f>O38+O39</f>
        <v>6661.9800000000005</v>
      </c>
      <c r="P41" s="298">
        <v>5857.93</v>
      </c>
      <c r="Q41" s="298">
        <f>P41-O41</f>
        <v>-804.05000000000018</v>
      </c>
      <c r="R41" s="299">
        <f>Q41/P41</f>
        <v>-0.13725838308071284</v>
      </c>
      <c r="S41" s="283" t="s">
        <v>391</v>
      </c>
      <c r="T41" s="281"/>
      <c r="U41" s="281"/>
      <c r="V41" s="281"/>
      <c r="W41" s="281"/>
      <c r="X41" s="298">
        <v>43904.38</v>
      </c>
      <c r="Y41" s="298">
        <v>45918.6</v>
      </c>
      <c r="Z41" s="298">
        <v>2014.22</v>
      </c>
      <c r="AA41" s="299">
        <v>4.3865013306154797E-2</v>
      </c>
    </row>
    <row r="42" spans="1:32" hidden="1" x14ac:dyDescent="0.2">
      <c r="A42" s="278"/>
      <c r="B42" s="278"/>
      <c r="C42" s="278"/>
      <c r="D42" s="279"/>
      <c r="E42" s="280"/>
      <c r="F42" s="278"/>
      <c r="G42" s="278"/>
      <c r="H42" s="278"/>
      <c r="I42" s="278"/>
      <c r="J42" s="278"/>
      <c r="K42" s="278"/>
      <c r="L42" s="278"/>
      <c r="M42" s="279"/>
      <c r="O42" s="281"/>
      <c r="P42" s="281"/>
      <c r="Q42" s="281"/>
      <c r="R42" s="282"/>
      <c r="S42" s="283"/>
      <c r="T42" s="281"/>
      <c r="U42" s="281"/>
      <c r="V42" s="281"/>
      <c r="W42" s="281"/>
      <c r="X42" s="281"/>
      <c r="Y42" s="281"/>
      <c r="Z42" s="281"/>
      <c r="AA42" s="282"/>
    </row>
    <row r="43" spans="1:32" hidden="1" x14ac:dyDescent="0.2">
      <c r="A43" s="296">
        <v>90998.74</v>
      </c>
      <c r="B43" s="296">
        <v>69424.070000000007</v>
      </c>
      <c r="C43" s="296">
        <v>-21574.67</v>
      </c>
      <c r="D43" s="297">
        <v>-0.31076642438278201</v>
      </c>
      <c r="E43" s="280" t="s">
        <v>393</v>
      </c>
      <c r="F43" s="278"/>
      <c r="G43" s="278"/>
      <c r="H43" s="278"/>
      <c r="I43" s="278"/>
      <c r="J43" s="296">
        <v>770735.25</v>
      </c>
      <c r="K43" s="296">
        <v>844659.53</v>
      </c>
      <c r="L43" s="296">
        <v>73924.28</v>
      </c>
      <c r="M43" s="297">
        <v>8.7519618703644997E-2</v>
      </c>
      <c r="O43" s="298">
        <f>O19+O29+O35+O41</f>
        <v>64602.530000000006</v>
      </c>
      <c r="P43" s="298">
        <v>51972</v>
      </c>
      <c r="Q43" s="298">
        <f>P43-O43</f>
        <v>-12630.530000000006</v>
      </c>
      <c r="R43" s="299">
        <f>Q43/P43</f>
        <v>-0.24302566766720554</v>
      </c>
      <c r="S43" s="283" t="s">
        <v>393</v>
      </c>
      <c r="T43" s="281"/>
      <c r="U43" s="281"/>
      <c r="V43" s="281"/>
      <c r="W43" s="281"/>
      <c r="X43" s="298">
        <v>600294.21</v>
      </c>
      <c r="Y43" s="298">
        <v>407393.39</v>
      </c>
      <c r="Z43" s="298">
        <v>-192900.82</v>
      </c>
      <c r="AA43" s="299">
        <v>-0.47350012232648198</v>
      </c>
    </row>
    <row r="44" spans="1:32" x14ac:dyDescent="0.2">
      <c r="A44" s="278"/>
      <c r="B44" s="278"/>
      <c r="C44" s="278"/>
      <c r="D44" s="279"/>
      <c r="E44" s="280"/>
      <c r="F44" s="278"/>
      <c r="G44" s="278"/>
      <c r="H44" s="278"/>
      <c r="I44" s="278"/>
      <c r="J44" s="278"/>
      <c r="K44" s="278"/>
      <c r="L44" s="278"/>
      <c r="M44" s="279"/>
      <c r="O44" s="281"/>
      <c r="P44" s="281"/>
      <c r="Q44" s="281"/>
      <c r="R44" s="282"/>
      <c r="S44" s="283"/>
      <c r="T44" s="281"/>
      <c r="U44" s="281"/>
      <c r="V44" s="281"/>
      <c r="W44" s="281"/>
      <c r="X44" s="281"/>
      <c r="Y44" s="281"/>
      <c r="Z44" s="281"/>
      <c r="AA44" s="282"/>
      <c r="AF44" s="339" t="s">
        <v>604</v>
      </c>
    </row>
    <row r="45" spans="1:32" x14ac:dyDescent="0.2">
      <c r="A45" s="278"/>
      <c r="B45" s="278"/>
      <c r="C45" s="278"/>
      <c r="D45" s="279"/>
      <c r="E45" s="280" t="s">
        <v>394</v>
      </c>
      <c r="F45" s="278"/>
      <c r="G45" s="278"/>
      <c r="H45" s="278"/>
      <c r="I45" s="278"/>
      <c r="J45" s="278"/>
      <c r="K45" s="278"/>
      <c r="L45" s="278"/>
      <c r="M45" s="279"/>
      <c r="O45" s="281"/>
      <c r="P45" s="281"/>
      <c r="Q45" s="281"/>
      <c r="R45" s="282"/>
      <c r="S45" s="283" t="s">
        <v>394</v>
      </c>
      <c r="T45" s="281"/>
      <c r="U45" s="281"/>
      <c r="V45" s="281"/>
      <c r="W45" s="281"/>
      <c r="X45" s="281"/>
      <c r="Y45" s="281"/>
      <c r="Z45" s="281"/>
      <c r="AA45" s="282"/>
      <c r="AF45" s="340">
        <v>143000</v>
      </c>
    </row>
    <row r="46" spans="1:32" x14ac:dyDescent="0.2">
      <c r="A46" s="278"/>
      <c r="B46" s="278"/>
      <c r="C46" s="278"/>
      <c r="D46" s="279"/>
      <c r="E46" s="280" t="s">
        <v>395</v>
      </c>
      <c r="F46" s="278"/>
      <c r="G46" s="278"/>
      <c r="H46" s="278"/>
      <c r="I46" s="278"/>
      <c r="J46" s="278"/>
      <c r="K46" s="278"/>
      <c r="L46" s="278"/>
      <c r="M46" s="279"/>
      <c r="O46" s="281"/>
      <c r="P46" s="281"/>
      <c r="Q46" s="281"/>
      <c r="R46" s="282"/>
      <c r="S46" s="283" t="s">
        <v>395</v>
      </c>
      <c r="T46" s="281"/>
      <c r="U46" s="281"/>
      <c r="V46" s="281"/>
      <c r="W46" s="281"/>
      <c r="X46" s="281"/>
      <c r="Y46" s="281"/>
      <c r="Z46" s="281"/>
      <c r="AA46" s="282"/>
      <c r="AC46" s="302" t="s">
        <v>564</v>
      </c>
      <c r="AD46" s="302" t="s">
        <v>565</v>
      </c>
      <c r="AE46" s="302" t="s">
        <v>566</v>
      </c>
      <c r="AF46" s="302" t="s">
        <v>603</v>
      </c>
    </row>
    <row r="47" spans="1:32" x14ac:dyDescent="0.2">
      <c r="A47" s="296">
        <v>121286.3</v>
      </c>
      <c r="B47" s="296">
        <v>103153.19</v>
      </c>
      <c r="C47" s="296">
        <v>-18133.11</v>
      </c>
      <c r="D47" s="297">
        <v>-0.175788165155145</v>
      </c>
      <c r="E47" s="280" t="s">
        <v>396</v>
      </c>
      <c r="F47" s="278"/>
      <c r="G47" s="278"/>
      <c r="H47" s="278"/>
      <c r="I47" s="278"/>
      <c r="J47" s="296">
        <f>157938+67</f>
        <v>158005</v>
      </c>
      <c r="K47" s="296">
        <v>135573</v>
      </c>
      <c r="L47" s="296">
        <f>K47-J47</f>
        <v>-22432</v>
      </c>
      <c r="M47" s="297">
        <f>L47/K47</f>
        <v>-0.16546067432305842</v>
      </c>
      <c r="O47" s="298">
        <v>61693.45</v>
      </c>
      <c r="P47" s="298">
        <v>81276.97</v>
      </c>
      <c r="Q47" s="298">
        <v>19583.52</v>
      </c>
      <c r="R47" s="299">
        <v>0.24094795856686099</v>
      </c>
      <c r="S47" s="283" t="s">
        <v>396</v>
      </c>
      <c r="T47" s="281"/>
      <c r="U47" s="281"/>
      <c r="V47" s="281"/>
      <c r="W47" s="281"/>
      <c r="X47" s="298">
        <f>282445-11784</f>
        <v>270661</v>
      </c>
      <c r="Y47" s="298">
        <v>137248</v>
      </c>
      <c r="Z47" s="298">
        <f>Y47-X47</f>
        <v>-133413</v>
      </c>
      <c r="AA47" s="299">
        <f>Z47/Y47</f>
        <v>-0.97205788062485432</v>
      </c>
      <c r="AC47" s="303">
        <f>J47+X47</f>
        <v>428666</v>
      </c>
      <c r="AD47" s="303">
        <f>AC47/21*12</f>
        <v>244952</v>
      </c>
      <c r="AE47" s="304">
        <f>270000</f>
        <v>270000</v>
      </c>
      <c r="AF47" s="341">
        <f>(AE47/AE63)*AF63</f>
        <v>192780</v>
      </c>
    </row>
    <row r="48" spans="1:32" x14ac:dyDescent="0.2">
      <c r="A48" s="296">
        <v>45050</v>
      </c>
      <c r="B48" s="296">
        <v>34130.370000000003</v>
      </c>
      <c r="C48" s="296">
        <v>-10919.63</v>
      </c>
      <c r="D48" s="297">
        <v>-0.31993881109404898</v>
      </c>
      <c r="E48" s="280" t="s">
        <v>398</v>
      </c>
      <c r="F48" s="278"/>
      <c r="G48" s="278"/>
      <c r="H48" s="278"/>
      <c r="I48" s="278"/>
      <c r="J48" s="296">
        <v>129500</v>
      </c>
      <c r="K48" s="296">
        <v>50006</v>
      </c>
      <c r="L48" s="296">
        <f>K48-J48</f>
        <v>-79494</v>
      </c>
      <c r="M48" s="297">
        <f>L48/K48</f>
        <v>-1.589689237291525</v>
      </c>
      <c r="O48" s="298">
        <v>27100</v>
      </c>
      <c r="P48" s="298">
        <v>27919.82</v>
      </c>
      <c r="Q48" s="298">
        <v>819.82</v>
      </c>
      <c r="R48" s="299">
        <v>2.9363369821152101E-2</v>
      </c>
      <c r="S48" s="283" t="s">
        <v>398</v>
      </c>
      <c r="T48" s="281"/>
      <c r="U48" s="281"/>
      <c r="V48" s="281"/>
      <c r="W48" s="281"/>
      <c r="X48" s="298">
        <v>204150</v>
      </c>
      <c r="Y48" s="298">
        <v>110322</v>
      </c>
      <c r="Z48" s="298">
        <f>Y48-X48</f>
        <v>-93828</v>
      </c>
      <c r="AA48" s="299">
        <f>Z48/Y48</f>
        <v>-0.85049219557295919</v>
      </c>
      <c r="AC48" s="303">
        <f>J48+X48</f>
        <v>333650</v>
      </c>
      <c r="AD48" s="303">
        <f>AC48/21*12</f>
        <v>190657.14285714287</v>
      </c>
      <c r="AE48" s="304">
        <f>200000</f>
        <v>200000</v>
      </c>
      <c r="AF48" s="341">
        <f>(AE48/AE63)*AF63</f>
        <v>142800</v>
      </c>
    </row>
    <row r="49" spans="1:32" x14ac:dyDescent="0.2">
      <c r="A49" s="300" t="s">
        <v>484</v>
      </c>
      <c r="B49" s="300" t="s">
        <v>484</v>
      </c>
      <c r="C49" s="300" t="s">
        <v>484</v>
      </c>
      <c r="D49" s="300" t="s">
        <v>484</v>
      </c>
      <c r="E49" s="280"/>
      <c r="F49" s="278"/>
      <c r="G49" s="278"/>
      <c r="H49" s="278"/>
      <c r="I49" s="278"/>
      <c r="J49" s="300" t="s">
        <v>484</v>
      </c>
      <c r="K49" s="300" t="s">
        <v>484</v>
      </c>
      <c r="L49" s="300" t="s">
        <v>484</v>
      </c>
      <c r="M49" s="300" t="s">
        <v>484</v>
      </c>
      <c r="O49" s="301" t="s">
        <v>484</v>
      </c>
      <c r="P49" s="301" t="s">
        <v>484</v>
      </c>
      <c r="Q49" s="301" t="s">
        <v>484</v>
      </c>
      <c r="R49" s="301" t="s">
        <v>484</v>
      </c>
      <c r="S49" s="283"/>
      <c r="T49" s="281"/>
      <c r="U49" s="281"/>
      <c r="V49" s="281"/>
      <c r="W49" s="281"/>
      <c r="X49" s="301" t="s">
        <v>484</v>
      </c>
      <c r="Y49" s="301" t="s">
        <v>484</v>
      </c>
      <c r="Z49" s="301" t="s">
        <v>484</v>
      </c>
      <c r="AA49" s="301" t="s">
        <v>484</v>
      </c>
      <c r="AC49" s="303"/>
      <c r="AD49" s="303"/>
      <c r="AE49" s="304"/>
    </row>
    <row r="50" spans="1:32" x14ac:dyDescent="0.2">
      <c r="A50" s="296">
        <v>166336.29999999999</v>
      </c>
      <c r="B50" s="296">
        <v>137283.56</v>
      </c>
      <c r="C50" s="296">
        <v>-29052.74</v>
      </c>
      <c r="D50" s="297">
        <v>-0.211625776604278</v>
      </c>
      <c r="E50" s="280" t="s">
        <v>399</v>
      </c>
      <c r="F50" s="278"/>
      <c r="G50" s="278"/>
      <c r="H50" s="278"/>
      <c r="I50" s="278"/>
      <c r="J50" s="296">
        <f>SUM(J47:J48)</f>
        <v>287505</v>
      </c>
      <c r="K50" s="296">
        <f>SUM(K47:K48)</f>
        <v>185579</v>
      </c>
      <c r="L50" s="296">
        <f>SUM(L47:L48)</f>
        <v>-101926</v>
      </c>
      <c r="M50" s="297">
        <f>L50/K50</f>
        <v>-0.54923240237311333</v>
      </c>
      <c r="O50" s="298">
        <v>88793.45</v>
      </c>
      <c r="P50" s="298">
        <v>109196.79</v>
      </c>
      <c r="Q50" s="298">
        <v>20403.34</v>
      </c>
      <c r="R50" s="299">
        <v>0.186849265440861</v>
      </c>
      <c r="S50" s="283" t="s">
        <v>399</v>
      </c>
      <c r="T50" s="281"/>
      <c r="U50" s="281"/>
      <c r="V50" s="281"/>
      <c r="W50" s="281"/>
      <c r="X50" s="298">
        <f>SUM(X47:X48)</f>
        <v>474811</v>
      </c>
      <c r="Y50" s="298">
        <f>SUM(Y47:Y48)</f>
        <v>247570</v>
      </c>
      <c r="Z50" s="298">
        <f>SUM(Z47:Z48)</f>
        <v>-227241</v>
      </c>
      <c r="AA50" s="299">
        <f>Z50/Y50</f>
        <v>-0.9178858504665347</v>
      </c>
      <c r="AC50" s="303">
        <f>J50+X50</f>
        <v>762316</v>
      </c>
      <c r="AD50" s="303">
        <f>AC50/21*12</f>
        <v>435609.1428571429</v>
      </c>
      <c r="AE50" s="304">
        <f>SUM(AE47:AE48)</f>
        <v>470000</v>
      </c>
      <c r="AF50" s="304">
        <f>SUM(AF47:AF48)</f>
        <v>335580</v>
      </c>
    </row>
    <row r="51" spans="1:32" x14ac:dyDescent="0.2">
      <c r="A51" s="278"/>
      <c r="B51" s="278"/>
      <c r="C51" s="278"/>
      <c r="D51" s="279"/>
      <c r="E51" s="280"/>
      <c r="F51" s="278"/>
      <c r="G51" s="278"/>
      <c r="H51" s="278"/>
      <c r="I51" s="278"/>
      <c r="J51" s="278"/>
      <c r="K51" s="278"/>
      <c r="L51" s="278"/>
      <c r="M51" s="279"/>
      <c r="O51" s="281"/>
      <c r="P51" s="281"/>
      <c r="Q51" s="281"/>
      <c r="R51" s="282"/>
      <c r="S51" s="283"/>
      <c r="T51" s="281"/>
      <c r="U51" s="281"/>
      <c r="V51" s="281"/>
      <c r="W51" s="281"/>
      <c r="X51" s="281"/>
      <c r="Y51" s="281"/>
      <c r="Z51" s="281"/>
      <c r="AA51" s="282"/>
      <c r="AC51" s="303"/>
      <c r="AD51" s="303"/>
      <c r="AE51" s="304"/>
    </row>
    <row r="52" spans="1:32" x14ac:dyDescent="0.2">
      <c r="A52" s="278"/>
      <c r="B52" s="278"/>
      <c r="C52" s="278"/>
      <c r="D52" s="279"/>
      <c r="E52" s="280" t="s">
        <v>400</v>
      </c>
      <c r="F52" s="278"/>
      <c r="G52" s="278"/>
      <c r="H52" s="278"/>
      <c r="I52" s="278"/>
      <c r="J52" s="278"/>
      <c r="K52" s="278"/>
      <c r="L52" s="278"/>
      <c r="M52" s="279"/>
      <c r="O52" s="281"/>
      <c r="P52" s="281"/>
      <c r="Q52" s="281"/>
      <c r="R52" s="282"/>
      <c r="S52" s="283" t="s">
        <v>400</v>
      </c>
      <c r="T52" s="281"/>
      <c r="U52" s="281"/>
      <c r="V52" s="281"/>
      <c r="W52" s="281"/>
      <c r="X52" s="281"/>
      <c r="Y52" s="281"/>
      <c r="Z52" s="281"/>
      <c r="AA52" s="282"/>
      <c r="AC52" s="303"/>
      <c r="AD52" s="303"/>
      <c r="AE52" s="304"/>
    </row>
    <row r="53" spans="1:32" x14ac:dyDescent="0.2">
      <c r="A53" s="296">
        <v>5400</v>
      </c>
      <c r="B53" s="296">
        <v>17136.84</v>
      </c>
      <c r="C53" s="296">
        <v>11736.84</v>
      </c>
      <c r="D53" s="297">
        <v>0.684889396178059</v>
      </c>
      <c r="E53" s="280" t="s">
        <v>52</v>
      </c>
      <c r="F53" s="278"/>
      <c r="G53" s="278"/>
      <c r="H53" s="278"/>
      <c r="I53" s="278"/>
      <c r="J53" s="296">
        <v>6150</v>
      </c>
      <c r="K53" s="296">
        <v>24093</v>
      </c>
      <c r="L53" s="296">
        <f>K53-J53</f>
        <v>17943</v>
      </c>
      <c r="M53" s="297">
        <f>L53/K53</f>
        <v>0.74473913584858675</v>
      </c>
      <c r="O53" s="298">
        <v>5500</v>
      </c>
      <c r="P53" s="298">
        <v>16922.91</v>
      </c>
      <c r="Q53" s="298">
        <v>11422.91</v>
      </c>
      <c r="R53" s="299">
        <v>0.67499679428656201</v>
      </c>
      <c r="S53" s="283" t="s">
        <v>52</v>
      </c>
      <c r="T53" s="281"/>
      <c r="U53" s="281"/>
      <c r="V53" s="281"/>
      <c r="W53" s="281"/>
      <c r="X53" s="298">
        <v>12400</v>
      </c>
      <c r="Y53" s="298">
        <v>3740</v>
      </c>
      <c r="Z53" s="298">
        <f>Y53-X53</f>
        <v>-8660</v>
      </c>
      <c r="AA53" s="299">
        <f>Z53/Y53</f>
        <v>-2.3155080213903743</v>
      </c>
      <c r="AC53" s="303">
        <f>J53+X53</f>
        <v>18550</v>
      </c>
      <c r="AD53" s="303">
        <f>AC53/21*12</f>
        <v>10600</v>
      </c>
      <c r="AE53" s="304">
        <f>14000</f>
        <v>14000</v>
      </c>
      <c r="AF53" s="341">
        <f>(AE53/AE63)*AF63</f>
        <v>9996</v>
      </c>
    </row>
    <row r="54" spans="1:32" x14ac:dyDescent="0.2">
      <c r="A54" s="300" t="s">
        <v>484</v>
      </c>
      <c r="B54" s="300" t="s">
        <v>484</v>
      </c>
      <c r="C54" s="300" t="s">
        <v>484</v>
      </c>
      <c r="D54" s="300" t="s">
        <v>484</v>
      </c>
      <c r="E54" s="280"/>
      <c r="F54" s="278"/>
      <c r="G54" s="278"/>
      <c r="H54" s="278"/>
      <c r="I54" s="278"/>
      <c r="J54" s="300" t="s">
        <v>484</v>
      </c>
      <c r="K54" s="300" t="s">
        <v>484</v>
      </c>
      <c r="L54" s="300" t="s">
        <v>484</v>
      </c>
      <c r="M54" s="300" t="s">
        <v>484</v>
      </c>
      <c r="O54" s="301" t="s">
        <v>484</v>
      </c>
      <c r="P54" s="301" t="s">
        <v>484</v>
      </c>
      <c r="Q54" s="301" t="s">
        <v>484</v>
      </c>
      <c r="R54" s="301" t="s">
        <v>484</v>
      </c>
      <c r="S54" s="283"/>
      <c r="T54" s="281"/>
      <c r="U54" s="281"/>
      <c r="V54" s="281"/>
      <c r="W54" s="281"/>
      <c r="X54" s="301" t="s">
        <v>484</v>
      </c>
      <c r="Y54" s="301" t="s">
        <v>484</v>
      </c>
      <c r="Z54" s="301" t="s">
        <v>484</v>
      </c>
      <c r="AA54" s="301" t="s">
        <v>484</v>
      </c>
      <c r="AC54" s="303"/>
      <c r="AD54" s="303"/>
      <c r="AE54" s="304"/>
    </row>
    <row r="55" spans="1:32" x14ac:dyDescent="0.2">
      <c r="A55" s="296">
        <v>5400</v>
      </c>
      <c r="B55" s="296">
        <v>17136.84</v>
      </c>
      <c r="C55" s="296">
        <v>11736.84</v>
      </c>
      <c r="D55" s="297">
        <v>0.684889396178059</v>
      </c>
      <c r="E55" s="280" t="s">
        <v>401</v>
      </c>
      <c r="F55" s="278"/>
      <c r="G55" s="278"/>
      <c r="H55" s="278"/>
      <c r="I55" s="278"/>
      <c r="J55" s="296">
        <f>J53</f>
        <v>6150</v>
      </c>
      <c r="K55" s="296">
        <f>K53</f>
        <v>24093</v>
      </c>
      <c r="L55" s="296">
        <f>L53</f>
        <v>17943</v>
      </c>
      <c r="M55" s="297">
        <f>L55/K55</f>
        <v>0.74473913584858675</v>
      </c>
      <c r="O55" s="298">
        <v>5500</v>
      </c>
      <c r="P55" s="298">
        <v>16922.91</v>
      </c>
      <c r="Q55" s="298">
        <v>11422.91</v>
      </c>
      <c r="R55" s="299">
        <v>0.67499679428656201</v>
      </c>
      <c r="S55" s="283" t="s">
        <v>401</v>
      </c>
      <c r="T55" s="281"/>
      <c r="U55" s="281"/>
      <c r="V55" s="281"/>
      <c r="W55" s="281"/>
      <c r="X55" s="298">
        <f>X53</f>
        <v>12400</v>
      </c>
      <c r="Y55" s="298">
        <f>Y53</f>
        <v>3740</v>
      </c>
      <c r="Z55" s="298">
        <f>Z53</f>
        <v>-8660</v>
      </c>
      <c r="AA55" s="299">
        <f>Z55/Y55</f>
        <v>-2.3155080213903743</v>
      </c>
      <c r="AC55" s="303">
        <f>J55+X55</f>
        <v>18550</v>
      </c>
      <c r="AD55" s="303">
        <f>AC55/21*12</f>
        <v>10600</v>
      </c>
      <c r="AE55" s="304">
        <f>AE53</f>
        <v>14000</v>
      </c>
      <c r="AF55" s="304">
        <f>AF53</f>
        <v>9996</v>
      </c>
    </row>
    <row r="56" spans="1:32" x14ac:dyDescent="0.2">
      <c r="A56" s="278"/>
      <c r="B56" s="278"/>
      <c r="C56" s="278"/>
      <c r="D56" s="279"/>
      <c r="E56" s="280"/>
      <c r="F56" s="278"/>
      <c r="G56" s="278"/>
      <c r="H56" s="278"/>
      <c r="I56" s="278"/>
      <c r="J56" s="278"/>
      <c r="K56" s="278"/>
      <c r="L56" s="278"/>
      <c r="M56" s="279"/>
      <c r="O56" s="281"/>
      <c r="P56" s="281"/>
      <c r="Q56" s="281"/>
      <c r="R56" s="282"/>
      <c r="S56" s="283"/>
      <c r="T56" s="281"/>
      <c r="U56" s="281"/>
      <c r="V56" s="281"/>
      <c r="W56" s="281"/>
      <c r="X56" s="281"/>
      <c r="Y56" s="281"/>
      <c r="Z56" s="281"/>
      <c r="AA56" s="282"/>
      <c r="AC56" s="303"/>
      <c r="AD56" s="303"/>
      <c r="AE56" s="304"/>
    </row>
    <row r="57" spans="1:32" x14ac:dyDescent="0.2">
      <c r="A57" s="278"/>
      <c r="B57" s="278"/>
      <c r="C57" s="278"/>
      <c r="D57" s="279"/>
      <c r="E57" s="280" t="s">
        <v>46</v>
      </c>
      <c r="F57" s="278"/>
      <c r="G57" s="278"/>
      <c r="H57" s="278"/>
      <c r="I57" s="278"/>
      <c r="J57" s="278"/>
      <c r="K57" s="278"/>
      <c r="L57" s="278"/>
      <c r="M57" s="279"/>
      <c r="O57" s="281"/>
      <c r="P57" s="281"/>
      <c r="Q57" s="281"/>
      <c r="R57" s="282"/>
      <c r="S57" s="283" t="s">
        <v>46</v>
      </c>
      <c r="T57" s="281"/>
      <c r="U57" s="281"/>
      <c r="V57" s="281"/>
      <c r="W57" s="281"/>
      <c r="X57" s="281"/>
      <c r="Y57" s="281"/>
      <c r="Z57" s="281"/>
      <c r="AA57" s="282"/>
      <c r="AC57" s="303"/>
      <c r="AD57" s="303"/>
      <c r="AE57" s="304"/>
    </row>
    <row r="58" spans="1:32" x14ac:dyDescent="0.2">
      <c r="A58" s="296">
        <v>0</v>
      </c>
      <c r="B58" s="296">
        <v>0</v>
      </c>
      <c r="C58" s="296">
        <v>0</v>
      </c>
      <c r="D58" s="297">
        <v>0</v>
      </c>
      <c r="E58" s="280" t="s">
        <v>402</v>
      </c>
      <c r="F58" s="278"/>
      <c r="G58" s="278"/>
      <c r="H58" s="278"/>
      <c r="I58" s="278"/>
      <c r="J58" s="296">
        <f>7000</f>
        <v>7000</v>
      </c>
      <c r="K58" s="296">
        <v>52543</v>
      </c>
      <c r="L58" s="296">
        <f>K58-J58</f>
        <v>45543</v>
      </c>
      <c r="M58" s="297">
        <f>L58/K58</f>
        <v>0.86677578364387264</v>
      </c>
      <c r="O58" s="298">
        <v>0</v>
      </c>
      <c r="P58" s="298">
        <v>2904.66</v>
      </c>
      <c r="Q58" s="298">
        <v>2904.66</v>
      </c>
      <c r="R58" s="299">
        <v>1</v>
      </c>
      <c r="S58" s="283" t="s">
        <v>402</v>
      </c>
      <c r="T58" s="281"/>
      <c r="U58" s="281"/>
      <c r="V58" s="281"/>
      <c r="W58" s="281"/>
      <c r="X58" s="298">
        <v>7000</v>
      </c>
      <c r="Y58" s="298">
        <v>0</v>
      </c>
      <c r="Z58" s="298">
        <f>Y58-X58</f>
        <v>-7000</v>
      </c>
      <c r="AA58" s="299" t="e">
        <f>Z58/Y58</f>
        <v>#DIV/0!</v>
      </c>
      <c r="AC58" s="303">
        <f>J58+X58</f>
        <v>14000</v>
      </c>
      <c r="AD58" s="303">
        <f>AC58/21*12</f>
        <v>8000</v>
      </c>
      <c r="AE58" s="304">
        <f>10500</f>
        <v>10500</v>
      </c>
      <c r="AF58" s="341">
        <f>(AE58/AE63)*AF63</f>
        <v>7497.0000000000009</v>
      </c>
    </row>
    <row r="59" spans="1:32" x14ac:dyDescent="0.2">
      <c r="A59" s="296"/>
      <c r="B59" s="296"/>
      <c r="C59" s="296"/>
      <c r="D59" s="297"/>
      <c r="E59" s="280" t="s">
        <v>567</v>
      </c>
      <c r="F59" s="278"/>
      <c r="G59" s="278"/>
      <c r="H59" s="278"/>
      <c r="I59" s="278"/>
      <c r="J59" s="296">
        <f>4500</f>
        <v>4500</v>
      </c>
      <c r="K59" s="296">
        <v>1784</v>
      </c>
      <c r="L59" s="296">
        <f t="shared" ref="L59" si="0">K59-J59</f>
        <v>-2716</v>
      </c>
      <c r="M59" s="297">
        <f t="shared" ref="M59" si="1">L59/K59</f>
        <v>-1.5224215246636772</v>
      </c>
      <c r="O59" s="298"/>
      <c r="P59" s="298"/>
      <c r="Q59" s="298"/>
      <c r="R59" s="299"/>
      <c r="S59" s="283" t="s">
        <v>567</v>
      </c>
      <c r="T59" s="281"/>
      <c r="U59" s="281"/>
      <c r="V59" s="281"/>
      <c r="W59" s="281"/>
      <c r="X59" s="298">
        <v>2500</v>
      </c>
      <c r="Y59" s="298">
        <v>1870</v>
      </c>
      <c r="Z59" s="298">
        <f>Y59-X59</f>
        <v>-630</v>
      </c>
      <c r="AA59" s="299">
        <f>Z59/Y59</f>
        <v>-0.33689839572192515</v>
      </c>
      <c r="AC59" s="303">
        <f>J59+X59</f>
        <v>7000</v>
      </c>
      <c r="AD59" s="303">
        <f>AC59/21*12</f>
        <v>4000</v>
      </c>
      <c r="AE59" s="304">
        <f>5500</f>
        <v>5500</v>
      </c>
      <c r="AF59" s="341">
        <f>(AE59/AE63)*AF63</f>
        <v>3926.9999999999995</v>
      </c>
    </row>
    <row r="60" spans="1:32" x14ac:dyDescent="0.2">
      <c r="A60" s="296">
        <v>0</v>
      </c>
      <c r="B60" s="296">
        <v>0</v>
      </c>
      <c r="C60" s="296">
        <v>0</v>
      </c>
      <c r="D60" s="297">
        <v>0</v>
      </c>
      <c r="E60" s="280"/>
      <c r="F60" s="278"/>
      <c r="G60" s="278"/>
      <c r="H60" s="278"/>
      <c r="I60" s="278"/>
      <c r="J60" s="300" t="s">
        <v>484</v>
      </c>
      <c r="K60" s="300" t="s">
        <v>484</v>
      </c>
      <c r="L60" s="300" t="s">
        <v>484</v>
      </c>
      <c r="M60" s="300" t="s">
        <v>484</v>
      </c>
      <c r="O60" s="301" t="s">
        <v>484</v>
      </c>
      <c r="P60" s="301" t="s">
        <v>484</v>
      </c>
      <c r="Q60" s="301" t="s">
        <v>484</v>
      </c>
      <c r="R60" s="301" t="s">
        <v>484</v>
      </c>
      <c r="S60" s="283"/>
      <c r="T60" s="281"/>
      <c r="U60" s="281"/>
      <c r="V60" s="281"/>
      <c r="W60" s="281"/>
      <c r="X60" s="301" t="s">
        <v>484</v>
      </c>
      <c r="Y60" s="301" t="s">
        <v>484</v>
      </c>
      <c r="Z60" s="301" t="s">
        <v>484</v>
      </c>
      <c r="AA60" s="301" t="s">
        <v>484</v>
      </c>
      <c r="AC60" s="303"/>
      <c r="AD60" s="303"/>
      <c r="AE60" s="304"/>
    </row>
    <row r="61" spans="1:32" x14ac:dyDescent="0.2">
      <c r="A61" s="300" t="s">
        <v>484</v>
      </c>
      <c r="B61" s="300" t="s">
        <v>484</v>
      </c>
      <c r="C61" s="300" t="s">
        <v>484</v>
      </c>
      <c r="D61" s="300" t="s">
        <v>484</v>
      </c>
      <c r="E61" s="280" t="s">
        <v>379</v>
      </c>
      <c r="F61" s="278"/>
      <c r="G61" s="278"/>
      <c r="H61" s="278"/>
      <c r="I61" s="278"/>
      <c r="J61" s="296">
        <f>SUM(J58:J59)</f>
        <v>11500</v>
      </c>
      <c r="K61" s="296">
        <f>SUM(K58:K59)</f>
        <v>54327</v>
      </c>
      <c r="L61" s="296">
        <f>SUM(L58:L59)</f>
        <v>42827</v>
      </c>
      <c r="M61" s="297">
        <f>L61/K61</f>
        <v>0.78831888379627069</v>
      </c>
      <c r="O61" s="298">
        <v>200</v>
      </c>
      <c r="P61" s="298">
        <v>4620.28</v>
      </c>
      <c r="Q61" s="298">
        <v>4420.28</v>
      </c>
      <c r="R61" s="299">
        <v>0.95671258018994498</v>
      </c>
      <c r="S61" s="283" t="s">
        <v>379</v>
      </c>
      <c r="T61" s="281"/>
      <c r="U61" s="281"/>
      <c r="V61" s="281"/>
      <c r="W61" s="281"/>
      <c r="X61" s="298">
        <f>SUM(X58:X59)</f>
        <v>9500</v>
      </c>
      <c r="Y61" s="298">
        <f>SUM(Y58:Y59)</f>
        <v>1870</v>
      </c>
      <c r="Z61" s="298">
        <f>SUM(Z58:Z59)</f>
        <v>-7630</v>
      </c>
      <c r="AA61" s="299">
        <f>Z61/Y61</f>
        <v>-4.0802139037433154</v>
      </c>
      <c r="AC61" s="303">
        <f>J61+X61</f>
        <v>21000</v>
      </c>
      <c r="AD61" s="303">
        <f>AC61/21*12</f>
        <v>12000</v>
      </c>
      <c r="AE61" s="304">
        <f>SUM(AE58:AE59)</f>
        <v>16000</v>
      </c>
      <c r="AF61" s="304">
        <f>SUM(AF58:AF59)</f>
        <v>11424</v>
      </c>
    </row>
    <row r="62" spans="1:32" x14ac:dyDescent="0.2">
      <c r="A62" s="296">
        <v>0</v>
      </c>
      <c r="B62" s="296">
        <v>965.16</v>
      </c>
      <c r="C62" s="296">
        <v>965.16</v>
      </c>
      <c r="D62" s="297">
        <v>1</v>
      </c>
      <c r="E62" s="280"/>
      <c r="F62" s="278"/>
      <c r="G62" s="278"/>
      <c r="H62" s="278"/>
      <c r="I62" s="278"/>
      <c r="J62" s="278"/>
      <c r="K62" s="278"/>
      <c r="L62" s="278"/>
      <c r="M62" s="279"/>
      <c r="O62" s="281"/>
      <c r="P62" s="281"/>
      <c r="Q62" s="281"/>
      <c r="R62" s="282"/>
      <c r="S62" s="283"/>
      <c r="T62" s="281"/>
      <c r="U62" s="281"/>
      <c r="V62" s="281"/>
      <c r="W62" s="281"/>
      <c r="X62" s="281"/>
      <c r="Y62" s="281"/>
      <c r="Z62" s="281"/>
      <c r="AA62" s="282"/>
      <c r="AC62" s="303"/>
      <c r="AD62" s="303"/>
      <c r="AE62" s="304"/>
    </row>
    <row r="63" spans="1:32" x14ac:dyDescent="0.2">
      <c r="A63" s="278"/>
      <c r="B63" s="278"/>
      <c r="C63" s="278"/>
      <c r="D63" s="279"/>
      <c r="E63" s="280" t="s">
        <v>404</v>
      </c>
      <c r="F63" s="278"/>
      <c r="G63" s="278"/>
      <c r="H63" s="278"/>
      <c r="I63" s="278"/>
      <c r="J63" s="296">
        <f>SUM(J50,J55,J61)-1</f>
        <v>305154</v>
      </c>
      <c r="K63" s="296">
        <f>SUM(K50,K55,K61)+1</f>
        <v>264000</v>
      </c>
      <c r="L63" s="296">
        <f>SUM(L61,L55,L50)+1</f>
        <v>-41155</v>
      </c>
      <c r="M63" s="297">
        <f>L63/K63</f>
        <v>-0.15589015151515151</v>
      </c>
      <c r="O63" s="298">
        <v>94493.45</v>
      </c>
      <c r="P63" s="298">
        <v>130739.98</v>
      </c>
      <c r="Q63" s="298">
        <v>36246.53</v>
      </c>
      <c r="R63" s="299">
        <v>0.27724136105879799</v>
      </c>
      <c r="S63" s="283" t="s">
        <v>404</v>
      </c>
      <c r="T63" s="281"/>
      <c r="U63" s="281"/>
      <c r="V63" s="281"/>
      <c r="W63" s="281"/>
      <c r="X63" s="298">
        <f>SUM(X50,X55,X61)</f>
        <v>496711</v>
      </c>
      <c r="Y63" s="298">
        <f>SUM(Y50,Y55,Y61)-1</f>
        <v>253179</v>
      </c>
      <c r="Z63" s="298">
        <f>SUM(Z50,Z55,Z61)-1</f>
        <v>-243532</v>
      </c>
      <c r="AA63" s="299">
        <f>Z63/Y63</f>
        <v>-0.96189652380331703</v>
      </c>
      <c r="AC63" s="303">
        <f>J63+X63</f>
        <v>801865</v>
      </c>
      <c r="AD63" s="303">
        <f>AC63/21*12</f>
        <v>458208.57142857142</v>
      </c>
      <c r="AE63" s="304">
        <f>SUM(AE50,AE55,AE61)</f>
        <v>500000</v>
      </c>
      <c r="AF63" s="341">
        <f>AE63-AF45</f>
        <v>357000</v>
      </c>
    </row>
    <row r="64" spans="1:32" hidden="1" x14ac:dyDescent="0.2">
      <c r="A64" s="296">
        <v>171736.3</v>
      </c>
      <c r="B64" s="296">
        <v>155385.56</v>
      </c>
      <c r="C64" s="296">
        <v>-16350.74</v>
      </c>
      <c r="D64" s="297">
        <v>-0.105226894957292</v>
      </c>
      <c r="E64" s="280"/>
      <c r="F64" s="278"/>
      <c r="G64" s="278"/>
      <c r="H64" s="278"/>
      <c r="I64" s="278"/>
      <c r="J64" s="278"/>
      <c r="K64" s="278"/>
      <c r="L64" s="278"/>
      <c r="M64" s="279"/>
      <c r="O64" s="281"/>
      <c r="P64" s="281"/>
      <c r="Q64" s="281"/>
      <c r="R64" s="282"/>
      <c r="S64" s="283"/>
      <c r="T64" s="281"/>
      <c r="U64" s="281"/>
      <c r="V64" s="281"/>
      <c r="W64" s="281"/>
      <c r="X64" s="281"/>
      <c r="Y64" s="281"/>
      <c r="Z64" s="281"/>
      <c r="AA64" s="282"/>
      <c r="AC64" s="305">
        <f>J64+X64</f>
        <v>0</v>
      </c>
      <c r="AD64" s="277">
        <f>AC64/20*12</f>
        <v>0</v>
      </c>
    </row>
    <row r="65" spans="1:32" hidden="1" x14ac:dyDescent="0.2">
      <c r="A65" s="278"/>
      <c r="B65" s="278"/>
      <c r="C65" s="278"/>
      <c r="D65" s="279"/>
      <c r="E65" s="280" t="s">
        <v>405</v>
      </c>
      <c r="F65" s="278"/>
      <c r="G65" s="278"/>
      <c r="H65" s="278"/>
      <c r="I65" s="278"/>
      <c r="J65" s="296">
        <v>1884136.39</v>
      </c>
      <c r="K65" s="296">
        <v>2735183.85</v>
      </c>
      <c r="L65" s="296">
        <v>851047.46</v>
      </c>
      <c r="M65" s="297">
        <v>0.31114817382385501</v>
      </c>
      <c r="O65" s="298">
        <f>O43+O63</f>
        <v>159095.98000000001</v>
      </c>
      <c r="P65" s="298">
        <v>182711.98</v>
      </c>
      <c r="Q65" s="298">
        <f>P65-O65</f>
        <v>23616</v>
      </c>
      <c r="R65" s="299">
        <f>Q65/P65</f>
        <v>0.12925260839491751</v>
      </c>
      <c r="S65" s="283" t="s">
        <v>405</v>
      </c>
      <c r="T65" s="281"/>
      <c r="U65" s="281"/>
      <c r="V65" s="281"/>
      <c r="W65" s="281"/>
      <c r="X65" s="298">
        <v>1414681.85</v>
      </c>
      <c r="Y65" s="298">
        <v>1432226.13</v>
      </c>
      <c r="Z65" s="298">
        <v>17544.279999999799</v>
      </c>
      <c r="AA65" s="299">
        <v>1.22496578106697E-2</v>
      </c>
      <c r="AC65" s="305">
        <f>J65+X65</f>
        <v>3298818.24</v>
      </c>
      <c r="AD65" s="277">
        <f>AC65/20*12</f>
        <v>1979290.9440000001</v>
      </c>
    </row>
    <row r="66" spans="1:32" hidden="1" x14ac:dyDescent="0.2">
      <c r="A66" s="296">
        <v>262735.03999999998</v>
      </c>
      <c r="B66" s="296">
        <v>224809.63</v>
      </c>
      <c r="C66" s="296">
        <v>-37925.410000000003</v>
      </c>
      <c r="D66" s="297">
        <v>-0.16870011306900001</v>
      </c>
      <c r="E66" s="306"/>
      <c r="F66" s="306"/>
      <c r="G66" s="306"/>
      <c r="H66" s="306"/>
      <c r="I66" s="306"/>
      <c r="J66" s="306"/>
      <c r="K66" s="306"/>
      <c r="L66" s="306"/>
      <c r="M66" s="306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C66" s="305">
        <f>J66+X66</f>
        <v>0</v>
      </c>
      <c r="AD66" s="277">
        <f>AC66/20*12</f>
        <v>0</v>
      </c>
    </row>
    <row r="67" spans="1:32" x14ac:dyDescent="0.2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F67" s="341">
        <f>SUM(AF50,AF55,AF61)-AF63</f>
        <v>0</v>
      </c>
    </row>
    <row r="68" spans="1:32" x14ac:dyDescent="0.2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</row>
    <row r="70" spans="1:32" x14ac:dyDescent="0.2">
      <c r="S70" s="308"/>
      <c r="T70" s="309"/>
      <c r="U70" s="309"/>
      <c r="V70" s="309"/>
      <c r="W70" s="309"/>
      <c r="X70" s="309"/>
      <c r="Y70" s="309" t="s">
        <v>568</v>
      </c>
      <c r="Z70" s="309"/>
      <c r="AA70" s="310"/>
    </row>
    <row r="71" spans="1:32" x14ac:dyDescent="0.2">
      <c r="S71" s="308" t="s">
        <v>569</v>
      </c>
      <c r="T71" s="309"/>
      <c r="U71" s="309"/>
      <c r="V71" s="309"/>
      <c r="W71" s="309"/>
      <c r="X71" s="309">
        <f>J63</f>
        <v>305154</v>
      </c>
      <c r="Y71" s="309">
        <v>12</v>
      </c>
      <c r="Z71" s="309"/>
      <c r="AA71" s="310"/>
    </row>
    <row r="72" spans="1:32" x14ac:dyDescent="0.2">
      <c r="S72" s="311" t="s">
        <v>570</v>
      </c>
      <c r="T72" s="312"/>
      <c r="U72" s="312"/>
      <c r="V72" s="312"/>
      <c r="W72" s="312"/>
      <c r="X72" s="312">
        <f>X63</f>
        <v>496711</v>
      </c>
      <c r="Y72" s="312">
        <v>9</v>
      </c>
      <c r="Z72" s="309"/>
      <c r="AA72" s="310"/>
    </row>
    <row r="73" spans="1:32" x14ac:dyDescent="0.2">
      <c r="S73" s="308" t="s">
        <v>571</v>
      </c>
      <c r="T73" s="309"/>
      <c r="U73" s="309"/>
      <c r="V73" s="309"/>
      <c r="W73" s="309"/>
      <c r="X73" s="309">
        <f>X71+X72</f>
        <v>801865</v>
      </c>
      <c r="Y73" s="309">
        <f>Y71+Y72</f>
        <v>21</v>
      </c>
      <c r="Z73" s="309"/>
      <c r="AA73" s="310"/>
    </row>
    <row r="74" spans="1:32" x14ac:dyDescent="0.2">
      <c r="S74" s="308" t="s">
        <v>572</v>
      </c>
      <c r="T74" s="309"/>
      <c r="U74" s="309"/>
      <c r="V74" s="309"/>
      <c r="W74" s="309"/>
      <c r="X74" s="309">
        <f>X73/Y73</f>
        <v>38184.047619047618</v>
      </c>
      <c r="Y74" s="309"/>
      <c r="Z74" s="309"/>
      <c r="AA74" s="310"/>
    </row>
    <row r="75" spans="1:32" x14ac:dyDescent="0.2">
      <c r="S75" s="308" t="s">
        <v>573</v>
      </c>
      <c r="T75" s="309"/>
      <c r="U75" s="309"/>
      <c r="V75" s="309"/>
      <c r="W75" s="309"/>
      <c r="X75" s="309">
        <f>X74*12</f>
        <v>458208.57142857142</v>
      </c>
      <c r="Y75" s="309"/>
      <c r="Z75" s="309"/>
      <c r="AA75" s="310"/>
    </row>
    <row r="76" spans="1:32" x14ac:dyDescent="0.2">
      <c r="S76" s="308" t="s">
        <v>574</v>
      </c>
      <c r="T76" s="309"/>
      <c r="U76" s="309"/>
      <c r="V76" s="309"/>
      <c r="W76" s="309"/>
      <c r="X76" s="309">
        <v>318322.87</v>
      </c>
      <c r="Y76" s="309"/>
      <c r="Z76" s="309"/>
      <c r="AA76" s="310"/>
    </row>
    <row r="77" spans="1:32" x14ac:dyDescent="0.2">
      <c r="S77" s="308" t="s">
        <v>575</v>
      </c>
      <c r="T77" s="309"/>
      <c r="U77" s="309"/>
      <c r="V77" s="309"/>
      <c r="W77" s="309"/>
      <c r="X77" s="313">
        <f>X76/9</f>
        <v>35369.207777777774</v>
      </c>
      <c r="Y77" s="309"/>
      <c r="Z77" s="309"/>
      <c r="AA77" s="310"/>
    </row>
    <row r="78" spans="1:32" x14ac:dyDescent="0.2">
      <c r="S78" s="308" t="s">
        <v>576</v>
      </c>
      <c r="T78" s="309"/>
      <c r="U78" s="309"/>
      <c r="V78" s="309"/>
      <c r="W78" s="309"/>
      <c r="X78" s="313">
        <f>X77*12</f>
        <v>424430.49333333329</v>
      </c>
      <c r="Y78" s="309"/>
      <c r="Z78" s="309"/>
      <c r="AA78" s="310"/>
    </row>
    <row r="79" spans="1:32" x14ac:dyDescent="0.2">
      <c r="S79" s="308"/>
      <c r="T79" s="309"/>
      <c r="U79" s="309"/>
      <c r="V79" s="309"/>
      <c r="W79" s="309"/>
      <c r="X79" s="313"/>
      <c r="Y79" s="309"/>
      <c r="Z79" s="309"/>
      <c r="AA79" s="310"/>
    </row>
    <row r="80" spans="1:32" x14ac:dyDescent="0.2">
      <c r="S80" s="308"/>
      <c r="T80" s="309"/>
      <c r="U80" s="309"/>
      <c r="V80" s="309"/>
      <c r="W80" s="309"/>
      <c r="X80" s="313"/>
      <c r="Y80" s="309"/>
      <c r="Z80" s="309"/>
      <c r="AA80" s="310"/>
    </row>
    <row r="81" spans="19:27" x14ac:dyDescent="0.2">
      <c r="S81" s="308"/>
      <c r="T81" s="309"/>
      <c r="U81" s="309"/>
      <c r="V81" s="309"/>
      <c r="W81" s="309"/>
      <c r="X81" s="309"/>
      <c r="Y81" s="309"/>
      <c r="Z81" s="309"/>
      <c r="AA81" s="310"/>
    </row>
  </sheetData>
  <mergeCells count="6">
    <mergeCell ref="A1:M1"/>
    <mergeCell ref="O1:AA1"/>
    <mergeCell ref="A2:M2"/>
    <mergeCell ref="O2:AA2"/>
    <mergeCell ref="A3:M3"/>
    <mergeCell ref="O3:AA3"/>
  </mergeCells>
  <pageMargins left="0.70000000000000007" right="0.70000000000000007" top="0.75" bottom="0.75" header="0.30000000000000004" footer="0.30000000000000004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5"/>
  <sheetViews>
    <sheetView workbookViewId="0">
      <selection activeCell="E23" sqref="E23"/>
    </sheetView>
  </sheetViews>
  <sheetFormatPr defaultColWidth="8.85546875" defaultRowHeight="14.25" x14ac:dyDescent="0.2"/>
  <cols>
    <col min="1" max="1" width="54.28515625" style="51" customWidth="1"/>
    <col min="2" max="2" width="21" style="73" bestFit="1" customWidth="1"/>
    <col min="3" max="3" width="6.42578125" style="53" hidden="1" customWidth="1"/>
    <col min="4" max="4" width="2.85546875" style="73" customWidth="1"/>
    <col min="5" max="5" width="21" style="73" bestFit="1" customWidth="1"/>
    <col min="6" max="6" width="8.85546875" style="52" hidden="1" customWidth="1"/>
    <col min="7" max="7" width="2.85546875" style="52" customWidth="1"/>
    <col min="8" max="8" width="6.7109375" style="52" bestFit="1" customWidth="1"/>
    <col min="9" max="16384" width="8.85546875" style="54"/>
  </cols>
  <sheetData>
    <row r="1" spans="1:15" x14ac:dyDescent="0.2">
      <c r="A1" s="522" t="s">
        <v>148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1"/>
      <c r="N1" s="51"/>
      <c r="O1" s="51"/>
    </row>
    <row r="2" spans="1:15" x14ac:dyDescent="0.2">
      <c r="A2" s="522" t="s">
        <v>149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1"/>
      <c r="N2" s="51"/>
      <c r="O2" s="51"/>
    </row>
    <row r="3" spans="1:15" x14ac:dyDescent="0.2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1"/>
      <c r="N3" s="51"/>
      <c r="O3" s="51"/>
    </row>
    <row r="4" spans="1:15" x14ac:dyDescent="0.2">
      <c r="A4" s="105"/>
      <c r="B4" s="106"/>
      <c r="C4" s="106"/>
      <c r="D4" s="106"/>
      <c r="E4" s="106"/>
      <c r="F4" s="105"/>
      <c r="G4" s="105"/>
      <c r="H4" s="105"/>
      <c r="I4" s="105"/>
      <c r="J4" s="105"/>
      <c r="K4" s="105"/>
      <c r="L4" s="105"/>
      <c r="M4" s="51"/>
      <c r="N4" s="51"/>
      <c r="O4" s="51"/>
    </row>
    <row r="5" spans="1:15" s="48" customFormat="1" ht="48.75" customHeight="1" x14ac:dyDescent="0.2">
      <c r="B5" s="62" t="s">
        <v>60</v>
      </c>
      <c r="C5" s="62"/>
      <c r="D5" s="49"/>
      <c r="E5" s="62" t="s">
        <v>61</v>
      </c>
      <c r="F5" s="63"/>
      <c r="G5" s="49"/>
      <c r="H5" s="63"/>
    </row>
    <row r="6" spans="1:15" s="48" customFormat="1" x14ac:dyDescent="0.2">
      <c r="B6" s="49"/>
      <c r="C6" s="50"/>
      <c r="D6" s="49"/>
      <c r="E6" s="49"/>
      <c r="F6" s="49"/>
      <c r="G6" s="49"/>
      <c r="H6" s="49"/>
    </row>
    <row r="7" spans="1:15" x14ac:dyDescent="0.2">
      <c r="A7" s="51" t="s">
        <v>62</v>
      </c>
      <c r="B7" s="73" t="e">
        <f>+#REF!</f>
        <v>#REF!</v>
      </c>
      <c r="E7" s="73" t="e">
        <f>'Proposed Budget Year 2'!C10</f>
        <v>#REF!</v>
      </c>
      <c r="F7" s="53"/>
      <c r="H7" s="53"/>
    </row>
    <row r="8" spans="1:15" x14ac:dyDescent="0.2">
      <c r="F8" s="53"/>
      <c r="H8" s="53"/>
    </row>
    <row r="9" spans="1:15" ht="13.9" customHeight="1" x14ac:dyDescent="0.2">
      <c r="A9" s="51" t="s">
        <v>63</v>
      </c>
      <c r="B9" s="73" t="e">
        <f>+#REF!</f>
        <v>#REF!</v>
      </c>
      <c r="E9" s="73" t="e">
        <f>'Proposed Budget Year 2'!C38</f>
        <v>#REF!</v>
      </c>
      <c r="F9" s="53"/>
      <c r="H9" s="53"/>
    </row>
    <row r="10" spans="1:15" ht="13.9" customHeight="1" x14ac:dyDescent="0.2">
      <c r="F10" s="53"/>
      <c r="H10" s="53"/>
    </row>
    <row r="11" spans="1:15" x14ac:dyDescent="0.2">
      <c r="A11" s="51" t="s">
        <v>64</v>
      </c>
      <c r="B11" s="73" t="e">
        <f>'Proposed Budget Year 1'!C18</f>
        <v>#REF!</v>
      </c>
      <c r="E11" s="73" t="e">
        <f>'Proposed Budget Year 2'!C22</f>
        <v>#REF!</v>
      </c>
      <c r="F11" s="53"/>
    </row>
    <row r="13" spans="1:15" ht="28.5" x14ac:dyDescent="0.2">
      <c r="A13" s="51" t="s">
        <v>65</v>
      </c>
      <c r="B13" s="73" t="e">
        <f>'Proposed Budget Year 1'!C24-'Proposed Budget Year 1'!C18</f>
        <v>#REF!</v>
      </c>
      <c r="E13" s="73" t="e">
        <f>'Proposed Budget Year 2'!C28-'Proposed Budget Year 2'!C22</f>
        <v>#REF!</v>
      </c>
    </row>
    <row r="14" spans="1:15" x14ac:dyDescent="0.2">
      <c r="A14" s="109" t="e">
        <f>'Proposed Budget Year 1'!A15</f>
        <v>#REF!</v>
      </c>
    </row>
    <row r="15" spans="1:15" x14ac:dyDescent="0.2">
      <c r="A15" s="109" t="e">
        <f>'Proposed Budget Year 1'!A16</f>
        <v>#REF!</v>
      </c>
    </row>
    <row r="16" spans="1:15" x14ac:dyDescent="0.2">
      <c r="A16" s="109" t="e">
        <f>'Proposed Budget Year 1'!A17</f>
        <v>#REF!</v>
      </c>
    </row>
    <row r="17" spans="1:5" x14ac:dyDescent="0.2">
      <c r="A17" s="109" t="e">
        <f>'Proposed Budget Year 1'!A19</f>
        <v>#REF!</v>
      </c>
    </row>
    <row r="18" spans="1:5" x14ac:dyDescent="0.2">
      <c r="A18" s="109" t="e">
        <f>'Proposed Budget Year 1'!A20</f>
        <v>#REF!</v>
      </c>
    </row>
    <row r="19" spans="1:5" x14ac:dyDescent="0.2">
      <c r="A19" s="109" t="str">
        <f>'Proposed Budget Year 1'!A21</f>
        <v>Dialysis Treatments</v>
      </c>
    </row>
    <row r="20" spans="1:5" x14ac:dyDescent="0.2">
      <c r="A20" s="109" t="s">
        <v>166</v>
      </c>
    </row>
    <row r="21" spans="1:5" x14ac:dyDescent="0.2">
      <c r="A21" s="109" t="s">
        <v>3</v>
      </c>
      <c r="B21" s="73" t="e">
        <f>'Proposed Budget Year 1'!C12</f>
        <v>#REF!</v>
      </c>
      <c r="E21" s="73" t="e">
        <f>'Proposed Budget Year 2'!C16</f>
        <v>#REF!</v>
      </c>
    </row>
    <row r="23" spans="1:5" x14ac:dyDescent="0.2">
      <c r="A23" s="51" t="s">
        <v>66</v>
      </c>
      <c r="B23" s="73" t="e">
        <f>'Proposed Budget Year 1'!C64</f>
        <v>#REF!</v>
      </c>
      <c r="E23" s="73" t="e">
        <f>'Proposed Budget Year 2'!C67</f>
        <v>#REF!</v>
      </c>
    </row>
    <row r="24" spans="1:5" x14ac:dyDescent="0.2">
      <c r="A24" s="109" t="s">
        <v>162</v>
      </c>
    </row>
    <row r="25" spans="1:5" x14ac:dyDescent="0.2">
      <c r="A25" s="109" t="s">
        <v>114</v>
      </c>
    </row>
    <row r="26" spans="1:5" x14ac:dyDescent="0.2">
      <c r="A26" s="109" t="s">
        <v>115</v>
      </c>
    </row>
    <row r="27" spans="1:5" x14ac:dyDescent="0.2">
      <c r="A27" s="109" t="s">
        <v>107</v>
      </c>
    </row>
    <row r="28" spans="1:5" x14ac:dyDescent="0.2">
      <c r="A28" s="109" t="s">
        <v>116</v>
      </c>
    </row>
    <row r="29" spans="1:5" x14ac:dyDescent="0.2">
      <c r="A29" s="109" t="s">
        <v>117</v>
      </c>
    </row>
    <row r="30" spans="1:5" x14ac:dyDescent="0.2">
      <c r="A30" s="109" t="s">
        <v>99</v>
      </c>
    </row>
    <row r="31" spans="1:5" x14ac:dyDescent="0.2">
      <c r="A31" s="109" t="s">
        <v>5</v>
      </c>
    </row>
    <row r="32" spans="1:5" x14ac:dyDescent="0.2">
      <c r="A32" s="109" t="s">
        <v>108</v>
      </c>
    </row>
    <row r="33" spans="1:5" x14ac:dyDescent="0.2">
      <c r="A33" s="109" t="s">
        <v>118</v>
      </c>
    </row>
    <row r="34" spans="1:5" x14ac:dyDescent="0.2">
      <c r="A34" s="109" t="s">
        <v>119</v>
      </c>
    </row>
    <row r="35" spans="1:5" x14ac:dyDescent="0.2">
      <c r="A35" s="109" t="s">
        <v>120</v>
      </c>
    </row>
    <row r="36" spans="1:5" x14ac:dyDescent="0.2">
      <c r="A36" s="109" t="s">
        <v>121</v>
      </c>
    </row>
    <row r="37" spans="1:5" x14ac:dyDescent="0.2">
      <c r="A37" s="109" t="s">
        <v>24</v>
      </c>
    </row>
    <row r="38" spans="1:5" x14ac:dyDescent="0.2">
      <c r="A38" s="109" t="s">
        <v>25</v>
      </c>
    </row>
    <row r="39" spans="1:5" x14ac:dyDescent="0.2">
      <c r="A39" s="109" t="s">
        <v>26</v>
      </c>
    </row>
    <row r="40" spans="1:5" x14ac:dyDescent="0.2">
      <c r="A40" s="109" t="s">
        <v>27</v>
      </c>
    </row>
    <row r="41" spans="1:5" x14ac:dyDescent="0.2">
      <c r="A41" s="109" t="s">
        <v>28</v>
      </c>
    </row>
    <row r="42" spans="1:5" x14ac:dyDescent="0.2">
      <c r="A42" s="109" t="s">
        <v>98</v>
      </c>
    </row>
    <row r="43" spans="1:5" x14ac:dyDescent="0.2">
      <c r="A43" s="109" t="s">
        <v>100</v>
      </c>
    </row>
    <row r="44" spans="1:5" x14ac:dyDescent="0.2">
      <c r="A44" s="109" t="s">
        <v>122</v>
      </c>
    </row>
    <row r="45" spans="1:5" x14ac:dyDescent="0.2">
      <c r="A45" s="109" t="s">
        <v>124</v>
      </c>
    </row>
    <row r="46" spans="1:5" x14ac:dyDescent="0.2">
      <c r="A46" s="109" t="s">
        <v>106</v>
      </c>
      <c r="B46" s="73" t="e">
        <f>'Proposed Budget Year 1'!C71</f>
        <v>#REF!</v>
      </c>
    </row>
    <row r="48" spans="1:5" x14ac:dyDescent="0.2">
      <c r="A48" s="51" t="s">
        <v>55</v>
      </c>
      <c r="B48" s="73" t="e">
        <f>'Proposed Budget Year 1'!C69</f>
        <v>#REF!</v>
      </c>
      <c r="E48" s="73" t="e">
        <f>'Proposed Budget Year 2'!C72</f>
        <v>#REF!</v>
      </c>
    </row>
    <row r="49" spans="1:8" x14ac:dyDescent="0.2">
      <c r="B49" s="110"/>
      <c r="E49" s="110"/>
    </row>
    <row r="50" spans="1:8" x14ac:dyDescent="0.2">
      <c r="A50" s="51" t="s">
        <v>67</v>
      </c>
      <c r="B50" s="73">
        <v>0</v>
      </c>
      <c r="E50" s="73">
        <v>0</v>
      </c>
      <c r="H50" s="52" t="s">
        <v>170</v>
      </c>
    </row>
    <row r="52" spans="1:8" s="58" customFormat="1" ht="15" x14ac:dyDescent="0.25">
      <c r="A52" s="55" t="s">
        <v>152</v>
      </c>
      <c r="B52" s="111" t="e">
        <f>SUM(B7:B48)</f>
        <v>#REF!</v>
      </c>
      <c r="C52" s="56"/>
      <c r="D52" s="112"/>
      <c r="E52" s="111" t="e">
        <f>SUM(E7:E48)</f>
        <v>#REF!</v>
      </c>
      <c r="F52" s="57"/>
      <c r="G52" s="57"/>
      <c r="H52" s="57"/>
    </row>
    <row r="55" spans="1:8" x14ac:dyDescent="0.2">
      <c r="A55" s="59"/>
      <c r="B55" s="113"/>
      <c r="C55" s="61"/>
      <c r="D55" s="113"/>
      <c r="E55" s="113"/>
      <c r="F55" s="60"/>
      <c r="G55" s="60"/>
    </row>
  </sheetData>
  <mergeCells count="3">
    <mergeCell ref="A1:L1"/>
    <mergeCell ref="A2:L2"/>
    <mergeCell ref="A3:L3"/>
  </mergeCells>
  <printOptions horizontalCentered="1"/>
  <pageMargins left="0.45" right="0.45" top="0.75" bottom="0.5" header="0.3" footer="0.3"/>
  <pageSetup scale="9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1"/>
  <sheetViews>
    <sheetView topLeftCell="A55" workbookViewId="0">
      <selection activeCell="K58" sqref="K58"/>
    </sheetView>
  </sheetViews>
  <sheetFormatPr defaultColWidth="8.85546875" defaultRowHeight="14.25" x14ac:dyDescent="0.2"/>
  <cols>
    <col min="1" max="1" width="54.28515625" style="51" customWidth="1"/>
    <col min="2" max="2" width="21" style="73" bestFit="1" customWidth="1"/>
    <col min="3" max="3" width="8.85546875" style="53" hidden="1" customWidth="1"/>
    <col min="4" max="4" width="2.85546875" style="73" customWidth="1"/>
    <col min="5" max="5" width="21" style="73" bestFit="1" customWidth="1"/>
    <col min="6" max="6" width="8.85546875" style="52" hidden="1" customWidth="1"/>
    <col min="7" max="7" width="2.85546875" style="52" customWidth="1"/>
    <col min="8" max="8" width="6.7109375" style="52" bestFit="1" customWidth="1"/>
    <col min="9" max="11" width="8.85546875" style="54"/>
    <col min="12" max="13" width="8.85546875" style="54" customWidth="1"/>
    <col min="14" max="15" width="11.28515625" style="54" customWidth="1"/>
    <col min="16" max="16" width="9.5703125" style="54" customWidth="1"/>
    <col min="17" max="18" width="8.85546875" style="54" customWidth="1"/>
    <col min="19" max="16384" width="8.85546875" style="54"/>
  </cols>
  <sheetData>
    <row r="1" spans="1:16" s="48" customFormat="1" ht="48.75" customHeight="1" x14ac:dyDescent="0.2">
      <c r="B1" s="62" t="s">
        <v>60</v>
      </c>
      <c r="C1" s="62"/>
      <c r="D1" s="49"/>
      <c r="E1" s="62" t="s">
        <v>61</v>
      </c>
      <c r="F1" s="63"/>
      <c r="G1" s="49"/>
      <c r="H1" s="63"/>
      <c r="L1" s="48" t="s">
        <v>163</v>
      </c>
      <c r="M1" s="48">
        <v>0.87780000000000002</v>
      </c>
    </row>
    <row r="2" spans="1:16" s="48" customFormat="1" x14ac:dyDescent="0.2">
      <c r="B2" s="49"/>
      <c r="C2" s="50"/>
      <c r="D2" s="49"/>
      <c r="E2" s="49"/>
      <c r="F2" s="49"/>
      <c r="G2" s="49"/>
      <c r="H2" s="49"/>
      <c r="L2" s="48" t="s">
        <v>164</v>
      </c>
      <c r="M2" s="48">
        <v>1.6500000000000001E-2</v>
      </c>
      <c r="O2" s="48">
        <f>M1+M2</f>
        <v>0.89429999999999998</v>
      </c>
    </row>
    <row r="3" spans="1:16" s="48" customFormat="1" ht="15" x14ac:dyDescent="0.2">
      <c r="A3" s="108" t="s">
        <v>155</v>
      </c>
      <c r="B3" s="49"/>
      <c r="C3" s="50"/>
      <c r="D3" s="49"/>
      <c r="E3" s="49"/>
      <c r="F3" s="49"/>
      <c r="G3" s="49"/>
      <c r="H3" s="49"/>
    </row>
    <row r="4" spans="1:16" s="48" customFormat="1" x14ac:dyDescent="0.2">
      <c r="B4" s="49"/>
      <c r="C4" s="50"/>
      <c r="D4" s="49"/>
      <c r="E4" s="49"/>
      <c r="F4" s="49"/>
      <c r="G4" s="49"/>
      <c r="H4" s="49"/>
      <c r="L4" s="48" t="s">
        <v>165</v>
      </c>
      <c r="M4" s="48">
        <v>0.1057</v>
      </c>
      <c r="O4" s="48">
        <v>0.10249999999999999</v>
      </c>
    </row>
    <row r="5" spans="1:16" x14ac:dyDescent="0.2">
      <c r="A5" s="51" t="s">
        <v>62</v>
      </c>
      <c r="B5" s="73" t="e">
        <f>(#REF!+#REF!+#REF!+#REF!+#REF!+#REF!+#REF!+#REF!+#REF!+#REF!)*M11</f>
        <v>#REF!</v>
      </c>
      <c r="E5" s="73" t="e">
        <f>B5*'Proposed Budget Year 2'!G1</f>
        <v>#REF!</v>
      </c>
      <c r="F5" s="53"/>
      <c r="H5" s="53"/>
    </row>
    <row r="6" spans="1:16" x14ac:dyDescent="0.2">
      <c r="F6" s="53"/>
      <c r="H6" s="53"/>
    </row>
    <row r="7" spans="1:16" ht="13.9" customHeight="1" x14ac:dyDescent="0.2">
      <c r="A7" s="51" t="s">
        <v>63</v>
      </c>
      <c r="B7" s="73" t="e">
        <f>'Proposed Budget Year 1'!C35</f>
        <v>#REF!</v>
      </c>
      <c r="E7" s="73" t="e">
        <f>'Proposed Budget Year 2'!C38</f>
        <v>#REF!</v>
      </c>
      <c r="F7" s="53"/>
      <c r="H7" s="53"/>
      <c r="M7" s="54">
        <v>1</v>
      </c>
    </row>
    <row r="8" spans="1:16" ht="13.9" customHeight="1" x14ac:dyDescent="0.2">
      <c r="F8" s="53"/>
      <c r="H8" s="53"/>
    </row>
    <row r="9" spans="1:16" x14ac:dyDescent="0.2">
      <c r="A9" s="51" t="s">
        <v>64</v>
      </c>
      <c r="B9" s="73" t="e">
        <f>'Proposed Budget Year 1'!C18*O2</f>
        <v>#REF!</v>
      </c>
      <c r="E9" s="73" t="e">
        <f>'Proposed Budget Year 2'!C22*O2</f>
        <v>#REF!</v>
      </c>
      <c r="F9" s="53"/>
    </row>
    <row r="10" spans="1:16" x14ac:dyDescent="0.2">
      <c r="O10" s="52"/>
    </row>
    <row r="11" spans="1:16" ht="28.5" x14ac:dyDescent="0.2">
      <c r="A11" s="51" t="s">
        <v>65</v>
      </c>
      <c r="B11" s="73" t="e">
        <f>'Proposed Budget Year 1'!C24-'Proposed Budget Year 1'!C18-'Proposed Budget Year 1'!C17</f>
        <v>#REF!</v>
      </c>
      <c r="E11" s="73" t="e">
        <f>'Proposed Budget Year 2'!C28-'Proposed Budget Year 2'!C22-'Proposed Budget Year 2'!C21</f>
        <v>#REF!</v>
      </c>
      <c r="L11" s="54" t="s">
        <v>179</v>
      </c>
      <c r="M11" s="124" t="e">
        <f>#REF!</f>
        <v>#REF!</v>
      </c>
      <c r="O11" s="52"/>
    </row>
    <row r="12" spans="1:16" x14ac:dyDescent="0.2">
      <c r="A12" s="109" t="str">
        <f>'Proposed Budget Year 1'!A14</f>
        <v>On-site Variable Costs</v>
      </c>
    </row>
    <row r="13" spans="1:16" x14ac:dyDescent="0.2">
      <c r="A13" s="109" t="e">
        <f>'Proposed Budget Year 1'!A15</f>
        <v>#REF!</v>
      </c>
    </row>
    <row r="14" spans="1:16" x14ac:dyDescent="0.2">
      <c r="A14" s="109" t="e">
        <f>'Proposed Budget Year 1'!A16</f>
        <v>#REF!</v>
      </c>
      <c r="O14" s="52"/>
    </row>
    <row r="15" spans="1:16" x14ac:dyDescent="0.2">
      <c r="A15" s="109" t="e">
        <f>'Proposed Budget Year 1'!A19</f>
        <v>#REF!</v>
      </c>
      <c r="L15" s="54" t="s">
        <v>180</v>
      </c>
      <c r="N15" s="52" t="e">
        <f>B5+B48+'Price Form Pg 3'!B5</f>
        <v>#REF!</v>
      </c>
      <c r="O15" s="127" t="e">
        <f>'New Pricing'!B7</f>
        <v>#REF!</v>
      </c>
      <c r="P15" s="52" t="e">
        <f>N15-O15</f>
        <v>#REF!</v>
      </c>
    </row>
    <row r="16" spans="1:16" x14ac:dyDescent="0.2">
      <c r="A16" s="109" t="e">
        <f>'Proposed Budget Year 1'!A20</f>
        <v>#REF!</v>
      </c>
      <c r="L16" s="54" t="s">
        <v>181</v>
      </c>
      <c r="N16" s="125" t="e">
        <f>B7</f>
        <v>#REF!</v>
      </c>
      <c r="O16" s="126" t="e">
        <f>'New Pricing'!B9</f>
        <v>#REF!</v>
      </c>
      <c r="P16" s="52" t="e">
        <f t="shared" ref="P16:P24" si="0">N16-O16</f>
        <v>#REF!</v>
      </c>
    </row>
    <row r="17" spans="1:16" x14ac:dyDescent="0.2">
      <c r="A17" s="109" t="s">
        <v>166</v>
      </c>
      <c r="L17" s="54" t="s">
        <v>182</v>
      </c>
      <c r="N17" s="52" t="e">
        <f>B9+'Price Form Pg 3'!B7</f>
        <v>#REF!</v>
      </c>
      <c r="P17" s="52"/>
    </row>
    <row r="18" spans="1:16" x14ac:dyDescent="0.2">
      <c r="L18" s="54" t="s">
        <v>183</v>
      </c>
      <c r="N18" s="52" t="e">
        <f>B50</f>
        <v>#REF!</v>
      </c>
      <c r="P18" s="52"/>
    </row>
    <row r="19" spans="1:16" x14ac:dyDescent="0.2">
      <c r="A19" s="51" t="s">
        <v>66</v>
      </c>
      <c r="B19" s="73" t="e">
        <f>'Proposed Budget Year 1'!C64*'Price Form Pg 2'!M1-5680-1818</f>
        <v>#REF!</v>
      </c>
      <c r="E19" s="73" t="e">
        <f>'Proposed Budget Year 2'!C67*'Price Form Pg 2'!M1-5822-1864</f>
        <v>#REF!</v>
      </c>
      <c r="L19" s="54" t="s">
        <v>184</v>
      </c>
      <c r="N19" s="52" t="e">
        <f>'Price Form Pg 2'!B11</f>
        <v>#REF!</v>
      </c>
      <c r="P19" s="52"/>
    </row>
    <row r="20" spans="1:16" x14ac:dyDescent="0.2">
      <c r="A20" s="109" t="s">
        <v>162</v>
      </c>
      <c r="L20" s="54" t="s">
        <v>185</v>
      </c>
      <c r="N20" s="125" t="e">
        <f>N17+N18+N19</f>
        <v>#REF!</v>
      </c>
      <c r="O20" s="126" t="e">
        <f>'New Pricing'!B11+'New Pricing'!B13</f>
        <v>#REF!</v>
      </c>
      <c r="P20" s="52" t="e">
        <f t="shared" si="0"/>
        <v>#REF!</v>
      </c>
    </row>
    <row r="21" spans="1:16" x14ac:dyDescent="0.2">
      <c r="A21" s="109" t="s">
        <v>114</v>
      </c>
      <c r="L21" s="54" t="s">
        <v>186</v>
      </c>
      <c r="N21" s="52" t="e">
        <f>B19+B52+'Price Form Pg 3'!B9</f>
        <v>#REF!</v>
      </c>
      <c r="O21" s="54" t="e">
        <f>'New Pricing'!B23</f>
        <v>#REF!</v>
      </c>
      <c r="P21" s="52" t="e">
        <f t="shared" si="0"/>
        <v>#REF!</v>
      </c>
    </row>
    <row r="22" spans="1:16" x14ac:dyDescent="0.2">
      <c r="A22" s="109" t="s">
        <v>115</v>
      </c>
      <c r="L22" s="54" t="s">
        <v>187</v>
      </c>
      <c r="N22" s="125" t="e">
        <f>'Price Form Pg 2'!B42</f>
        <v>#REF!</v>
      </c>
      <c r="O22" s="126" t="e">
        <f>'New Pricing'!B46</f>
        <v>#REF!</v>
      </c>
      <c r="P22" s="52" t="e">
        <f t="shared" si="0"/>
        <v>#REF!</v>
      </c>
    </row>
    <row r="23" spans="1:16" x14ac:dyDescent="0.2">
      <c r="A23" s="109" t="s">
        <v>107</v>
      </c>
      <c r="L23" s="54" t="s">
        <v>188</v>
      </c>
      <c r="N23" s="125" t="e">
        <f>B44+B76+'Price Form Pg 3'!B33+'Price Form Pg 3'!B42+'Price Form Pg 3'!B51+'Price Form Pg 4'!B9</f>
        <v>#REF!</v>
      </c>
      <c r="O23" s="126" t="e">
        <f>'New Pricing'!B48</f>
        <v>#REF!</v>
      </c>
      <c r="P23" s="52" t="e">
        <f t="shared" si="0"/>
        <v>#REF!</v>
      </c>
    </row>
    <row r="24" spans="1:16" x14ac:dyDescent="0.2">
      <c r="A24" s="109" t="s">
        <v>116</v>
      </c>
      <c r="L24" s="54" t="s">
        <v>189</v>
      </c>
      <c r="N24" s="126" t="e">
        <f>'Price Form Pg 4'!B7</f>
        <v>#REF!</v>
      </c>
      <c r="O24" s="126" t="e">
        <f>'New Pricing'!B21</f>
        <v>#REF!</v>
      </c>
      <c r="P24" s="52" t="e">
        <f t="shared" si="0"/>
        <v>#REF!</v>
      </c>
    </row>
    <row r="25" spans="1:16" x14ac:dyDescent="0.2">
      <c r="A25" s="109" t="s">
        <v>117</v>
      </c>
    </row>
    <row r="26" spans="1:16" x14ac:dyDescent="0.2">
      <c r="A26" s="109" t="s">
        <v>99</v>
      </c>
      <c r="N26" s="52" t="e">
        <f>SUM(N15:N25)</f>
        <v>#REF!</v>
      </c>
      <c r="O26" s="54" t="e">
        <f>SUM(O15:O25)</f>
        <v>#REF!</v>
      </c>
    </row>
    <row r="27" spans="1:16" x14ac:dyDescent="0.2">
      <c r="A27" s="109" t="s">
        <v>5</v>
      </c>
    </row>
    <row r="28" spans="1:16" x14ac:dyDescent="0.2">
      <c r="A28" s="109" t="s">
        <v>108</v>
      </c>
    </row>
    <row r="29" spans="1:16" x14ac:dyDescent="0.2">
      <c r="A29" s="109" t="s">
        <v>118</v>
      </c>
    </row>
    <row r="30" spans="1:16" x14ac:dyDescent="0.2">
      <c r="A30" s="109" t="s">
        <v>119</v>
      </c>
    </row>
    <row r="31" spans="1:16" x14ac:dyDescent="0.2">
      <c r="A31" s="109" t="s">
        <v>120</v>
      </c>
    </row>
    <row r="32" spans="1:16" x14ac:dyDescent="0.2">
      <c r="A32" s="109" t="s">
        <v>121</v>
      </c>
    </row>
    <row r="33" spans="1:5" x14ac:dyDescent="0.2">
      <c r="A33" s="109" t="s">
        <v>24</v>
      </c>
    </row>
    <row r="34" spans="1:5" x14ac:dyDescent="0.2">
      <c r="A34" s="109" t="s">
        <v>25</v>
      </c>
    </row>
    <row r="35" spans="1:5" x14ac:dyDescent="0.2">
      <c r="A35" s="109" t="s">
        <v>26</v>
      </c>
    </row>
    <row r="36" spans="1:5" x14ac:dyDescent="0.2">
      <c r="A36" s="109" t="s">
        <v>27</v>
      </c>
    </row>
    <row r="37" spans="1:5" x14ac:dyDescent="0.2">
      <c r="A37" s="109" t="s">
        <v>28</v>
      </c>
    </row>
    <row r="38" spans="1:5" x14ac:dyDescent="0.2">
      <c r="A38" s="109" t="s">
        <v>98</v>
      </c>
    </row>
    <row r="39" spans="1:5" x14ac:dyDescent="0.2">
      <c r="A39" s="109" t="s">
        <v>100</v>
      </c>
    </row>
    <row r="40" spans="1:5" x14ac:dyDescent="0.2">
      <c r="A40" s="109" t="s">
        <v>122</v>
      </c>
    </row>
    <row r="41" spans="1:5" x14ac:dyDescent="0.2">
      <c r="A41" s="109" t="s">
        <v>124</v>
      </c>
    </row>
    <row r="42" spans="1:5" x14ac:dyDescent="0.2">
      <c r="A42" s="109" t="s">
        <v>106</v>
      </c>
      <c r="B42" s="73" t="e">
        <f>'Proposed Budget Year 1'!C71</f>
        <v>#REF!</v>
      </c>
      <c r="E42" s="73">
        <f>'New Pricing'!E469</f>
        <v>0</v>
      </c>
    </row>
    <row r="44" spans="1:5" x14ac:dyDescent="0.2">
      <c r="A44" s="51" t="s">
        <v>55</v>
      </c>
      <c r="B44" s="73" t="e">
        <f>'Price Form Pg 4'!K28</f>
        <v>#REF!</v>
      </c>
      <c r="E44" s="73" t="e">
        <f>B44*1.025</f>
        <v>#REF!</v>
      </c>
    </row>
    <row r="45" spans="1:5" x14ac:dyDescent="0.2">
      <c r="B45" s="110"/>
      <c r="E45" s="110"/>
    </row>
    <row r="47" spans="1:5" ht="15" x14ac:dyDescent="0.25">
      <c r="A47" s="107" t="s">
        <v>153</v>
      </c>
    </row>
    <row r="48" spans="1:5" x14ac:dyDescent="0.2">
      <c r="A48" s="51" t="s">
        <v>154</v>
      </c>
      <c r="B48" s="73" t="e">
        <f>(#REF!+#REF!)*M11</f>
        <v>#REF!</v>
      </c>
      <c r="E48" s="73" t="e">
        <f>B48*'Proposed Budget Year 2'!G1</f>
        <v>#REF!</v>
      </c>
    </row>
    <row r="50" spans="1:5" x14ac:dyDescent="0.2">
      <c r="A50" s="51" t="s">
        <v>64</v>
      </c>
      <c r="B50" s="73" t="e">
        <f>'Proposed Budget Year 1'!C17</f>
        <v>#REF!</v>
      </c>
      <c r="E50" s="73" t="e">
        <f>'Proposed Budget Year 2'!C21</f>
        <v>#REF!</v>
      </c>
    </row>
    <row r="52" spans="1:5" x14ac:dyDescent="0.2">
      <c r="A52" s="109" t="s">
        <v>66</v>
      </c>
      <c r="B52" s="73" t="e">
        <f>'Proposed Budget Year 1'!C64*'Price Form Pg 2'!M2</f>
        <v>#REF!</v>
      </c>
      <c r="E52" s="73" t="e">
        <f>'Proposed Budget Year 2'!C67*'Price Form Pg 2'!M2</f>
        <v>#REF!</v>
      </c>
    </row>
    <row r="53" spans="1:5" x14ac:dyDescent="0.2">
      <c r="A53" s="109" t="str">
        <f>A20</f>
        <v>Office Supplies</v>
      </c>
    </row>
    <row r="54" spans="1:5" x14ac:dyDescent="0.2">
      <c r="A54" s="109" t="str">
        <f t="shared" ref="A54:A74" si="1">A21</f>
        <v>Medical Waste</v>
      </c>
    </row>
    <row r="55" spans="1:5" x14ac:dyDescent="0.2">
      <c r="A55" s="109" t="str">
        <f t="shared" si="1"/>
        <v>Long Distance &amp; Phones</v>
      </c>
    </row>
    <row r="56" spans="1:5" x14ac:dyDescent="0.2">
      <c r="A56" s="109" t="str">
        <f t="shared" si="1"/>
        <v>Computers</v>
      </c>
    </row>
    <row r="57" spans="1:5" x14ac:dyDescent="0.2">
      <c r="A57" s="109" t="str">
        <f t="shared" si="1"/>
        <v>Dell 3330dn Laser Printers</v>
      </c>
    </row>
    <row r="58" spans="1:5" x14ac:dyDescent="0.2">
      <c r="A58" s="109" t="str">
        <f t="shared" si="1"/>
        <v>14K Page Toner</v>
      </c>
    </row>
    <row r="59" spans="1:5" x14ac:dyDescent="0.2">
      <c r="A59" s="109" t="str">
        <f t="shared" si="1"/>
        <v>Recruitment</v>
      </c>
    </row>
    <row r="60" spans="1:5" x14ac:dyDescent="0.2">
      <c r="A60" s="109" t="str">
        <f t="shared" si="1"/>
        <v>Travel</v>
      </c>
    </row>
    <row r="61" spans="1:5" x14ac:dyDescent="0.2">
      <c r="A61" s="109" t="str">
        <f t="shared" si="1"/>
        <v>Scanners</v>
      </c>
    </row>
    <row r="62" spans="1:5" x14ac:dyDescent="0.2">
      <c r="A62" s="109" t="str">
        <f t="shared" si="1"/>
        <v>Large Copier FAX/Printer/Scanner</v>
      </c>
    </row>
    <row r="63" spans="1:5" x14ac:dyDescent="0.2">
      <c r="A63" s="109" t="str">
        <f t="shared" si="1"/>
        <v>H.S.A. Fax</v>
      </c>
    </row>
    <row r="64" spans="1:5" x14ac:dyDescent="0.2">
      <c r="A64" s="109" t="str">
        <f t="shared" si="1"/>
        <v>Time Clocks &amp; licenses</v>
      </c>
    </row>
    <row r="65" spans="1:8" x14ac:dyDescent="0.2">
      <c r="A65" s="109" t="str">
        <f t="shared" si="1"/>
        <v>Shredding</v>
      </c>
    </row>
    <row r="66" spans="1:8" x14ac:dyDescent="0.2">
      <c r="A66" s="109" t="str">
        <f t="shared" si="1"/>
        <v>Med Claims Expense</v>
      </c>
    </row>
    <row r="67" spans="1:8" x14ac:dyDescent="0.2">
      <c r="A67" s="109" t="str">
        <f t="shared" si="1"/>
        <v>Legal Expense</v>
      </c>
    </row>
    <row r="68" spans="1:8" x14ac:dyDescent="0.2">
      <c r="A68" s="109" t="str">
        <f t="shared" si="1"/>
        <v>Ins - General</v>
      </c>
    </row>
    <row r="69" spans="1:8" x14ac:dyDescent="0.2">
      <c r="A69" s="109" t="str">
        <f t="shared" si="1"/>
        <v>Ins - Med Mal</v>
      </c>
    </row>
    <row r="70" spans="1:8" x14ac:dyDescent="0.2">
      <c r="A70" s="109" t="str">
        <f t="shared" si="1"/>
        <v>Ins - Workers Comp</v>
      </c>
    </row>
    <row r="71" spans="1:8" x14ac:dyDescent="0.2">
      <c r="A71" s="109" t="str">
        <f t="shared" si="1"/>
        <v>NCCHC Dues</v>
      </c>
    </row>
    <row r="72" spans="1:8" x14ac:dyDescent="0.2">
      <c r="A72" s="109" t="str">
        <f t="shared" si="1"/>
        <v>Microsoft User Licenses</v>
      </c>
    </row>
    <row r="73" spans="1:8" x14ac:dyDescent="0.2">
      <c r="A73" s="109" t="str">
        <f t="shared" si="1"/>
        <v>CorEMR</v>
      </c>
    </row>
    <row r="74" spans="1:8" x14ac:dyDescent="0.2">
      <c r="A74" s="109" t="str">
        <f t="shared" si="1"/>
        <v>Depreciation (digital X-Ray)</v>
      </c>
    </row>
    <row r="76" spans="1:8" x14ac:dyDescent="0.2">
      <c r="A76" s="51" t="s">
        <v>55</v>
      </c>
      <c r="B76" s="73" t="e">
        <f>'Price Form Pg 4'!K27</f>
        <v>#REF!</v>
      </c>
      <c r="E76" s="73" t="e">
        <f>B76*1.025</f>
        <v>#REF!</v>
      </c>
    </row>
    <row r="78" spans="1:8" s="58" customFormat="1" ht="15" x14ac:dyDescent="0.25">
      <c r="A78" s="55" t="s">
        <v>152</v>
      </c>
      <c r="B78" s="111" t="e">
        <f>SUM(B5:B76)</f>
        <v>#REF!</v>
      </c>
      <c r="C78" s="56"/>
      <c r="D78" s="112"/>
      <c r="E78" s="111" t="e">
        <f>SUM(E5:E76)</f>
        <v>#REF!</v>
      </c>
      <c r="F78" s="57"/>
      <c r="G78" s="57"/>
      <c r="H78" s="57"/>
    </row>
    <row r="81" spans="1:7" x14ac:dyDescent="0.2">
      <c r="A81" s="59"/>
      <c r="B81" s="113"/>
      <c r="C81" s="61"/>
      <c r="D81" s="113"/>
      <c r="E81" s="113"/>
      <c r="F81" s="60"/>
      <c r="G81" s="60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8"/>
  <sheetViews>
    <sheetView topLeftCell="A4" workbookViewId="0">
      <selection activeCell="K58" sqref="K58"/>
    </sheetView>
  </sheetViews>
  <sheetFormatPr defaultColWidth="8.85546875" defaultRowHeight="14.25" x14ac:dyDescent="0.2"/>
  <cols>
    <col min="1" max="1" width="54.28515625" style="51" customWidth="1"/>
    <col min="2" max="2" width="21" style="73" bestFit="1" customWidth="1"/>
    <col min="3" max="3" width="8.85546875" style="53" hidden="1" customWidth="1"/>
    <col min="4" max="4" width="2.85546875" style="73" customWidth="1"/>
    <col min="5" max="5" width="21" style="73" bestFit="1" customWidth="1"/>
    <col min="6" max="6" width="8.85546875" style="52" hidden="1" customWidth="1"/>
    <col min="7" max="7" width="2.85546875" style="52" customWidth="1"/>
    <col min="8" max="8" width="6.7109375" style="52" bestFit="1" customWidth="1"/>
    <col min="9" max="9" width="8.85546875" style="54"/>
    <col min="10" max="14" width="0" style="54" hidden="1" customWidth="1"/>
    <col min="15" max="16384" width="8.85546875" style="54"/>
  </cols>
  <sheetData>
    <row r="1" spans="1:8" s="48" customFormat="1" ht="48.75" customHeight="1" x14ac:dyDescent="0.2">
      <c r="B1" s="62" t="s">
        <v>60</v>
      </c>
      <c r="C1" s="62"/>
      <c r="D1" s="49"/>
      <c r="E1" s="62" t="s">
        <v>61</v>
      </c>
      <c r="F1" s="63"/>
      <c r="G1" s="49"/>
      <c r="H1" s="63"/>
    </row>
    <row r="2" spans="1:8" s="48" customFormat="1" x14ac:dyDescent="0.2">
      <c r="B2" s="49"/>
      <c r="C2" s="50"/>
      <c r="D2" s="49"/>
      <c r="E2" s="49"/>
      <c r="F2" s="49"/>
      <c r="G2" s="49"/>
      <c r="H2" s="49"/>
    </row>
    <row r="3" spans="1:8" s="48" customFormat="1" ht="15" x14ac:dyDescent="0.2">
      <c r="A3" s="108" t="s">
        <v>156</v>
      </c>
      <c r="B3" s="49"/>
      <c r="C3" s="50"/>
      <c r="D3" s="49"/>
      <c r="E3" s="49"/>
      <c r="F3" s="49"/>
      <c r="G3" s="49"/>
      <c r="H3" s="49"/>
    </row>
    <row r="4" spans="1:8" s="48" customFormat="1" x14ac:dyDescent="0.2">
      <c r="B4" s="49"/>
      <c r="C4" s="50"/>
      <c r="D4" s="49"/>
      <c r="E4" s="49"/>
      <c r="F4" s="49"/>
      <c r="G4" s="49"/>
      <c r="H4" s="49"/>
    </row>
    <row r="5" spans="1:8" x14ac:dyDescent="0.2">
      <c r="A5" s="51" t="s">
        <v>62</v>
      </c>
      <c r="B5" s="73" t="e">
        <f>(#REF!+#REF!)*'Price Form Pg 2'!M11</f>
        <v>#REF!</v>
      </c>
      <c r="E5" s="73" t="e">
        <f>B5*'Proposed Budget Year 2'!G1</f>
        <v>#REF!</v>
      </c>
      <c r="F5" s="53"/>
      <c r="H5" s="53"/>
    </row>
    <row r="6" spans="1:8" x14ac:dyDescent="0.2">
      <c r="F6" s="53"/>
      <c r="H6" s="53"/>
    </row>
    <row r="7" spans="1:8" x14ac:dyDescent="0.2">
      <c r="A7" s="51" t="s">
        <v>64</v>
      </c>
      <c r="B7" s="73" t="e">
        <f>'Proposed Budget Year 1'!C18*'Price Form Pg 2'!M4</f>
        <v>#REF!</v>
      </c>
      <c r="E7" s="73" t="e">
        <f>'Proposed Budget Year 2'!C22*'Price Form Pg 2'!M4</f>
        <v>#REF!</v>
      </c>
      <c r="F7" s="53"/>
    </row>
    <row r="9" spans="1:8" x14ac:dyDescent="0.2">
      <c r="A9" s="115" t="s">
        <v>66</v>
      </c>
      <c r="B9" s="73" t="e">
        <f>'Proposed Budget Year 1'!C64*'Price Form Pg 2'!M4</f>
        <v>#REF!</v>
      </c>
      <c r="E9" s="73" t="e">
        <f>'Proposed Budget Year 2'!C67*'Price Form Pg 2'!M4</f>
        <v>#REF!</v>
      </c>
    </row>
    <row r="10" spans="1:8" x14ac:dyDescent="0.2">
      <c r="A10" s="109" t="str">
        <f>'Price Form Pg 2'!A20</f>
        <v>Office Supplies</v>
      </c>
    </row>
    <row r="11" spans="1:8" x14ac:dyDescent="0.2">
      <c r="A11" s="109" t="str">
        <f>'Price Form Pg 2'!A21</f>
        <v>Medical Waste</v>
      </c>
    </row>
    <row r="12" spans="1:8" x14ac:dyDescent="0.2">
      <c r="A12" s="109" t="str">
        <f>'Price Form Pg 2'!A22</f>
        <v>Long Distance &amp; Phones</v>
      </c>
    </row>
    <row r="13" spans="1:8" x14ac:dyDescent="0.2">
      <c r="A13" s="109" t="str">
        <f>'Price Form Pg 2'!A23</f>
        <v>Computers</v>
      </c>
    </row>
    <row r="14" spans="1:8" x14ac:dyDescent="0.2">
      <c r="A14" s="109" t="str">
        <f>'Price Form Pg 2'!A24</f>
        <v>Dell 3330dn Laser Printers</v>
      </c>
    </row>
    <row r="15" spans="1:8" x14ac:dyDescent="0.2">
      <c r="A15" s="109" t="str">
        <f>'Price Form Pg 2'!A25</f>
        <v>14K Page Toner</v>
      </c>
    </row>
    <row r="16" spans="1:8" x14ac:dyDescent="0.2">
      <c r="A16" s="109" t="str">
        <f>'Price Form Pg 2'!A26</f>
        <v>Recruitment</v>
      </c>
    </row>
    <row r="17" spans="1:14" x14ac:dyDescent="0.2">
      <c r="A17" s="109" t="str">
        <f>'Price Form Pg 2'!A27</f>
        <v>Travel</v>
      </c>
    </row>
    <row r="18" spans="1:14" x14ac:dyDescent="0.2">
      <c r="A18" s="109" t="str">
        <f>'Price Form Pg 2'!A28</f>
        <v>Scanners</v>
      </c>
    </row>
    <row r="19" spans="1:14" x14ac:dyDescent="0.2">
      <c r="A19" s="109" t="str">
        <f>'Price Form Pg 2'!A29</f>
        <v>Large Copier FAX/Printer/Scanner</v>
      </c>
    </row>
    <row r="20" spans="1:14" x14ac:dyDescent="0.2">
      <c r="A20" s="109" t="str">
        <f>'Price Form Pg 2'!A30</f>
        <v>H.S.A. Fax</v>
      </c>
    </row>
    <row r="21" spans="1:14" x14ac:dyDescent="0.2">
      <c r="A21" s="109" t="str">
        <f>'Price Form Pg 2'!A31</f>
        <v>Time Clocks &amp; licenses</v>
      </c>
    </row>
    <row r="22" spans="1:14" x14ac:dyDescent="0.2">
      <c r="A22" s="109" t="str">
        <f>'Price Form Pg 2'!A32</f>
        <v>Shredding</v>
      </c>
    </row>
    <row r="23" spans="1:14" x14ac:dyDescent="0.2">
      <c r="A23" s="109" t="str">
        <f>'Price Form Pg 2'!A33</f>
        <v>Med Claims Expense</v>
      </c>
    </row>
    <row r="24" spans="1:14" x14ac:dyDescent="0.2">
      <c r="A24" s="109" t="str">
        <f>'Price Form Pg 2'!A34</f>
        <v>Legal Expense</v>
      </c>
    </row>
    <row r="25" spans="1:14" x14ac:dyDescent="0.2">
      <c r="A25" s="109" t="str">
        <f>'Price Form Pg 2'!A35</f>
        <v>Ins - General</v>
      </c>
    </row>
    <row r="26" spans="1:14" x14ac:dyDescent="0.2">
      <c r="A26" s="109" t="str">
        <f>'Price Form Pg 2'!A36</f>
        <v>Ins - Med Mal</v>
      </c>
    </row>
    <row r="27" spans="1:14" x14ac:dyDescent="0.2">
      <c r="A27" s="109" t="str">
        <f>'Price Form Pg 2'!A37</f>
        <v>Ins - Workers Comp</v>
      </c>
    </row>
    <row r="28" spans="1:14" x14ac:dyDescent="0.2">
      <c r="A28" s="109" t="str">
        <f>'Price Form Pg 2'!A38</f>
        <v>NCCHC Dues</v>
      </c>
    </row>
    <row r="29" spans="1:14" x14ac:dyDescent="0.2">
      <c r="A29" s="109" t="str">
        <f>'Price Form Pg 2'!A39</f>
        <v>Microsoft User Licenses</v>
      </c>
    </row>
    <row r="30" spans="1:14" x14ac:dyDescent="0.2">
      <c r="A30" s="109" t="str">
        <f>'Price Form Pg 2'!A40</f>
        <v>CorEMR</v>
      </c>
    </row>
    <row r="31" spans="1:14" x14ac:dyDescent="0.2">
      <c r="A31" s="109" t="str">
        <f>'Price Form Pg 2'!A41</f>
        <v>Depreciation (digital X-Ray)</v>
      </c>
      <c r="K31" s="54">
        <v>27907</v>
      </c>
      <c r="M31" s="54">
        <v>49406.92447581797</v>
      </c>
      <c r="N31" s="54">
        <v>0.56483832523266875</v>
      </c>
    </row>
    <row r="32" spans="1:14" x14ac:dyDescent="0.2">
      <c r="M32" s="54">
        <v>0.30360116844232415</v>
      </c>
    </row>
    <row r="33" spans="1:13" x14ac:dyDescent="0.2">
      <c r="A33" s="51" t="s">
        <v>55</v>
      </c>
      <c r="B33" s="114">
        <f>'Price Form Pg 4'!K26</f>
        <v>54637.08126970724</v>
      </c>
      <c r="E33" s="73">
        <f>B33*1.025</f>
        <v>56003.008301449918</v>
      </c>
      <c r="J33" s="52" t="e">
        <f>B33+B42+B51</f>
        <v>#REF!</v>
      </c>
      <c r="K33" s="54" t="e">
        <f>B33/J33</f>
        <v>#REF!</v>
      </c>
      <c r="M33" s="54">
        <v>0.13156050632500713</v>
      </c>
    </row>
    <row r="34" spans="1:13" x14ac:dyDescent="0.2">
      <c r="B34" s="110"/>
      <c r="E34" s="110"/>
      <c r="J34" s="54" t="e">
        <f>B42/J33</f>
        <v>#REF!</v>
      </c>
    </row>
    <row r="35" spans="1:13" x14ac:dyDescent="0.2">
      <c r="B35" s="110"/>
      <c r="E35" s="110"/>
      <c r="J35" s="54" t="e">
        <f>B51/J33</f>
        <v>#REF!</v>
      </c>
    </row>
    <row r="36" spans="1:13" ht="15" x14ac:dyDescent="0.25">
      <c r="A36" s="107" t="s">
        <v>157</v>
      </c>
      <c r="B36" s="110"/>
      <c r="E36" s="110"/>
    </row>
    <row r="37" spans="1:13" x14ac:dyDescent="0.2">
      <c r="B37" s="110"/>
      <c r="E37" s="110"/>
    </row>
    <row r="38" spans="1:13" x14ac:dyDescent="0.2">
      <c r="A38" s="51" t="s">
        <v>154</v>
      </c>
      <c r="B38" s="73" t="e">
        <f>(120000)*'Price Form Pg 2'!M11</f>
        <v>#REF!</v>
      </c>
      <c r="E38" s="73" t="e">
        <f>B38*'Proposed Budget Year 2'!G1</f>
        <v>#REF!</v>
      </c>
    </row>
    <row r="40" spans="1:13" x14ac:dyDescent="0.2">
      <c r="A40" s="51" t="s">
        <v>66</v>
      </c>
      <c r="B40" s="73" t="s">
        <v>167</v>
      </c>
      <c r="E40" s="73" t="s">
        <v>167</v>
      </c>
    </row>
    <row r="42" spans="1:13" x14ac:dyDescent="0.2">
      <c r="A42" s="51" t="s">
        <v>55</v>
      </c>
      <c r="B42" s="73" t="e">
        <f>B38*0.1025</f>
        <v>#REF!</v>
      </c>
      <c r="E42" s="73" t="e">
        <f>E38*0.1025</f>
        <v>#REF!</v>
      </c>
    </row>
    <row r="43" spans="1:13" x14ac:dyDescent="0.2">
      <c r="B43" s="110"/>
    </row>
    <row r="44" spans="1:13" x14ac:dyDescent="0.2">
      <c r="B44" s="110"/>
    </row>
    <row r="45" spans="1:13" ht="30" x14ac:dyDescent="0.25">
      <c r="A45" s="107" t="s">
        <v>158</v>
      </c>
      <c r="B45" s="110"/>
    </row>
    <row r="46" spans="1:13" x14ac:dyDescent="0.2">
      <c r="B46" s="110"/>
    </row>
    <row r="47" spans="1:13" x14ac:dyDescent="0.2">
      <c r="A47" s="51" t="s">
        <v>154</v>
      </c>
      <c r="B47" s="73" t="e">
        <f>(50000)*'Price Form Pg 2'!M11</f>
        <v>#REF!</v>
      </c>
      <c r="E47" s="73" t="e">
        <f>B47*'Proposed Budget Year 2'!G1</f>
        <v>#REF!</v>
      </c>
    </row>
    <row r="49" spans="1:8" x14ac:dyDescent="0.2">
      <c r="A49" s="51" t="s">
        <v>66</v>
      </c>
      <c r="B49" s="73" t="s">
        <v>167</v>
      </c>
      <c r="E49" s="73" t="s">
        <v>167</v>
      </c>
    </row>
    <row r="51" spans="1:8" x14ac:dyDescent="0.2">
      <c r="A51" s="51" t="s">
        <v>55</v>
      </c>
      <c r="B51" s="73" t="e">
        <f>B47*0.1025</f>
        <v>#REF!</v>
      </c>
      <c r="E51" s="73" t="e">
        <f>E47*0.1025</f>
        <v>#REF!</v>
      </c>
    </row>
    <row r="53" spans="1:8" s="58" customFormat="1" ht="15" x14ac:dyDescent="0.25">
      <c r="A53" s="55" t="s">
        <v>152</v>
      </c>
      <c r="B53" s="111" t="e">
        <f>SUM(B5:B51)</f>
        <v>#REF!</v>
      </c>
      <c r="C53" s="56"/>
      <c r="D53" s="112"/>
      <c r="E53" s="111" t="e">
        <f>SUM(E5:E51)</f>
        <v>#REF!</v>
      </c>
      <c r="F53" s="57"/>
      <c r="G53" s="57"/>
      <c r="H53" s="57"/>
    </row>
    <row r="55" spans="1:8" ht="15" x14ac:dyDescent="0.25">
      <c r="A55" s="55" t="s">
        <v>190</v>
      </c>
      <c r="B55" s="73" t="e">
        <f>SUM(B5:B33)</f>
        <v>#REF!</v>
      </c>
      <c r="E55" s="73" t="e">
        <f>SUM(E5:E33)</f>
        <v>#REF!</v>
      </c>
    </row>
    <row r="56" spans="1:8" x14ac:dyDescent="0.2">
      <c r="A56" s="59"/>
      <c r="B56" s="113"/>
      <c r="C56" s="61"/>
      <c r="D56" s="113"/>
      <c r="E56" s="113"/>
      <c r="F56" s="60"/>
      <c r="G56" s="60"/>
    </row>
    <row r="58" spans="1:8" ht="42.75" x14ac:dyDescent="0.2">
      <c r="A58" s="51" t="s">
        <v>168</v>
      </c>
    </row>
  </sheetData>
  <pageMargins left="0.7" right="0.7" top="0.75" bottom="0.75" header="0.3" footer="0.3"/>
  <pageSetup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0"/>
  <sheetViews>
    <sheetView workbookViewId="0">
      <selection activeCell="K58" sqref="K58"/>
    </sheetView>
  </sheetViews>
  <sheetFormatPr defaultColWidth="8.85546875" defaultRowHeight="14.25" x14ac:dyDescent="0.2"/>
  <cols>
    <col min="1" max="1" width="54.28515625" style="51" customWidth="1"/>
    <col min="2" max="2" width="21" style="73" bestFit="1" customWidth="1"/>
    <col min="3" max="3" width="8.85546875" style="53" hidden="1" customWidth="1"/>
    <col min="4" max="4" width="2.85546875" style="73" customWidth="1"/>
    <col min="5" max="5" width="21" style="73" bestFit="1" customWidth="1"/>
    <col min="6" max="6" width="8.85546875" style="52" hidden="1" customWidth="1"/>
    <col min="7" max="7" width="2.85546875" style="52" customWidth="1"/>
    <col min="8" max="8" width="6.7109375" style="52" customWidth="1"/>
    <col min="9" max="10" width="8.85546875" style="54" customWidth="1"/>
    <col min="11" max="11" width="12.42578125" style="54" customWidth="1"/>
    <col min="12" max="16" width="8.85546875" style="54" customWidth="1"/>
    <col min="17" max="16384" width="8.85546875" style="54"/>
  </cols>
  <sheetData>
    <row r="1" spans="1:8" s="48" customFormat="1" ht="48.75" customHeight="1" x14ac:dyDescent="0.2">
      <c r="B1" s="62" t="s">
        <v>60</v>
      </c>
      <c r="C1" s="62"/>
      <c r="D1" s="49"/>
      <c r="E1" s="62" t="s">
        <v>61</v>
      </c>
      <c r="F1" s="63"/>
      <c r="G1" s="49"/>
      <c r="H1" s="63"/>
    </row>
    <row r="2" spans="1:8" s="48" customFormat="1" x14ac:dyDescent="0.2">
      <c r="B2" s="49"/>
      <c r="C2" s="50"/>
      <c r="D2" s="49"/>
      <c r="E2" s="49"/>
      <c r="F2" s="49"/>
      <c r="G2" s="49"/>
      <c r="H2" s="49"/>
    </row>
    <row r="3" spans="1:8" ht="15" x14ac:dyDescent="0.25">
      <c r="A3" s="107" t="s">
        <v>159</v>
      </c>
      <c r="F3" s="53"/>
      <c r="H3" s="53"/>
    </row>
    <row r="4" spans="1:8" x14ac:dyDescent="0.2">
      <c r="F4" s="53"/>
      <c r="H4" s="53"/>
    </row>
    <row r="5" spans="1:8" ht="13.9" customHeight="1" x14ac:dyDescent="0.2">
      <c r="F5" s="53"/>
      <c r="H5" s="53"/>
    </row>
    <row r="6" spans="1:8" ht="13.9" customHeight="1" x14ac:dyDescent="0.2">
      <c r="F6" s="53"/>
      <c r="H6" s="53"/>
    </row>
    <row r="7" spans="1:8" x14ac:dyDescent="0.2">
      <c r="A7" s="51" t="s">
        <v>160</v>
      </c>
      <c r="B7" s="73" t="e">
        <f>'Proposed Budget Year 1'!C12</f>
        <v>#REF!</v>
      </c>
      <c r="E7" s="73" t="e">
        <f>'Proposed Budget Year 2'!C16</f>
        <v>#REF!</v>
      </c>
      <c r="F7" s="53"/>
    </row>
    <row r="9" spans="1:8" x14ac:dyDescent="0.2">
      <c r="A9" s="51" t="s">
        <v>161</v>
      </c>
      <c r="B9" s="73">
        <f>K25</f>
        <v>42403.306269707238</v>
      </c>
      <c r="E9" s="73">
        <f>B9*1.025+1</f>
        <v>43464.388926449916</v>
      </c>
    </row>
    <row r="13" spans="1:8" x14ac:dyDescent="0.2">
      <c r="B13" s="110"/>
      <c r="E13" s="110"/>
    </row>
    <row r="14" spans="1:8" s="58" customFormat="1" ht="15" x14ac:dyDescent="0.25">
      <c r="A14" s="55" t="s">
        <v>152</v>
      </c>
      <c r="B14" s="111" t="e">
        <f>SUM(B3:B13)</f>
        <v>#REF!</v>
      </c>
      <c r="C14" s="56"/>
      <c r="D14" s="112"/>
      <c r="E14" s="111" t="e">
        <f>SUM(E3:E13)</f>
        <v>#REF!</v>
      </c>
      <c r="F14" s="57"/>
      <c r="G14" s="57"/>
      <c r="H14" s="57"/>
    </row>
    <row r="17" spans="1:15" x14ac:dyDescent="0.2">
      <c r="A17" s="59"/>
      <c r="B17" s="113"/>
      <c r="C17" s="61"/>
      <c r="D17" s="113"/>
      <c r="E17" s="113"/>
      <c r="F17" s="60"/>
      <c r="G17" s="60"/>
    </row>
    <row r="18" spans="1:15" ht="15" hidden="1" x14ac:dyDescent="0.25">
      <c r="A18" s="55" t="s">
        <v>169</v>
      </c>
      <c r="B18" s="73" t="e">
        <f>'Price Form Pg 2'!B78+'Price Form Pg 3'!B53+'Price Form Pg 4'!B14-'Price Form Pg 3'!B38-'Price Form Pg 3'!B42-'Price Form Pg 3'!B47-'Price Form Pg 3'!B51</f>
        <v>#REF!</v>
      </c>
      <c r="E18" s="73" t="e">
        <f>'Price Form Pg 2'!E78+'Price Form Pg 3'!E53+'Price Form Pg 4'!E14-'Price Form Pg 3'!E38-'Price Form Pg 3'!E42-'Price Form Pg 3'!E47-'Price Form Pg 3'!E51</f>
        <v>#REF!</v>
      </c>
    </row>
    <row r="24" spans="1:15" x14ac:dyDescent="0.2">
      <c r="L24" s="54">
        <v>358627</v>
      </c>
      <c r="M24" s="54" t="e">
        <f>L24-K29</f>
        <v>#REF!</v>
      </c>
      <c r="N24" s="54">
        <v>27290.825078828959</v>
      </c>
      <c r="O24" s="54">
        <f>N24/4</f>
        <v>6822.7062697072397</v>
      </c>
    </row>
    <row r="25" spans="1:15" x14ac:dyDescent="0.2">
      <c r="A25" s="51" t="s">
        <v>3</v>
      </c>
      <c r="B25" s="73" t="e">
        <f>B14</f>
        <v>#REF!</v>
      </c>
      <c r="E25" s="73" t="e">
        <f>E14</f>
        <v>#REF!</v>
      </c>
      <c r="I25" s="54" t="s">
        <v>189</v>
      </c>
      <c r="J25" s="54">
        <v>323460</v>
      </c>
      <c r="K25" s="52">
        <f>(J25*0.11)+$O$24</f>
        <v>42403.306269707238</v>
      </c>
    </row>
    <row r="26" spans="1:15" x14ac:dyDescent="0.2">
      <c r="A26" s="51" t="s">
        <v>177</v>
      </c>
      <c r="B26" s="73" t="e">
        <f>'Price Form Pg 3'!B55</f>
        <v>#REF!</v>
      </c>
      <c r="E26" s="73" t="e">
        <f>'Price Form Pg 3'!E55</f>
        <v>#REF!</v>
      </c>
      <c r="I26" s="54" t="s">
        <v>191</v>
      </c>
      <c r="J26" s="54">
        <v>455375</v>
      </c>
      <c r="K26" s="52">
        <f>(J26*0.105)+$O$24</f>
        <v>54637.08126970724</v>
      </c>
    </row>
    <row r="27" spans="1:15" x14ac:dyDescent="0.2">
      <c r="A27" s="51" t="s">
        <v>178</v>
      </c>
      <c r="B27" s="123" t="e">
        <f>'Price Form Pg 2'!B78</f>
        <v>#REF!</v>
      </c>
      <c r="E27" s="73" t="e">
        <f>'Price Form Pg 2'!E78</f>
        <v>#REF!</v>
      </c>
      <c r="I27" s="54" t="s">
        <v>192</v>
      </c>
      <c r="J27" s="54" t="e">
        <f>SUM('Price Form Pg 2'!B48:B73)</f>
        <v>#REF!</v>
      </c>
      <c r="K27" s="52" t="e">
        <f>(J27*0.105)+$O$24</f>
        <v>#REF!</v>
      </c>
    </row>
    <row r="28" spans="1:15" x14ac:dyDescent="0.2">
      <c r="A28" s="51" t="s">
        <v>1</v>
      </c>
      <c r="B28" s="73" t="e">
        <f>SUM(B25:B27)</f>
        <v>#REF!</v>
      </c>
      <c r="E28" s="73" t="e">
        <f>SUM(E25:E27)</f>
        <v>#REF!</v>
      </c>
      <c r="I28" s="54" t="s">
        <v>193</v>
      </c>
      <c r="J28" s="54" t="e">
        <f>SUM('Price Form Pg 2'!B5:B42)</f>
        <v>#REF!</v>
      </c>
      <c r="K28" s="52" t="e">
        <f>(J28*0.105)+$O$24</f>
        <v>#REF!</v>
      </c>
    </row>
    <row r="29" spans="1:15" x14ac:dyDescent="0.2">
      <c r="J29" s="54" t="e">
        <f>SUM(J25:J28)</f>
        <v>#REF!</v>
      </c>
      <c r="K29" s="54" t="e">
        <f>SUM(K25:K28)</f>
        <v>#REF!</v>
      </c>
    </row>
    <row r="30" spans="1:15" x14ac:dyDescent="0.2">
      <c r="B30" s="73" t="e">
        <f>B28-'New Pricing'!B52</f>
        <v>#REF!</v>
      </c>
      <c r="E30" s="73" t="e">
        <f>E28-'New Pricing'!E52</f>
        <v>#REF!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K76"/>
  <sheetViews>
    <sheetView topLeftCell="A47" workbookViewId="0">
      <selection activeCell="C24" sqref="C24"/>
    </sheetView>
  </sheetViews>
  <sheetFormatPr defaultRowHeight="12.75" x14ac:dyDescent="0.2"/>
  <cols>
    <col min="1" max="1" width="45" bestFit="1" customWidth="1"/>
    <col min="2" max="2" width="13.7109375" customWidth="1"/>
    <col min="3" max="3" width="20.85546875" customWidth="1"/>
    <col min="4" max="4" width="9.140625" customWidth="1"/>
    <col min="5" max="5" width="3" style="11" customWidth="1"/>
    <col min="6" max="6" width="15.85546875" customWidth="1"/>
  </cols>
  <sheetData>
    <row r="1" spans="1:11" ht="15.75" x14ac:dyDescent="0.25">
      <c r="A1" s="523" t="s">
        <v>150</v>
      </c>
      <c r="B1" s="523"/>
      <c r="C1" s="523"/>
      <c r="D1" s="523"/>
    </row>
    <row r="2" spans="1:11" ht="15.75" x14ac:dyDescent="0.25">
      <c r="A2" s="523" t="s">
        <v>151</v>
      </c>
      <c r="B2" s="523"/>
      <c r="C2" s="523"/>
      <c r="D2" s="523"/>
      <c r="K2">
        <v>1.03</v>
      </c>
    </row>
    <row r="3" spans="1:11" x14ac:dyDescent="0.2">
      <c r="B3" s="17"/>
      <c r="C3" s="17"/>
      <c r="D3" s="80"/>
    </row>
    <row r="4" spans="1:11" x14ac:dyDescent="0.2">
      <c r="B4" s="17"/>
      <c r="C4" s="81" t="s">
        <v>75</v>
      </c>
      <c r="D4" s="82" t="s">
        <v>76</v>
      </c>
      <c r="F4" s="129" t="s">
        <v>145</v>
      </c>
    </row>
    <row r="5" spans="1:11" x14ac:dyDescent="0.2">
      <c r="A5" s="12" t="s">
        <v>77</v>
      </c>
      <c r="B5" s="17"/>
      <c r="C5" s="17"/>
      <c r="D5" s="80"/>
    </row>
    <row r="6" spans="1:11" x14ac:dyDescent="0.2">
      <c r="A6" s="87" t="s">
        <v>80</v>
      </c>
      <c r="B6" s="88"/>
      <c r="C6" s="89" t="e">
        <f>+#REF!</f>
        <v>#REF!</v>
      </c>
      <c r="D6" s="82" t="e">
        <f>C6/$C$73</f>
        <v>#REF!</v>
      </c>
      <c r="F6" s="16" t="e">
        <f>+C6*$K$2</f>
        <v>#REF!</v>
      </c>
    </row>
    <row r="7" spans="1:11" x14ac:dyDescent="0.2">
      <c r="A7" s="90"/>
      <c r="B7" s="91"/>
      <c r="C7" s="85"/>
      <c r="D7" s="82"/>
    </row>
    <row r="8" spans="1:11" x14ac:dyDescent="0.2">
      <c r="A8" s="12" t="s">
        <v>81</v>
      </c>
      <c r="B8" s="91"/>
      <c r="C8" s="85"/>
      <c r="D8" s="80"/>
    </row>
    <row r="9" spans="1:11" x14ac:dyDescent="0.2">
      <c r="A9" s="46" t="s">
        <v>4</v>
      </c>
      <c r="B9" s="84"/>
      <c r="C9" s="101" t="e">
        <f>+#REF!</f>
        <v>#REF!</v>
      </c>
      <c r="D9" s="80"/>
    </row>
    <row r="10" spans="1:11" x14ac:dyDescent="0.2">
      <c r="A10" s="46" t="s">
        <v>82</v>
      </c>
      <c r="B10" s="84"/>
      <c r="C10" s="101" t="e">
        <f>+#REF!</f>
        <v>#REF!</v>
      </c>
      <c r="D10" s="80"/>
    </row>
    <row r="11" spans="1:11" x14ac:dyDescent="0.2">
      <c r="A11" s="46" t="s">
        <v>83</v>
      </c>
      <c r="B11" s="86"/>
      <c r="C11" s="101" t="e">
        <f>+#REF!</f>
        <v>#REF!</v>
      </c>
      <c r="D11" s="80"/>
    </row>
    <row r="12" spans="1:11" x14ac:dyDescent="0.2">
      <c r="A12" s="87" t="s">
        <v>84</v>
      </c>
      <c r="B12" s="88"/>
      <c r="C12" s="89" t="e">
        <f>SUM(C9:C11)</f>
        <v>#REF!</v>
      </c>
      <c r="D12" s="82" t="e">
        <f>C12/$C$73</f>
        <v>#REF!</v>
      </c>
      <c r="F12" s="16" t="e">
        <f>+C12*$K$2</f>
        <v>#REF!</v>
      </c>
    </row>
    <row r="13" spans="1:11" x14ac:dyDescent="0.2">
      <c r="B13" s="17"/>
      <c r="C13" s="17"/>
      <c r="D13" s="80"/>
    </row>
    <row r="14" spans="1:11" x14ac:dyDescent="0.2">
      <c r="A14" s="12" t="s">
        <v>85</v>
      </c>
      <c r="B14" s="91"/>
      <c r="C14" s="85"/>
      <c r="D14" s="80"/>
      <c r="I14" s="98" t="s">
        <v>109</v>
      </c>
    </row>
    <row r="15" spans="1:11" x14ac:dyDescent="0.2">
      <c r="A15" s="46" t="e">
        <f>#REF!</f>
        <v>#REF!</v>
      </c>
      <c r="B15" s="91"/>
      <c r="C15" s="102" t="e">
        <f>+#REF!*#REF!</f>
        <v>#REF!</v>
      </c>
      <c r="D15" s="80"/>
      <c r="I15" s="99" t="s">
        <v>86</v>
      </c>
    </row>
    <row r="16" spans="1:11" x14ac:dyDescent="0.2">
      <c r="A16" s="46" t="e">
        <f>#REF!</f>
        <v>#REF!</v>
      </c>
      <c r="B16" s="91"/>
      <c r="C16" s="102" t="e">
        <f>+#REF!*#REF!</f>
        <v>#REF!</v>
      </c>
      <c r="D16" s="80"/>
      <c r="I16" s="99" t="s">
        <v>110</v>
      </c>
    </row>
    <row r="17" spans="1:11" x14ac:dyDescent="0.2">
      <c r="A17" s="46" t="e">
        <f>#REF!</f>
        <v>#REF!</v>
      </c>
      <c r="B17" s="91"/>
      <c r="C17" s="102" t="e">
        <f>+#REF!*#REF!</f>
        <v>#REF!</v>
      </c>
      <c r="D17" s="80"/>
      <c r="I17" s="98" t="s">
        <v>111</v>
      </c>
    </row>
    <row r="18" spans="1:11" x14ac:dyDescent="0.2">
      <c r="A18" s="46" t="e">
        <f>#REF!</f>
        <v>#REF!</v>
      </c>
      <c r="B18" s="91"/>
      <c r="C18" s="102" t="e">
        <f>+#REF!*#REF!</f>
        <v>#REF!</v>
      </c>
      <c r="D18" s="80"/>
      <c r="I18" s="99" t="s">
        <v>112</v>
      </c>
    </row>
    <row r="19" spans="1:11" x14ac:dyDescent="0.2">
      <c r="A19" s="46" t="e">
        <f>#REF!</f>
        <v>#REF!</v>
      </c>
      <c r="B19" s="91"/>
      <c r="C19" s="102" t="e">
        <f>+#REF!*#REF!</f>
        <v>#REF!</v>
      </c>
      <c r="D19" s="80"/>
      <c r="I19" s="99" t="s">
        <v>87</v>
      </c>
    </row>
    <row r="20" spans="1:11" x14ac:dyDescent="0.2">
      <c r="A20" s="46" t="e">
        <f>#REF!</f>
        <v>#REF!</v>
      </c>
      <c r="B20" s="91"/>
      <c r="C20" s="102" t="e">
        <f>+#REF!*#REF!</f>
        <v>#REF!</v>
      </c>
      <c r="D20" s="80"/>
      <c r="I20" s="99" t="s">
        <v>123</v>
      </c>
    </row>
    <row r="21" spans="1:11" ht="15" x14ac:dyDescent="0.25">
      <c r="A21" s="46" t="s">
        <v>95</v>
      </c>
      <c r="B21" s="91"/>
      <c r="C21" s="102" t="e">
        <f>+#REF!*#REF!</f>
        <v>#REF!</v>
      </c>
      <c r="D21" s="80"/>
      <c r="I21" s="100" t="s">
        <v>53</v>
      </c>
    </row>
    <row r="22" spans="1:11" x14ac:dyDescent="0.2">
      <c r="A22" s="46"/>
      <c r="B22" s="91"/>
      <c r="C22" s="102"/>
      <c r="D22" s="80"/>
    </row>
    <row r="23" spans="1:11" x14ac:dyDescent="0.2">
      <c r="A23" s="46"/>
      <c r="B23" s="91"/>
      <c r="C23" s="85"/>
      <c r="D23" s="80"/>
    </row>
    <row r="24" spans="1:11" x14ac:dyDescent="0.2">
      <c r="A24" s="92" t="s">
        <v>88</v>
      </c>
      <c r="B24" s="88"/>
      <c r="C24" s="89" t="e">
        <f>SUM(C15:C23)</f>
        <v>#REF!</v>
      </c>
      <c r="D24" s="82" t="e">
        <f>C24/$C$73</f>
        <v>#REF!</v>
      </c>
      <c r="F24" s="16" t="e">
        <f>+C24*$K$2</f>
        <v>#REF!</v>
      </c>
    </row>
    <row r="25" spans="1:11" x14ac:dyDescent="0.2">
      <c r="A25" s="4"/>
      <c r="B25" s="91"/>
      <c r="C25" s="85"/>
      <c r="D25" s="80"/>
    </row>
    <row r="26" spans="1:11" x14ac:dyDescent="0.2">
      <c r="A26" s="12" t="s">
        <v>89</v>
      </c>
      <c r="B26" s="91"/>
      <c r="C26" s="85"/>
      <c r="D26" s="80"/>
      <c r="I26">
        <v>295883</v>
      </c>
      <c r="K26" t="e">
        <f>+#REF!</f>
        <v>#REF!</v>
      </c>
    </row>
    <row r="27" spans="1:11" x14ac:dyDescent="0.2">
      <c r="A27" s="46" t="s">
        <v>90</v>
      </c>
      <c r="B27" s="91"/>
      <c r="C27" s="102" t="e">
        <f>+K27</f>
        <v>#REF!</v>
      </c>
      <c r="D27" s="80"/>
      <c r="I27" s="102">
        <v>189933.33333333337</v>
      </c>
      <c r="J27" s="128">
        <f>I27/$I$26</f>
        <v>0.64192039871615936</v>
      </c>
      <c r="K27" t="e">
        <f>+$K$26*J27</f>
        <v>#REF!</v>
      </c>
    </row>
    <row r="28" spans="1:11" x14ac:dyDescent="0.2">
      <c r="A28" s="46" t="s">
        <v>91</v>
      </c>
      <c r="B28" s="91"/>
      <c r="C28" s="102" t="e">
        <f t="shared" ref="C28:C32" si="0">+K28</f>
        <v>#REF!</v>
      </c>
      <c r="D28" s="80"/>
      <c r="I28" s="102">
        <v>35333.333333333336</v>
      </c>
      <c r="J28" s="128">
        <f t="shared" ref="J28:J32" si="1">I28/$I$26</f>
        <v>0.11941657118973829</v>
      </c>
      <c r="K28" t="e">
        <f t="shared" ref="K28:K32" si="2">+$K$26*J28</f>
        <v>#REF!</v>
      </c>
    </row>
    <row r="29" spans="1:11" x14ac:dyDescent="0.2">
      <c r="A29" s="46" t="s">
        <v>32</v>
      </c>
      <c r="B29" s="91"/>
      <c r="C29" s="102" t="e">
        <f t="shared" si="0"/>
        <v>#REF!</v>
      </c>
      <c r="D29" s="80"/>
      <c r="I29" s="102">
        <v>0</v>
      </c>
      <c r="J29" s="128">
        <f t="shared" si="1"/>
        <v>0</v>
      </c>
      <c r="K29" t="e">
        <f t="shared" si="2"/>
        <v>#REF!</v>
      </c>
    </row>
    <row r="30" spans="1:11" x14ac:dyDescent="0.2">
      <c r="A30" s="46" t="s">
        <v>92</v>
      </c>
      <c r="B30" s="91"/>
      <c r="C30" s="102" t="e">
        <f t="shared" si="0"/>
        <v>#REF!</v>
      </c>
      <c r="D30" s="80"/>
      <c r="I30" s="102">
        <v>9250</v>
      </c>
      <c r="J30" s="128">
        <f t="shared" si="1"/>
        <v>3.1262357080332426E-2</v>
      </c>
      <c r="K30" t="e">
        <f t="shared" si="2"/>
        <v>#REF!</v>
      </c>
    </row>
    <row r="31" spans="1:11" x14ac:dyDescent="0.2">
      <c r="A31" s="46" t="s">
        <v>93</v>
      </c>
      <c r="B31" s="91"/>
      <c r="C31" s="102" t="e">
        <f t="shared" si="0"/>
        <v>#REF!</v>
      </c>
      <c r="D31" s="80"/>
      <c r="I31" s="102">
        <v>59366.666666666672</v>
      </c>
      <c r="J31" s="128">
        <f t="shared" si="1"/>
        <v>0.20064237102728671</v>
      </c>
      <c r="K31" t="e">
        <f t="shared" si="2"/>
        <v>#REF!</v>
      </c>
    </row>
    <row r="32" spans="1:11" x14ac:dyDescent="0.2">
      <c r="A32" s="46" t="s">
        <v>94</v>
      </c>
      <c r="B32" s="91"/>
      <c r="C32" s="102" t="e">
        <f t="shared" si="0"/>
        <v>#REF!</v>
      </c>
      <c r="D32" s="80"/>
      <c r="I32" s="102">
        <v>2000</v>
      </c>
      <c r="J32" s="128">
        <f t="shared" si="1"/>
        <v>6.7594285579097146E-3</v>
      </c>
      <c r="K32" t="e">
        <f t="shared" si="2"/>
        <v>#REF!</v>
      </c>
    </row>
    <row r="33" spans="1:6" x14ac:dyDescent="0.2">
      <c r="D33" s="80"/>
    </row>
    <row r="34" spans="1:6" x14ac:dyDescent="0.2">
      <c r="A34" s="45"/>
      <c r="B34" s="91"/>
      <c r="C34" s="85"/>
      <c r="D34" s="80"/>
    </row>
    <row r="35" spans="1:6" x14ac:dyDescent="0.2">
      <c r="A35" s="92" t="s">
        <v>96</v>
      </c>
      <c r="B35" s="88"/>
      <c r="C35" s="120" t="e">
        <f>SUM(C27:C34)</f>
        <v>#REF!</v>
      </c>
      <c r="D35" s="82" t="e">
        <f>C35/$C$73</f>
        <v>#REF!</v>
      </c>
      <c r="F35" s="16" t="e">
        <f>+C35*$K$2</f>
        <v>#REF!</v>
      </c>
    </row>
    <row r="36" spans="1:6" x14ac:dyDescent="0.2">
      <c r="B36" s="91"/>
      <c r="C36" s="85"/>
      <c r="D36" s="80"/>
    </row>
    <row r="37" spans="1:6" x14ac:dyDescent="0.2">
      <c r="A37" s="12" t="s">
        <v>97</v>
      </c>
      <c r="B37" s="91"/>
      <c r="C37" s="85"/>
      <c r="D37" s="80"/>
    </row>
    <row r="38" spans="1:6" x14ac:dyDescent="0.2">
      <c r="A38" s="93" t="e">
        <f>#REF!</f>
        <v>#REF!</v>
      </c>
      <c r="B38" s="91"/>
      <c r="C38" s="102" t="e">
        <f>#REF!</f>
        <v>#REF!</v>
      </c>
      <c r="D38" s="80"/>
    </row>
    <row r="39" spans="1:6" ht="16.5" customHeight="1" x14ac:dyDescent="0.2">
      <c r="A39" s="93" t="e">
        <f>#REF!</f>
        <v>#REF!</v>
      </c>
      <c r="B39" s="91"/>
      <c r="C39" s="102" t="e">
        <f>#REF!</f>
        <v>#REF!</v>
      </c>
      <c r="D39" s="80"/>
    </row>
    <row r="40" spans="1:6" ht="16.5" hidden="1" customHeight="1" x14ac:dyDescent="0.2">
      <c r="A40" s="93" t="e">
        <f>#REF!</f>
        <v>#REF!</v>
      </c>
      <c r="B40" s="91"/>
      <c r="C40" s="102" t="e">
        <f>#REF!</f>
        <v>#REF!</v>
      </c>
      <c r="D40" s="80"/>
    </row>
    <row r="41" spans="1:6" ht="16.5" customHeight="1" x14ac:dyDescent="0.2">
      <c r="A41" s="93" t="e">
        <f>#REF!</f>
        <v>#REF!</v>
      </c>
      <c r="B41" s="91"/>
      <c r="C41" s="102" t="e">
        <f>#REF!</f>
        <v>#REF!</v>
      </c>
      <c r="D41" s="80"/>
    </row>
    <row r="42" spans="1:6" ht="16.5" customHeight="1" x14ac:dyDescent="0.2">
      <c r="A42" s="93" t="e">
        <f>#REF!</f>
        <v>#REF!</v>
      </c>
      <c r="B42" s="91"/>
      <c r="C42" s="102" t="e">
        <f>#REF!</f>
        <v>#REF!</v>
      </c>
      <c r="D42" s="80"/>
    </row>
    <row r="43" spans="1:6" ht="16.5" customHeight="1" x14ac:dyDescent="0.2">
      <c r="A43" s="93" t="e">
        <f>#REF!</f>
        <v>#REF!</v>
      </c>
      <c r="B43" s="91"/>
      <c r="C43" s="102" t="e">
        <f>#REF!</f>
        <v>#REF!</v>
      </c>
      <c r="D43" s="80"/>
    </row>
    <row r="44" spans="1:6" ht="16.5" customHeight="1" x14ac:dyDescent="0.2">
      <c r="A44" s="93" t="e">
        <f>#REF!</f>
        <v>#REF!</v>
      </c>
      <c r="B44" s="91"/>
      <c r="C44" s="102" t="e">
        <f>#REF!</f>
        <v>#REF!</v>
      </c>
      <c r="D44" s="80"/>
    </row>
    <row r="45" spans="1:6" ht="16.5" customHeight="1" x14ac:dyDescent="0.2">
      <c r="A45" s="93" t="e">
        <f>#REF!</f>
        <v>#REF!</v>
      </c>
      <c r="B45" s="91"/>
      <c r="C45" s="102" t="e">
        <f>#REF!</f>
        <v>#REF!</v>
      </c>
      <c r="D45" s="80"/>
    </row>
    <row r="46" spans="1:6" ht="16.5" customHeight="1" x14ac:dyDescent="0.2">
      <c r="A46" s="93" t="e">
        <f>#REF!</f>
        <v>#REF!</v>
      </c>
      <c r="B46" s="91"/>
      <c r="C46" s="102" t="e">
        <f>#REF!</f>
        <v>#REF!</v>
      </c>
      <c r="D46" s="80"/>
    </row>
    <row r="47" spans="1:6" ht="16.5" customHeight="1" x14ac:dyDescent="0.2">
      <c r="A47" s="93" t="e">
        <f>#REF!</f>
        <v>#REF!</v>
      </c>
      <c r="B47" s="91"/>
      <c r="C47" s="102" t="e">
        <f>#REF!</f>
        <v>#REF!</v>
      </c>
      <c r="D47" s="80"/>
    </row>
    <row r="48" spans="1:6" ht="16.5" customHeight="1" x14ac:dyDescent="0.2">
      <c r="A48" s="93" t="e">
        <f>#REF!</f>
        <v>#REF!</v>
      </c>
      <c r="B48" s="91"/>
      <c r="C48" s="102" t="e">
        <f>#REF!</f>
        <v>#REF!</v>
      </c>
      <c r="D48" s="80"/>
    </row>
    <row r="49" spans="1:6" ht="16.5" customHeight="1" x14ac:dyDescent="0.2">
      <c r="A49" s="93" t="e">
        <f>#REF!</f>
        <v>#REF!</v>
      </c>
      <c r="B49" s="91"/>
      <c r="C49" s="102" t="e">
        <f>#REF!</f>
        <v>#REF!</v>
      </c>
      <c r="D49" s="80"/>
    </row>
    <row r="50" spans="1:6" ht="16.5" customHeight="1" x14ac:dyDescent="0.2">
      <c r="A50" s="93" t="e">
        <f>#REF!</f>
        <v>#REF!</v>
      </c>
      <c r="B50" s="91"/>
      <c r="C50" s="102" t="e">
        <f>#REF!</f>
        <v>#REF!</v>
      </c>
      <c r="D50" s="80"/>
    </row>
    <row r="51" spans="1:6" ht="16.5" customHeight="1" x14ac:dyDescent="0.2">
      <c r="A51" s="93" t="e">
        <f>#REF!</f>
        <v>#REF!</v>
      </c>
      <c r="B51" s="91"/>
      <c r="C51" s="102" t="e">
        <f>#REF!</f>
        <v>#REF!</v>
      </c>
      <c r="D51" s="80"/>
    </row>
    <row r="52" spans="1:6" ht="16.5" customHeight="1" x14ac:dyDescent="0.2">
      <c r="A52" s="93" t="e">
        <f>#REF!</f>
        <v>#REF!</v>
      </c>
      <c r="B52" s="91"/>
      <c r="C52" s="102" t="e">
        <f>#REF!</f>
        <v>#REF!</v>
      </c>
      <c r="D52" s="80"/>
    </row>
    <row r="53" spans="1:6" ht="16.5" customHeight="1" x14ac:dyDescent="0.2">
      <c r="A53" s="93" t="e">
        <f>#REF!</f>
        <v>#REF!</v>
      </c>
      <c r="B53" s="91"/>
      <c r="C53" s="102" t="e">
        <f>#REF!</f>
        <v>#REF!</v>
      </c>
      <c r="D53" s="80"/>
    </row>
    <row r="54" spans="1:6" ht="16.5" customHeight="1" x14ac:dyDescent="0.2">
      <c r="A54" s="93" t="e">
        <f>#REF!</f>
        <v>#REF!</v>
      </c>
      <c r="B54" s="91"/>
      <c r="C54" s="102" t="e">
        <f>#REF!</f>
        <v>#REF!</v>
      </c>
      <c r="D54" s="80"/>
    </row>
    <row r="55" spans="1:6" ht="16.5" customHeight="1" x14ac:dyDescent="0.2">
      <c r="A55" s="93" t="e">
        <f>#REF!</f>
        <v>#REF!</v>
      </c>
      <c r="B55" s="91"/>
      <c r="C55" s="102" t="e">
        <f>#REF!</f>
        <v>#REF!</v>
      </c>
      <c r="D55" s="80"/>
    </row>
    <row r="56" spans="1:6" ht="16.5" customHeight="1" x14ac:dyDescent="0.2">
      <c r="A56" s="93" t="e">
        <f>#REF!</f>
        <v>#REF!</v>
      </c>
      <c r="B56" s="91"/>
      <c r="C56" s="102" t="e">
        <f>#REF!</f>
        <v>#REF!</v>
      </c>
      <c r="D56" s="80"/>
    </row>
    <row r="57" spans="1:6" ht="16.5" hidden="1" customHeight="1" x14ac:dyDescent="0.2">
      <c r="A57" s="93" t="e">
        <f>#REF!</f>
        <v>#REF!</v>
      </c>
      <c r="B57" s="91"/>
      <c r="C57" s="102" t="e">
        <f>#REF!</f>
        <v>#REF!</v>
      </c>
      <c r="D57" s="80"/>
    </row>
    <row r="58" spans="1:6" ht="16.5" hidden="1" customHeight="1" x14ac:dyDescent="0.2">
      <c r="A58" s="93" t="e">
        <f>#REF!</f>
        <v>#REF!</v>
      </c>
      <c r="B58" s="91"/>
      <c r="C58" s="102" t="e">
        <f>#REF!</f>
        <v>#REF!</v>
      </c>
      <c r="D58" s="80"/>
    </row>
    <row r="59" spans="1:6" ht="16.5" hidden="1" customHeight="1" x14ac:dyDescent="0.2">
      <c r="A59" s="93" t="e">
        <f>#REF!</f>
        <v>#REF!</v>
      </c>
      <c r="B59" s="91"/>
      <c r="C59" s="102" t="e">
        <f>#REF!</f>
        <v>#REF!</v>
      </c>
      <c r="D59" s="80"/>
    </row>
    <row r="60" spans="1:6" ht="16.5" customHeight="1" x14ac:dyDescent="0.2">
      <c r="A60" s="93" t="e">
        <f>#REF!</f>
        <v>#REF!</v>
      </c>
      <c r="B60" s="91"/>
      <c r="C60" s="102" t="e">
        <f>#REF!</f>
        <v>#REF!</v>
      </c>
      <c r="D60" s="80"/>
    </row>
    <row r="61" spans="1:6" ht="16.5" customHeight="1" x14ac:dyDescent="0.2">
      <c r="A61" s="93" t="e">
        <f>#REF!</f>
        <v>#REF!</v>
      </c>
      <c r="B61" s="91"/>
      <c r="C61" s="102" t="e">
        <f>#REF!</f>
        <v>#REF!</v>
      </c>
      <c r="D61" s="80"/>
    </row>
    <row r="62" spans="1:6" ht="16.5" customHeight="1" x14ac:dyDescent="0.2">
      <c r="A62" s="93" t="e">
        <f>#REF!</f>
        <v>#REF!</v>
      </c>
      <c r="B62" s="91"/>
      <c r="C62" s="102" t="e">
        <f>#REF!</f>
        <v>#REF!</v>
      </c>
      <c r="D62" s="80"/>
    </row>
    <row r="63" spans="1:6" ht="16.5" customHeight="1" x14ac:dyDescent="0.2">
      <c r="A63" s="93" t="e">
        <f>#REF!</f>
        <v>#REF!</v>
      </c>
      <c r="B63" s="91"/>
      <c r="C63" s="102" t="e">
        <f>+#REF!</f>
        <v>#REF!</v>
      </c>
      <c r="D63" s="80"/>
    </row>
    <row r="64" spans="1:6" x14ac:dyDescent="0.2">
      <c r="A64" s="92" t="s">
        <v>101</v>
      </c>
      <c r="B64" s="88"/>
      <c r="C64" s="89" t="e">
        <f>SUM(C38:C63)</f>
        <v>#REF!</v>
      </c>
      <c r="D64" s="82" t="e">
        <f>C64/$C$73</f>
        <v>#REF!</v>
      </c>
      <c r="F64" s="16" t="e">
        <f>+C64*$K$2</f>
        <v>#REF!</v>
      </c>
    </row>
    <row r="65" spans="1:6" x14ac:dyDescent="0.2">
      <c r="A65" s="4"/>
      <c r="B65" s="91"/>
      <c r="C65" s="85"/>
      <c r="D65" s="80"/>
    </row>
    <row r="66" spans="1:6" x14ac:dyDescent="0.2">
      <c r="A66" s="1"/>
      <c r="B66" s="91"/>
      <c r="C66" s="85"/>
      <c r="D66" s="80"/>
    </row>
    <row r="67" spans="1:6" ht="13.5" thickBot="1" x14ac:dyDescent="0.25">
      <c r="A67" s="94" t="s">
        <v>102</v>
      </c>
      <c r="B67" s="94"/>
      <c r="C67" s="94" t="e">
        <f>C6+C12+C24+C35+C64</f>
        <v>#REF!</v>
      </c>
      <c r="D67" s="95" t="e">
        <f>C67/$C$73</f>
        <v>#REF!</v>
      </c>
      <c r="F67" s="16" t="e">
        <f>+C67*$K$2</f>
        <v>#REF!</v>
      </c>
    </row>
    <row r="68" spans="1:6" ht="13.5" thickTop="1" x14ac:dyDescent="0.2">
      <c r="A68" s="1"/>
      <c r="B68" s="91"/>
      <c r="C68" s="85"/>
      <c r="D68" s="80"/>
    </row>
    <row r="69" spans="1:6" x14ac:dyDescent="0.2">
      <c r="A69" s="92" t="s">
        <v>103</v>
      </c>
      <c r="B69" s="88"/>
      <c r="C69" s="89" t="e">
        <f>+#REF!</f>
        <v>#REF!</v>
      </c>
      <c r="D69" s="82" t="e">
        <f>C69/$C$73</f>
        <v>#REF!</v>
      </c>
      <c r="F69" s="16" t="e">
        <f>+C69*$K$2</f>
        <v>#REF!</v>
      </c>
    </row>
    <row r="70" spans="1:6" x14ac:dyDescent="0.2">
      <c r="A70" s="1"/>
      <c r="B70" s="91"/>
      <c r="C70" s="85"/>
      <c r="D70" s="80"/>
    </row>
    <row r="71" spans="1:6" x14ac:dyDescent="0.2">
      <c r="A71" s="92" t="s">
        <v>104</v>
      </c>
      <c r="B71" s="88"/>
      <c r="C71" s="89" t="e">
        <f>#REF!</f>
        <v>#REF!</v>
      </c>
      <c r="D71" s="82" t="e">
        <f>C71/$C$73</f>
        <v>#REF!</v>
      </c>
    </row>
    <row r="72" spans="1:6" x14ac:dyDescent="0.2">
      <c r="A72" s="1"/>
      <c r="B72" s="91"/>
      <c r="C72" s="85"/>
      <c r="D72" s="80"/>
    </row>
    <row r="73" spans="1:6" ht="13.5" thickBot="1" x14ac:dyDescent="0.25">
      <c r="A73" s="94" t="s">
        <v>105</v>
      </c>
      <c r="B73" s="94"/>
      <c r="C73" s="94" t="e">
        <f>C67+C69+C71</f>
        <v>#REF!</v>
      </c>
      <c r="D73" s="95" t="e">
        <f>C73/$C$73</f>
        <v>#REF!</v>
      </c>
      <c r="F73" s="94" t="e">
        <f>F67+F69+F71</f>
        <v>#REF!</v>
      </c>
    </row>
    <row r="74" spans="1:6" ht="13.5" thickTop="1" x14ac:dyDescent="0.2"/>
    <row r="75" spans="1:6" x14ac:dyDescent="0.2">
      <c r="A75" s="13" t="s">
        <v>194</v>
      </c>
    </row>
    <row r="76" spans="1:6" x14ac:dyDescent="0.2">
      <c r="A76" s="13" t="s">
        <v>195</v>
      </c>
    </row>
  </sheetData>
  <mergeCells count="2">
    <mergeCell ref="A1:D1"/>
    <mergeCell ref="A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workbookViewId="0">
      <selection activeCell="E22" sqref="E22"/>
    </sheetView>
  </sheetViews>
  <sheetFormatPr defaultRowHeight="12.75" x14ac:dyDescent="0.2"/>
  <cols>
    <col min="5" max="5" width="12.5703125" customWidth="1"/>
    <col min="6" max="6" width="3.85546875" customWidth="1"/>
    <col min="7" max="7" width="14" bestFit="1" customWidth="1"/>
  </cols>
  <sheetData>
    <row r="1" spans="1:8" ht="23.25" x14ac:dyDescent="0.35">
      <c r="A1" s="463" t="s">
        <v>516</v>
      </c>
      <c r="B1" s="463"/>
      <c r="C1" s="463"/>
      <c r="D1" s="463"/>
      <c r="E1" s="463"/>
      <c r="F1" s="463"/>
      <c r="G1" s="463"/>
      <c r="H1" s="463"/>
    </row>
    <row r="2" spans="1:8" ht="18" x14ac:dyDescent="0.25">
      <c r="A2" s="465" t="s">
        <v>151</v>
      </c>
      <c r="B2" s="465"/>
      <c r="C2" s="465"/>
      <c r="D2" s="465"/>
      <c r="E2" s="465"/>
      <c r="F2" s="465"/>
      <c r="G2" s="465"/>
      <c r="H2" s="465"/>
    </row>
    <row r="3" spans="1:8" ht="15" x14ac:dyDescent="0.25">
      <c r="A3" s="464" t="s">
        <v>515</v>
      </c>
      <c r="B3" s="464"/>
      <c r="C3" s="464"/>
      <c r="D3" s="464"/>
      <c r="E3" s="464"/>
      <c r="F3" s="464"/>
      <c r="G3" s="464"/>
      <c r="H3" s="464"/>
    </row>
    <row r="4" spans="1:8" x14ac:dyDescent="0.2">
      <c r="E4" s="238"/>
      <c r="G4" s="1" t="s">
        <v>498</v>
      </c>
      <c r="H4" s="3" t="s">
        <v>76</v>
      </c>
    </row>
    <row r="5" spans="1:8" x14ac:dyDescent="0.2">
      <c r="B5" s="13"/>
      <c r="E5" s="238"/>
    </row>
    <row r="6" spans="1:8" x14ac:dyDescent="0.2">
      <c r="A6" s="245" t="s">
        <v>80</v>
      </c>
      <c r="B6" s="240"/>
      <c r="C6" s="240"/>
      <c r="D6" s="240"/>
      <c r="E6" s="239"/>
      <c r="F6" s="241"/>
      <c r="G6" s="241">
        <f>1553461+305566+361281</f>
        <v>2220308</v>
      </c>
      <c r="H6" s="242">
        <f>G6/G52</f>
        <v>0.63291277077853725</v>
      </c>
    </row>
    <row r="7" spans="1:8" x14ac:dyDescent="0.2">
      <c r="E7" s="238"/>
      <c r="F7" s="237"/>
      <c r="G7" s="237"/>
      <c r="H7" s="234"/>
    </row>
    <row r="8" spans="1:8" x14ac:dyDescent="0.2">
      <c r="E8" s="238"/>
      <c r="F8" s="237"/>
      <c r="G8" s="237"/>
      <c r="H8" s="234"/>
    </row>
    <row r="9" spans="1:8" x14ac:dyDescent="0.2">
      <c r="B9" s="13" t="s">
        <v>4</v>
      </c>
      <c r="E9" s="238">
        <f>100000</f>
        <v>100000</v>
      </c>
      <c r="F9" s="237"/>
      <c r="G9" s="237"/>
      <c r="H9" s="234"/>
    </row>
    <row r="10" spans="1:8" x14ac:dyDescent="0.2">
      <c r="B10" s="13" t="s">
        <v>499</v>
      </c>
      <c r="E10" s="243">
        <f>55000</f>
        <v>55000</v>
      </c>
      <c r="F10" s="237"/>
      <c r="G10" s="237"/>
      <c r="H10" s="234"/>
    </row>
    <row r="11" spans="1:8" x14ac:dyDescent="0.2">
      <c r="B11" s="13" t="s">
        <v>500</v>
      </c>
      <c r="E11" s="243">
        <f>120000</f>
        <v>120000</v>
      </c>
      <c r="F11" s="237"/>
      <c r="G11" s="237"/>
      <c r="H11" s="234"/>
    </row>
    <row r="12" spans="1:8" x14ac:dyDescent="0.2">
      <c r="B12" s="13" t="s">
        <v>502</v>
      </c>
      <c r="E12" s="243">
        <f>6000</f>
        <v>6000</v>
      </c>
      <c r="F12" s="237"/>
      <c r="G12" s="237"/>
      <c r="H12" s="234"/>
    </row>
    <row r="13" spans="1:8" x14ac:dyDescent="0.2">
      <c r="B13" s="13" t="s">
        <v>501</v>
      </c>
      <c r="E13" s="244">
        <f>-18000</f>
        <v>-18000</v>
      </c>
      <c r="F13" s="237"/>
      <c r="G13" s="237"/>
      <c r="H13" s="234"/>
    </row>
    <row r="14" spans="1:8" x14ac:dyDescent="0.2">
      <c r="A14" s="245" t="s">
        <v>497</v>
      </c>
      <c r="B14" s="240"/>
      <c r="C14" s="240"/>
      <c r="D14" s="240"/>
      <c r="E14" s="239"/>
      <c r="F14" s="241"/>
      <c r="G14" s="241">
        <f>SUM(E9:E13)</f>
        <v>263000</v>
      </c>
      <c r="H14" s="242">
        <f>G14/G52</f>
        <v>7.4969805412021792E-2</v>
      </c>
    </row>
    <row r="15" spans="1:8" x14ac:dyDescent="0.2">
      <c r="E15" s="238"/>
      <c r="F15" s="237"/>
      <c r="G15" s="237"/>
      <c r="H15" s="234"/>
    </row>
    <row r="16" spans="1:8" x14ac:dyDescent="0.2">
      <c r="E16" s="238"/>
      <c r="F16" s="237"/>
      <c r="G16" s="237"/>
      <c r="H16" s="234"/>
    </row>
    <row r="17" spans="1:8" x14ac:dyDescent="0.2">
      <c r="B17" s="13" t="s">
        <v>504</v>
      </c>
      <c r="E17" s="238">
        <f>39000</f>
        <v>39000</v>
      </c>
      <c r="F17" s="237"/>
      <c r="G17" s="237"/>
      <c r="H17" s="234"/>
    </row>
    <row r="18" spans="1:8" x14ac:dyDescent="0.2">
      <c r="B18" s="13" t="s">
        <v>505</v>
      </c>
      <c r="E18" s="243">
        <f>24500</f>
        <v>24500</v>
      </c>
      <c r="F18" s="237"/>
      <c r="G18" s="237"/>
      <c r="H18" s="234"/>
    </row>
    <row r="19" spans="1:8" x14ac:dyDescent="0.2">
      <c r="B19" s="13" t="s">
        <v>506</v>
      </c>
      <c r="E19" s="243">
        <f>12000</f>
        <v>12000</v>
      </c>
      <c r="F19" s="237"/>
      <c r="G19" s="237"/>
      <c r="H19" s="234"/>
    </row>
    <row r="20" spans="1:8" x14ac:dyDescent="0.2">
      <c r="B20" s="13" t="s">
        <v>110</v>
      </c>
      <c r="E20" s="243">
        <f>5000</f>
        <v>5000</v>
      </c>
      <c r="F20" s="237"/>
      <c r="G20" s="237"/>
      <c r="H20" s="234"/>
    </row>
    <row r="21" spans="1:8" x14ac:dyDescent="0.2">
      <c r="B21" s="13" t="s">
        <v>111</v>
      </c>
      <c r="E21" s="243">
        <f>48000</f>
        <v>48000</v>
      </c>
      <c r="F21" s="237"/>
      <c r="G21" s="237"/>
      <c r="H21" s="234"/>
    </row>
    <row r="22" spans="1:8" x14ac:dyDescent="0.2">
      <c r="B22" s="13" t="s">
        <v>507</v>
      </c>
      <c r="E22" s="244">
        <f>5000</f>
        <v>5000</v>
      </c>
      <c r="F22" s="237"/>
      <c r="G22" s="237"/>
      <c r="H22" s="234"/>
    </row>
    <row r="23" spans="1:8" x14ac:dyDescent="0.2">
      <c r="A23" s="245" t="s">
        <v>496</v>
      </c>
      <c r="B23" s="240"/>
      <c r="C23" s="240"/>
      <c r="D23" s="240"/>
      <c r="E23" s="239"/>
      <c r="F23" s="241"/>
      <c r="G23" s="241">
        <f>SUM(E17:E22)</f>
        <v>133500</v>
      </c>
      <c r="H23" s="242">
        <f>G23/G52</f>
        <v>3.8055015294695474E-2</v>
      </c>
    </row>
    <row r="24" spans="1:8" x14ac:dyDescent="0.2">
      <c r="E24" s="238"/>
      <c r="F24" s="237"/>
      <c r="G24" s="237"/>
      <c r="H24" s="234"/>
    </row>
    <row r="25" spans="1:8" x14ac:dyDescent="0.2">
      <c r="E25" s="238"/>
      <c r="F25" s="237"/>
      <c r="G25" s="237"/>
      <c r="H25" s="234"/>
    </row>
    <row r="26" spans="1:8" x14ac:dyDescent="0.2">
      <c r="B26" s="13" t="s">
        <v>508</v>
      </c>
      <c r="E26" s="238">
        <f>183500</f>
        <v>183500</v>
      </c>
      <c r="F26" s="237"/>
      <c r="G26" s="237"/>
      <c r="H26" s="234"/>
    </row>
    <row r="27" spans="1:8" x14ac:dyDescent="0.2">
      <c r="B27" s="13" t="s">
        <v>91</v>
      </c>
      <c r="E27" s="243">
        <f>147500</f>
        <v>147500</v>
      </c>
      <c r="F27" s="237"/>
      <c r="G27" s="237"/>
      <c r="H27" s="234"/>
    </row>
    <row r="28" spans="1:8" x14ac:dyDescent="0.2">
      <c r="B28" s="13" t="s">
        <v>52</v>
      </c>
      <c r="E28" s="243">
        <f>5000</f>
        <v>5000</v>
      </c>
      <c r="F28" s="237"/>
      <c r="G28" s="237"/>
      <c r="H28" s="234"/>
    </row>
    <row r="29" spans="1:8" x14ac:dyDescent="0.2">
      <c r="B29" s="13" t="s">
        <v>94</v>
      </c>
      <c r="E29" s="244">
        <f>2500</f>
        <v>2500</v>
      </c>
      <c r="F29" s="237"/>
      <c r="G29" s="237"/>
      <c r="H29" s="234"/>
    </row>
    <row r="30" spans="1:8" x14ac:dyDescent="0.2">
      <c r="A30" s="245" t="s">
        <v>494</v>
      </c>
      <c r="B30" s="240"/>
      <c r="C30" s="240"/>
      <c r="D30" s="240"/>
      <c r="E30" s="239"/>
      <c r="F30" s="241"/>
      <c r="G30" s="241">
        <f>SUM(E26:E29)</f>
        <v>338500</v>
      </c>
      <c r="H30" s="242">
        <f>G30/G52</f>
        <v>9.6491555634864556E-2</v>
      </c>
    </row>
    <row r="31" spans="1:8" x14ac:dyDescent="0.2">
      <c r="E31" s="238"/>
      <c r="F31" s="237"/>
      <c r="G31" s="237"/>
      <c r="H31" s="234"/>
    </row>
    <row r="32" spans="1:8" x14ac:dyDescent="0.2">
      <c r="E32" s="238"/>
      <c r="F32" s="237"/>
      <c r="G32" s="237"/>
      <c r="H32" s="234"/>
    </row>
    <row r="33" spans="1:8" x14ac:dyDescent="0.2">
      <c r="B33" s="13" t="s">
        <v>513</v>
      </c>
      <c r="E33" s="238">
        <f>57000+19000</f>
        <v>76000</v>
      </c>
      <c r="F33" s="237"/>
      <c r="G33" s="237"/>
      <c r="H33" s="234"/>
    </row>
    <row r="34" spans="1:8" x14ac:dyDescent="0.2">
      <c r="B34" s="13" t="s">
        <v>514</v>
      </c>
      <c r="E34" s="243">
        <f>37000</f>
        <v>37000</v>
      </c>
      <c r="F34" s="237"/>
      <c r="G34" s="237"/>
      <c r="H34" s="234"/>
    </row>
    <row r="35" spans="1:8" x14ac:dyDescent="0.2">
      <c r="B35" s="13" t="s">
        <v>74</v>
      </c>
      <c r="E35" s="243">
        <f>1100</f>
        <v>1100</v>
      </c>
      <c r="F35" s="237"/>
      <c r="G35" s="237"/>
      <c r="H35" s="234"/>
    </row>
    <row r="36" spans="1:8" x14ac:dyDescent="0.2">
      <c r="B36" s="13" t="s">
        <v>5</v>
      </c>
      <c r="E36" s="243">
        <f>18000</f>
        <v>18000</v>
      </c>
      <c r="F36" s="237"/>
      <c r="G36" s="237"/>
      <c r="H36" s="234"/>
    </row>
    <row r="37" spans="1:8" x14ac:dyDescent="0.2">
      <c r="B37" s="13" t="s">
        <v>99</v>
      </c>
      <c r="E37" s="243">
        <f>9000</f>
        <v>9000</v>
      </c>
      <c r="F37" s="237"/>
      <c r="G37" s="237"/>
      <c r="H37" s="234"/>
    </row>
    <row r="38" spans="1:8" x14ac:dyDescent="0.2">
      <c r="B38" s="13" t="s">
        <v>162</v>
      </c>
      <c r="E38" s="243">
        <f>8511</f>
        <v>8511</v>
      </c>
      <c r="F38" s="237"/>
      <c r="G38" s="237"/>
      <c r="H38" s="234"/>
    </row>
    <row r="39" spans="1:8" x14ac:dyDescent="0.2">
      <c r="B39" s="13" t="s">
        <v>509</v>
      </c>
      <c r="E39" s="243">
        <f>5300</f>
        <v>5300</v>
      </c>
      <c r="F39" s="237"/>
      <c r="G39" s="237"/>
      <c r="H39" s="234"/>
    </row>
    <row r="40" spans="1:8" x14ac:dyDescent="0.2">
      <c r="B40" s="13" t="s">
        <v>510</v>
      </c>
      <c r="E40" s="243">
        <f>18000</f>
        <v>18000</v>
      </c>
      <c r="F40" s="237"/>
      <c r="G40" s="237"/>
      <c r="H40" s="234"/>
    </row>
    <row r="41" spans="1:8" x14ac:dyDescent="0.2">
      <c r="B41" s="13" t="s">
        <v>434</v>
      </c>
      <c r="E41" s="243">
        <f>4000</f>
        <v>4000</v>
      </c>
      <c r="F41" s="237"/>
      <c r="G41" s="237"/>
      <c r="H41" s="234"/>
    </row>
    <row r="42" spans="1:8" x14ac:dyDescent="0.2">
      <c r="B42" s="13" t="s">
        <v>511</v>
      </c>
      <c r="E42" s="243">
        <f>5000</f>
        <v>5000</v>
      </c>
      <c r="F42" s="237"/>
      <c r="G42" s="237"/>
      <c r="H42" s="234"/>
    </row>
    <row r="43" spans="1:8" x14ac:dyDescent="0.2">
      <c r="B43" s="13" t="s">
        <v>427</v>
      </c>
      <c r="E43" s="243">
        <v>3500</v>
      </c>
      <c r="F43" s="237"/>
      <c r="G43" s="237"/>
      <c r="H43" s="234"/>
    </row>
    <row r="44" spans="1:8" x14ac:dyDescent="0.2">
      <c r="B44" s="13" t="s">
        <v>512</v>
      </c>
      <c r="E44" s="244">
        <f>460+1100+1800+1100+500+1900</f>
        <v>6860</v>
      </c>
      <c r="F44" s="237"/>
      <c r="G44" s="237"/>
      <c r="H44" s="234"/>
    </row>
    <row r="45" spans="1:8" x14ac:dyDescent="0.2">
      <c r="A45" s="245" t="s">
        <v>495</v>
      </c>
      <c r="B45" s="240"/>
      <c r="C45" s="240"/>
      <c r="D45" s="240"/>
      <c r="E45" s="239"/>
      <c r="F45" s="241"/>
      <c r="G45" s="241">
        <f>SUM(E33:E44)</f>
        <v>192271</v>
      </c>
      <c r="H45" s="242">
        <f>G45/G52</f>
        <v>5.4808058769486093E-2</v>
      </c>
    </row>
    <row r="46" spans="1:8" x14ac:dyDescent="0.2">
      <c r="E46" s="238"/>
      <c r="F46" s="237"/>
      <c r="G46" s="237"/>
      <c r="H46" s="234"/>
    </row>
    <row r="47" spans="1:8" x14ac:dyDescent="0.2">
      <c r="E47" s="238"/>
      <c r="F47" s="237"/>
      <c r="G47" s="237"/>
      <c r="H47" s="234"/>
    </row>
    <row r="48" spans="1:8" x14ac:dyDescent="0.2">
      <c r="A48" s="245" t="s">
        <v>102</v>
      </c>
      <c r="B48" s="240"/>
      <c r="C48" s="240"/>
      <c r="D48" s="240"/>
      <c r="E48" s="239"/>
      <c r="F48" s="241"/>
      <c r="G48" s="241">
        <f>G6+G14+G23+G30+G45</f>
        <v>3147579</v>
      </c>
      <c r="H48" s="242">
        <f>G48/G52</f>
        <v>0.89723720588960509</v>
      </c>
    </row>
    <row r="49" spans="1:8" x14ac:dyDescent="0.2">
      <c r="E49" s="238"/>
      <c r="F49" s="237"/>
      <c r="G49" s="237"/>
      <c r="H49" s="234"/>
    </row>
    <row r="50" spans="1:8" x14ac:dyDescent="0.2">
      <c r="A50" s="245" t="s">
        <v>103</v>
      </c>
      <c r="B50" s="240"/>
      <c r="C50" s="240"/>
      <c r="D50" s="240"/>
      <c r="E50" s="239"/>
      <c r="F50" s="241"/>
      <c r="G50" s="241">
        <f>360500</f>
        <v>360500</v>
      </c>
      <c r="H50" s="242">
        <f>G50/G52</f>
        <v>0.10276279411039489</v>
      </c>
    </row>
    <row r="51" spans="1:8" x14ac:dyDescent="0.2">
      <c r="A51" s="1"/>
      <c r="E51" s="238"/>
      <c r="F51" s="237"/>
      <c r="G51" s="237"/>
      <c r="H51" s="234"/>
    </row>
    <row r="52" spans="1:8" ht="13.5" thickBot="1" x14ac:dyDescent="0.25">
      <c r="A52" s="246" t="s">
        <v>503</v>
      </c>
      <c r="B52" s="247"/>
      <c r="C52" s="247"/>
      <c r="D52" s="247"/>
      <c r="E52" s="248"/>
      <c r="F52" s="249"/>
      <c r="G52" s="249">
        <f>G48+G50</f>
        <v>3508079</v>
      </c>
      <c r="H52" s="250">
        <f>G52/G52</f>
        <v>1</v>
      </c>
    </row>
    <row r="53" spans="1:8" ht="13.5" thickTop="1" x14ac:dyDescent="0.2">
      <c r="E53" s="238"/>
      <c r="F53" s="237"/>
      <c r="G53" s="237"/>
    </row>
    <row r="54" spans="1:8" x14ac:dyDescent="0.2">
      <c r="E54" s="238"/>
      <c r="F54" s="237"/>
      <c r="G54" s="237"/>
    </row>
    <row r="55" spans="1:8" x14ac:dyDescent="0.2">
      <c r="E55" s="238"/>
      <c r="F55" s="237"/>
      <c r="G55" s="237"/>
    </row>
    <row r="56" spans="1:8" x14ac:dyDescent="0.2">
      <c r="E56" s="238"/>
      <c r="F56" s="237"/>
      <c r="G56" s="237"/>
    </row>
    <row r="57" spans="1:8" x14ac:dyDescent="0.2">
      <c r="E57" s="238"/>
      <c r="F57" s="237"/>
      <c r="G57" s="237"/>
    </row>
    <row r="58" spans="1:8" x14ac:dyDescent="0.2">
      <c r="E58" s="238"/>
      <c r="F58" s="237"/>
      <c r="G58" s="237"/>
    </row>
    <row r="59" spans="1:8" x14ac:dyDescent="0.2">
      <c r="E59" s="238"/>
      <c r="F59" s="237"/>
      <c r="G59" s="237"/>
    </row>
    <row r="60" spans="1:8" x14ac:dyDescent="0.2">
      <c r="E60" s="238"/>
      <c r="F60" s="237"/>
      <c r="G60" s="237"/>
    </row>
    <row r="61" spans="1:8" x14ac:dyDescent="0.2">
      <c r="E61" s="238"/>
      <c r="F61" s="237"/>
      <c r="G61" s="237"/>
    </row>
    <row r="62" spans="1:8" x14ac:dyDescent="0.2">
      <c r="E62" s="238"/>
      <c r="F62" s="237"/>
      <c r="G62" s="237"/>
    </row>
    <row r="63" spans="1:8" x14ac:dyDescent="0.2">
      <c r="E63" s="238"/>
      <c r="F63" s="237"/>
      <c r="G63" s="237"/>
    </row>
    <row r="64" spans="1:8" x14ac:dyDescent="0.2">
      <c r="E64" s="238"/>
      <c r="F64" s="237"/>
      <c r="G64" s="237"/>
    </row>
    <row r="65" spans="5:7" x14ac:dyDescent="0.2">
      <c r="E65" s="238"/>
      <c r="F65" s="237"/>
      <c r="G65" s="237"/>
    </row>
    <row r="66" spans="5:7" x14ac:dyDescent="0.2">
      <c r="E66" s="238"/>
      <c r="F66" s="237"/>
      <c r="G66" s="237"/>
    </row>
    <row r="67" spans="5:7" x14ac:dyDescent="0.2">
      <c r="E67" s="238"/>
      <c r="F67" s="237"/>
      <c r="G67" s="237"/>
    </row>
    <row r="68" spans="5:7" x14ac:dyDescent="0.2">
      <c r="E68" s="238"/>
      <c r="F68" s="237"/>
      <c r="G68" s="237"/>
    </row>
    <row r="69" spans="5:7" x14ac:dyDescent="0.2">
      <c r="E69" s="238"/>
      <c r="F69" s="237"/>
      <c r="G69" s="237"/>
    </row>
    <row r="70" spans="5:7" x14ac:dyDescent="0.2">
      <c r="E70" s="238"/>
      <c r="F70" s="237"/>
      <c r="G70" s="237"/>
    </row>
    <row r="71" spans="5:7" x14ac:dyDescent="0.2">
      <c r="E71" s="238"/>
      <c r="F71" s="237"/>
      <c r="G71" s="237"/>
    </row>
    <row r="72" spans="5:7" x14ac:dyDescent="0.2">
      <c r="E72" s="238"/>
      <c r="F72" s="237"/>
      <c r="G72" s="237"/>
    </row>
    <row r="73" spans="5:7" x14ac:dyDescent="0.2">
      <c r="E73" s="238"/>
      <c r="F73" s="237"/>
      <c r="G73" s="237"/>
    </row>
    <row r="74" spans="5:7" x14ac:dyDescent="0.2">
      <c r="E74" s="238"/>
      <c r="F74" s="237"/>
      <c r="G74" s="237"/>
    </row>
    <row r="75" spans="5:7" x14ac:dyDescent="0.2">
      <c r="E75" s="238"/>
      <c r="F75" s="237"/>
      <c r="G75" s="237"/>
    </row>
    <row r="76" spans="5:7" x14ac:dyDescent="0.2">
      <c r="E76" s="238"/>
      <c r="F76" s="237"/>
      <c r="G76" s="237"/>
    </row>
    <row r="77" spans="5:7" x14ac:dyDescent="0.2">
      <c r="E77" s="238"/>
      <c r="F77" s="237"/>
      <c r="G77" s="237"/>
    </row>
    <row r="78" spans="5:7" x14ac:dyDescent="0.2">
      <c r="E78" s="238"/>
      <c r="F78" s="237"/>
      <c r="G78" s="237"/>
    </row>
    <row r="79" spans="5:7" x14ac:dyDescent="0.2">
      <c r="E79" s="238"/>
      <c r="F79" s="237"/>
      <c r="G79" s="237"/>
    </row>
    <row r="80" spans="5:7" x14ac:dyDescent="0.2">
      <c r="E80" s="238"/>
      <c r="F80" s="237"/>
      <c r="G80" s="237"/>
    </row>
    <row r="81" spans="5:7" x14ac:dyDescent="0.2">
      <c r="E81" s="238"/>
      <c r="F81" s="237"/>
      <c r="G81" s="237"/>
    </row>
    <row r="82" spans="5:7" x14ac:dyDescent="0.2">
      <c r="E82" s="238"/>
      <c r="F82" s="237"/>
      <c r="G82" s="237"/>
    </row>
    <row r="83" spans="5:7" x14ac:dyDescent="0.2">
      <c r="E83" s="238"/>
      <c r="F83" s="237"/>
      <c r="G83" s="237"/>
    </row>
    <row r="84" spans="5:7" x14ac:dyDescent="0.2">
      <c r="E84" s="238"/>
      <c r="F84" s="237"/>
      <c r="G84" s="237"/>
    </row>
    <row r="85" spans="5:7" x14ac:dyDescent="0.2">
      <c r="E85" s="238"/>
      <c r="F85" s="237"/>
      <c r="G85" s="237"/>
    </row>
    <row r="86" spans="5:7" x14ac:dyDescent="0.2">
      <c r="E86" s="238"/>
      <c r="F86" s="237"/>
      <c r="G86" s="237"/>
    </row>
    <row r="87" spans="5:7" x14ac:dyDescent="0.2">
      <c r="E87" s="238"/>
      <c r="F87" s="237"/>
      <c r="G87" s="237"/>
    </row>
    <row r="88" spans="5:7" x14ac:dyDescent="0.2">
      <c r="E88" s="238"/>
      <c r="F88" s="237"/>
      <c r="G88" s="237"/>
    </row>
    <row r="89" spans="5:7" x14ac:dyDescent="0.2">
      <c r="E89" s="238"/>
      <c r="F89" s="237"/>
      <c r="G89" s="237"/>
    </row>
    <row r="90" spans="5:7" x14ac:dyDescent="0.2">
      <c r="E90" s="238"/>
      <c r="F90" s="237"/>
      <c r="G90" s="237"/>
    </row>
    <row r="91" spans="5:7" x14ac:dyDescent="0.2">
      <c r="E91" s="238"/>
      <c r="F91" s="237"/>
      <c r="G91" s="237"/>
    </row>
    <row r="92" spans="5:7" x14ac:dyDescent="0.2">
      <c r="E92" s="238"/>
      <c r="F92" s="237"/>
      <c r="G92" s="237"/>
    </row>
    <row r="93" spans="5:7" x14ac:dyDescent="0.2">
      <c r="E93" s="238"/>
      <c r="F93" s="237"/>
      <c r="G93" s="237"/>
    </row>
    <row r="94" spans="5:7" x14ac:dyDescent="0.2">
      <c r="E94" s="238"/>
      <c r="F94" s="237"/>
      <c r="G94" s="237"/>
    </row>
    <row r="95" spans="5:7" x14ac:dyDescent="0.2">
      <c r="F95" s="237"/>
      <c r="G95" s="237"/>
    </row>
    <row r="96" spans="5:7" x14ac:dyDescent="0.2">
      <c r="F96" s="237"/>
      <c r="G96" s="237"/>
    </row>
    <row r="97" spans="6:7" x14ac:dyDescent="0.2">
      <c r="F97" s="237"/>
      <c r="G97" s="237"/>
    </row>
    <row r="98" spans="6:7" x14ac:dyDescent="0.2">
      <c r="F98" s="237"/>
      <c r="G98" s="237"/>
    </row>
    <row r="99" spans="6:7" x14ac:dyDescent="0.2">
      <c r="F99" s="237"/>
      <c r="G99" s="237"/>
    </row>
    <row r="100" spans="6:7" x14ac:dyDescent="0.2">
      <c r="F100" s="237"/>
      <c r="G100" s="237"/>
    </row>
    <row r="101" spans="6:7" x14ac:dyDescent="0.2">
      <c r="F101" s="237"/>
      <c r="G101" s="237"/>
    </row>
    <row r="102" spans="6:7" x14ac:dyDescent="0.2">
      <c r="F102" s="237"/>
      <c r="G102" s="237"/>
    </row>
    <row r="103" spans="6:7" x14ac:dyDescent="0.2">
      <c r="F103" s="237"/>
      <c r="G103" s="237"/>
    </row>
    <row r="104" spans="6:7" x14ac:dyDescent="0.2">
      <c r="F104" s="237"/>
      <c r="G104" s="237"/>
    </row>
    <row r="105" spans="6:7" x14ac:dyDescent="0.2">
      <c r="F105" s="237"/>
      <c r="G105" s="237"/>
    </row>
    <row r="106" spans="6:7" x14ac:dyDescent="0.2">
      <c r="F106" s="237"/>
      <c r="G106" s="237"/>
    </row>
    <row r="107" spans="6:7" x14ac:dyDescent="0.2">
      <c r="F107" s="237"/>
      <c r="G107" s="237"/>
    </row>
    <row r="108" spans="6:7" x14ac:dyDescent="0.2">
      <c r="F108" s="237"/>
      <c r="G108" s="237"/>
    </row>
    <row r="109" spans="6:7" x14ac:dyDescent="0.2">
      <c r="F109" s="237"/>
      <c r="G109" s="237"/>
    </row>
    <row r="110" spans="6:7" x14ac:dyDescent="0.2">
      <c r="F110" s="237"/>
      <c r="G110" s="237"/>
    </row>
    <row r="111" spans="6:7" x14ac:dyDescent="0.2">
      <c r="F111" s="237"/>
      <c r="G111" s="237"/>
    </row>
    <row r="112" spans="6:7" x14ac:dyDescent="0.2">
      <c r="F112" s="237"/>
      <c r="G112" s="237"/>
    </row>
    <row r="113" spans="6:7" x14ac:dyDescent="0.2">
      <c r="F113" s="237"/>
      <c r="G113" s="237"/>
    </row>
    <row r="114" spans="6:7" x14ac:dyDescent="0.2">
      <c r="F114" s="237"/>
      <c r="G114" s="237"/>
    </row>
    <row r="115" spans="6:7" x14ac:dyDescent="0.2">
      <c r="F115" s="237"/>
      <c r="G115" s="237"/>
    </row>
    <row r="116" spans="6:7" x14ac:dyDescent="0.2">
      <c r="F116" s="237"/>
      <c r="G116" s="237"/>
    </row>
    <row r="117" spans="6:7" x14ac:dyDescent="0.2">
      <c r="F117" s="237"/>
      <c r="G117" s="237"/>
    </row>
    <row r="118" spans="6:7" x14ac:dyDescent="0.2">
      <c r="F118" s="237"/>
      <c r="G118" s="237"/>
    </row>
    <row r="119" spans="6:7" x14ac:dyDescent="0.2">
      <c r="F119" s="237"/>
      <c r="G119" s="237"/>
    </row>
    <row r="120" spans="6:7" x14ac:dyDescent="0.2">
      <c r="F120" s="237"/>
      <c r="G120" s="237"/>
    </row>
    <row r="121" spans="6:7" x14ac:dyDescent="0.2">
      <c r="F121" s="237"/>
      <c r="G121" s="237"/>
    </row>
    <row r="122" spans="6:7" x14ac:dyDescent="0.2">
      <c r="F122" s="237"/>
      <c r="G122" s="237"/>
    </row>
    <row r="123" spans="6:7" x14ac:dyDescent="0.2">
      <c r="F123" s="237"/>
      <c r="G123" s="237"/>
    </row>
    <row r="124" spans="6:7" x14ac:dyDescent="0.2">
      <c r="F124" s="237"/>
      <c r="G124" s="237"/>
    </row>
    <row r="125" spans="6:7" x14ac:dyDescent="0.2">
      <c r="F125" s="237"/>
      <c r="G125" s="237"/>
    </row>
    <row r="126" spans="6:7" x14ac:dyDescent="0.2">
      <c r="F126" s="237"/>
      <c r="G126" s="237"/>
    </row>
    <row r="127" spans="6:7" x14ac:dyDescent="0.2">
      <c r="F127" s="237"/>
      <c r="G127" s="237"/>
    </row>
    <row r="128" spans="6:7" x14ac:dyDescent="0.2">
      <c r="F128" s="237"/>
      <c r="G128" s="237"/>
    </row>
    <row r="129" spans="6:7" x14ac:dyDescent="0.2">
      <c r="F129" s="237"/>
      <c r="G129" s="237"/>
    </row>
    <row r="130" spans="6:7" x14ac:dyDescent="0.2">
      <c r="F130" s="237"/>
      <c r="G130" s="237"/>
    </row>
    <row r="131" spans="6:7" x14ac:dyDescent="0.2">
      <c r="F131" s="237"/>
      <c r="G131" s="237"/>
    </row>
    <row r="132" spans="6:7" x14ac:dyDescent="0.2">
      <c r="F132" s="237"/>
      <c r="G132" s="237"/>
    </row>
    <row r="133" spans="6:7" x14ac:dyDescent="0.2">
      <c r="F133" s="237"/>
      <c r="G133" s="237"/>
    </row>
    <row r="134" spans="6:7" x14ac:dyDescent="0.2">
      <c r="F134" s="237"/>
      <c r="G134" s="237"/>
    </row>
    <row r="135" spans="6:7" x14ac:dyDescent="0.2">
      <c r="F135" s="237"/>
      <c r="G135" s="237"/>
    </row>
    <row r="136" spans="6:7" x14ac:dyDescent="0.2">
      <c r="F136" s="237"/>
      <c r="G136" s="237"/>
    </row>
    <row r="137" spans="6:7" x14ac:dyDescent="0.2">
      <c r="F137" s="237"/>
      <c r="G137" s="237"/>
    </row>
    <row r="138" spans="6:7" x14ac:dyDescent="0.2">
      <c r="F138" s="237"/>
      <c r="G138" s="237"/>
    </row>
    <row r="139" spans="6:7" x14ac:dyDescent="0.2">
      <c r="F139" s="237"/>
      <c r="G139" s="237"/>
    </row>
    <row r="140" spans="6:7" x14ac:dyDescent="0.2">
      <c r="F140" s="237"/>
      <c r="G140" s="237"/>
    </row>
    <row r="141" spans="6:7" x14ac:dyDescent="0.2">
      <c r="F141" s="237"/>
      <c r="G141" s="237"/>
    </row>
    <row r="142" spans="6:7" x14ac:dyDescent="0.2">
      <c r="F142" s="237"/>
      <c r="G142" s="237"/>
    </row>
    <row r="143" spans="6:7" x14ac:dyDescent="0.2">
      <c r="F143" s="237"/>
      <c r="G143" s="237"/>
    </row>
    <row r="144" spans="6:7" x14ac:dyDescent="0.2">
      <c r="F144" s="237"/>
      <c r="G144" s="237"/>
    </row>
    <row r="145" spans="6:7" x14ac:dyDescent="0.2">
      <c r="F145" s="237"/>
      <c r="G145" s="237"/>
    </row>
    <row r="146" spans="6:7" x14ac:dyDescent="0.2">
      <c r="F146" s="237"/>
      <c r="G146" s="237"/>
    </row>
    <row r="147" spans="6:7" x14ac:dyDescent="0.2">
      <c r="F147" s="237"/>
      <c r="G147" s="237"/>
    </row>
    <row r="148" spans="6:7" x14ac:dyDescent="0.2">
      <c r="F148" s="237"/>
      <c r="G148" s="237"/>
    </row>
    <row r="149" spans="6:7" x14ac:dyDescent="0.2">
      <c r="F149" s="237"/>
      <c r="G149" s="237"/>
    </row>
    <row r="150" spans="6:7" x14ac:dyDescent="0.2">
      <c r="F150" s="237"/>
      <c r="G150" s="237"/>
    </row>
    <row r="151" spans="6:7" x14ac:dyDescent="0.2">
      <c r="F151" s="237"/>
      <c r="G151" s="237"/>
    </row>
    <row r="152" spans="6:7" x14ac:dyDescent="0.2">
      <c r="F152" s="237"/>
      <c r="G152" s="237"/>
    </row>
    <row r="153" spans="6:7" x14ac:dyDescent="0.2">
      <c r="F153" s="237"/>
      <c r="G153" s="237"/>
    </row>
    <row r="154" spans="6:7" x14ac:dyDescent="0.2">
      <c r="F154" s="237"/>
      <c r="G154" s="237"/>
    </row>
    <row r="155" spans="6:7" x14ac:dyDescent="0.2">
      <c r="F155" s="237"/>
      <c r="G155" s="237"/>
    </row>
    <row r="156" spans="6:7" x14ac:dyDescent="0.2">
      <c r="F156" s="237"/>
      <c r="G156" s="237"/>
    </row>
    <row r="157" spans="6:7" x14ac:dyDescent="0.2">
      <c r="F157" s="237"/>
      <c r="G157" s="237"/>
    </row>
    <row r="158" spans="6:7" x14ac:dyDescent="0.2">
      <c r="F158" s="237"/>
      <c r="G158" s="237"/>
    </row>
    <row r="159" spans="6:7" x14ac:dyDescent="0.2">
      <c r="F159" s="237"/>
      <c r="G159" s="237"/>
    </row>
    <row r="160" spans="6:7" x14ac:dyDescent="0.2">
      <c r="F160" s="237"/>
      <c r="G160" s="237"/>
    </row>
    <row r="161" spans="6:7" x14ac:dyDescent="0.2">
      <c r="F161" s="237"/>
      <c r="G161" s="237"/>
    </row>
    <row r="162" spans="6:7" x14ac:dyDescent="0.2">
      <c r="F162" s="237"/>
      <c r="G162" s="237"/>
    </row>
    <row r="163" spans="6:7" x14ac:dyDescent="0.2">
      <c r="F163" s="237"/>
      <c r="G163" s="237"/>
    </row>
    <row r="164" spans="6:7" x14ac:dyDescent="0.2">
      <c r="F164" s="237"/>
      <c r="G164" s="237"/>
    </row>
    <row r="165" spans="6:7" x14ac:dyDescent="0.2">
      <c r="F165" s="237"/>
      <c r="G165" s="237"/>
    </row>
    <row r="166" spans="6:7" x14ac:dyDescent="0.2">
      <c r="F166" s="237"/>
      <c r="G166" s="237"/>
    </row>
    <row r="167" spans="6:7" x14ac:dyDescent="0.2">
      <c r="F167" s="237"/>
      <c r="G167" s="237"/>
    </row>
    <row r="168" spans="6:7" x14ac:dyDescent="0.2">
      <c r="F168" s="237"/>
      <c r="G168" s="237"/>
    </row>
    <row r="169" spans="6:7" x14ac:dyDescent="0.2">
      <c r="F169" s="237"/>
      <c r="G169" s="237"/>
    </row>
    <row r="170" spans="6:7" x14ac:dyDescent="0.2">
      <c r="F170" s="237"/>
      <c r="G170" s="237"/>
    </row>
    <row r="171" spans="6:7" x14ac:dyDescent="0.2">
      <c r="F171" s="237"/>
      <c r="G171" s="237"/>
    </row>
    <row r="172" spans="6:7" x14ac:dyDescent="0.2">
      <c r="F172" s="237"/>
      <c r="G172" s="237"/>
    </row>
    <row r="173" spans="6:7" x14ac:dyDescent="0.2">
      <c r="F173" s="237"/>
      <c r="G173" s="237"/>
    </row>
    <row r="174" spans="6:7" x14ac:dyDescent="0.2">
      <c r="F174" s="237"/>
      <c r="G174" s="237"/>
    </row>
    <row r="175" spans="6:7" x14ac:dyDescent="0.2">
      <c r="F175" s="237"/>
      <c r="G175" s="237"/>
    </row>
    <row r="176" spans="6:7" x14ac:dyDescent="0.2">
      <c r="F176" s="237"/>
      <c r="G176" s="237"/>
    </row>
    <row r="177" spans="6:7" x14ac:dyDescent="0.2">
      <c r="F177" s="237"/>
      <c r="G177" s="237"/>
    </row>
    <row r="178" spans="6:7" x14ac:dyDescent="0.2">
      <c r="F178" s="237"/>
      <c r="G178" s="237"/>
    </row>
    <row r="179" spans="6:7" x14ac:dyDescent="0.2">
      <c r="F179" s="237"/>
      <c r="G179" s="237"/>
    </row>
    <row r="180" spans="6:7" x14ac:dyDescent="0.2">
      <c r="F180" s="237"/>
      <c r="G180" s="237"/>
    </row>
    <row r="181" spans="6:7" x14ac:dyDescent="0.2">
      <c r="F181" s="237"/>
      <c r="G181" s="237"/>
    </row>
    <row r="182" spans="6:7" x14ac:dyDescent="0.2">
      <c r="F182" s="237"/>
      <c r="G182" s="237"/>
    </row>
    <row r="183" spans="6:7" x14ac:dyDescent="0.2">
      <c r="F183" s="237"/>
      <c r="G183" s="237"/>
    </row>
    <row r="184" spans="6:7" x14ac:dyDescent="0.2">
      <c r="F184" s="237"/>
      <c r="G184" s="237"/>
    </row>
    <row r="185" spans="6:7" x14ac:dyDescent="0.2">
      <c r="F185" s="237"/>
      <c r="G185" s="237"/>
    </row>
    <row r="186" spans="6:7" x14ac:dyDescent="0.2">
      <c r="F186" s="237"/>
      <c r="G186" s="237"/>
    </row>
    <row r="187" spans="6:7" x14ac:dyDescent="0.2">
      <c r="F187" s="237"/>
      <c r="G187" s="237"/>
    </row>
    <row r="188" spans="6:7" x14ac:dyDescent="0.2">
      <c r="F188" s="237"/>
      <c r="G188" s="237"/>
    </row>
    <row r="189" spans="6:7" x14ac:dyDescent="0.2">
      <c r="F189" s="237"/>
      <c r="G189" s="237"/>
    </row>
    <row r="190" spans="6:7" x14ac:dyDescent="0.2">
      <c r="F190" s="237"/>
      <c r="G190" s="237"/>
    </row>
    <row r="191" spans="6:7" x14ac:dyDescent="0.2">
      <c r="F191" s="237"/>
      <c r="G191" s="237"/>
    </row>
    <row r="192" spans="6:7" x14ac:dyDescent="0.2">
      <c r="F192" s="237"/>
      <c r="G192" s="237"/>
    </row>
    <row r="193" spans="6:7" x14ac:dyDescent="0.2">
      <c r="F193" s="237"/>
      <c r="G193" s="237"/>
    </row>
    <row r="194" spans="6:7" x14ac:dyDescent="0.2">
      <c r="F194" s="237"/>
      <c r="G194" s="237"/>
    </row>
    <row r="195" spans="6:7" x14ac:dyDescent="0.2">
      <c r="F195" s="237"/>
      <c r="G195" s="237"/>
    </row>
    <row r="196" spans="6:7" x14ac:dyDescent="0.2">
      <c r="F196" s="237"/>
      <c r="G196" s="237"/>
    </row>
    <row r="197" spans="6:7" x14ac:dyDescent="0.2">
      <c r="F197" s="237"/>
      <c r="G197" s="237"/>
    </row>
    <row r="198" spans="6:7" x14ac:dyDescent="0.2">
      <c r="F198" s="237"/>
      <c r="G198" s="237"/>
    </row>
    <row r="199" spans="6:7" x14ac:dyDescent="0.2">
      <c r="F199" s="237"/>
      <c r="G199" s="237"/>
    </row>
    <row r="200" spans="6:7" x14ac:dyDescent="0.2">
      <c r="F200" s="237"/>
      <c r="G200" s="237"/>
    </row>
    <row r="201" spans="6:7" x14ac:dyDescent="0.2">
      <c r="F201" s="237"/>
      <c r="G201" s="237"/>
    </row>
    <row r="202" spans="6:7" x14ac:dyDescent="0.2">
      <c r="F202" s="237"/>
      <c r="G202" s="237"/>
    </row>
    <row r="203" spans="6:7" x14ac:dyDescent="0.2">
      <c r="F203" s="237"/>
      <c r="G203" s="237"/>
    </row>
    <row r="204" spans="6:7" x14ac:dyDescent="0.2">
      <c r="F204" s="237"/>
      <c r="G204" s="237"/>
    </row>
    <row r="205" spans="6:7" x14ac:dyDescent="0.2">
      <c r="F205" s="237"/>
      <c r="G205" s="237"/>
    </row>
    <row r="206" spans="6:7" x14ac:dyDescent="0.2">
      <c r="F206" s="237"/>
      <c r="G206" s="237"/>
    </row>
    <row r="207" spans="6:7" x14ac:dyDescent="0.2">
      <c r="F207" s="237"/>
      <c r="G207" s="237"/>
    </row>
    <row r="208" spans="6:7" x14ac:dyDescent="0.2">
      <c r="F208" s="237"/>
      <c r="G208" s="237"/>
    </row>
    <row r="209" spans="6:7" x14ac:dyDescent="0.2">
      <c r="F209" s="237"/>
      <c r="G209" s="237"/>
    </row>
    <row r="210" spans="6:7" x14ac:dyDescent="0.2">
      <c r="F210" s="237"/>
      <c r="G210" s="237"/>
    </row>
    <row r="211" spans="6:7" x14ac:dyDescent="0.2">
      <c r="F211" s="237"/>
      <c r="G211" s="237"/>
    </row>
    <row r="212" spans="6:7" x14ac:dyDescent="0.2">
      <c r="F212" s="237"/>
      <c r="G212" s="237"/>
    </row>
    <row r="213" spans="6:7" x14ac:dyDescent="0.2">
      <c r="F213" s="237"/>
      <c r="G213" s="237"/>
    </row>
    <row r="214" spans="6:7" x14ac:dyDescent="0.2">
      <c r="F214" s="237"/>
      <c r="G214" s="237"/>
    </row>
    <row r="215" spans="6:7" x14ac:dyDescent="0.2">
      <c r="F215" s="237"/>
      <c r="G215" s="237"/>
    </row>
    <row r="216" spans="6:7" x14ac:dyDescent="0.2">
      <c r="F216" s="237"/>
      <c r="G216" s="237"/>
    </row>
    <row r="217" spans="6:7" x14ac:dyDescent="0.2">
      <c r="F217" s="237"/>
      <c r="G217" s="237"/>
    </row>
    <row r="218" spans="6:7" x14ac:dyDescent="0.2">
      <c r="F218" s="237"/>
      <c r="G218" s="237"/>
    </row>
    <row r="219" spans="6:7" x14ac:dyDescent="0.2">
      <c r="F219" s="237"/>
      <c r="G219" s="237"/>
    </row>
    <row r="220" spans="6:7" x14ac:dyDescent="0.2">
      <c r="F220" s="237"/>
      <c r="G220" s="237"/>
    </row>
    <row r="221" spans="6:7" x14ac:dyDescent="0.2">
      <c r="F221" s="237"/>
      <c r="G221" s="237"/>
    </row>
    <row r="222" spans="6:7" x14ac:dyDescent="0.2">
      <c r="F222" s="237"/>
      <c r="G222" s="237"/>
    </row>
    <row r="223" spans="6:7" x14ac:dyDescent="0.2">
      <c r="F223" s="237"/>
      <c r="G223" s="237"/>
    </row>
    <row r="224" spans="6:7" x14ac:dyDescent="0.2">
      <c r="F224" s="237"/>
      <c r="G224" s="237"/>
    </row>
    <row r="225" spans="6:7" x14ac:dyDescent="0.2">
      <c r="F225" s="237"/>
      <c r="G225" s="237"/>
    </row>
    <row r="226" spans="6:7" x14ac:dyDescent="0.2">
      <c r="F226" s="237"/>
      <c r="G226" s="237"/>
    </row>
  </sheetData>
  <mergeCells count="3">
    <mergeCell ref="A1:H1"/>
    <mergeCell ref="A3:H3"/>
    <mergeCell ref="A2:H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77"/>
  <sheetViews>
    <sheetView workbookViewId="0">
      <selection activeCell="I18" sqref="I18"/>
    </sheetView>
  </sheetViews>
  <sheetFormatPr defaultRowHeight="12.75" x14ac:dyDescent="0.2"/>
  <cols>
    <col min="1" max="1" width="45" bestFit="1" customWidth="1"/>
    <col min="2" max="2" width="13.7109375" customWidth="1"/>
    <col min="3" max="3" width="20.85546875" customWidth="1"/>
    <col min="4" max="4" width="13.7109375" customWidth="1"/>
  </cols>
  <sheetData>
    <row r="1" spans="1:7" ht="15.75" x14ac:dyDescent="0.25">
      <c r="A1" s="523" t="s">
        <v>113</v>
      </c>
      <c r="B1" s="523"/>
      <c r="C1" s="523"/>
      <c r="D1" s="523"/>
      <c r="G1" s="11">
        <v>1.0249999999999999</v>
      </c>
    </row>
    <row r="2" spans="1:7" ht="15.75" x14ac:dyDescent="0.25">
      <c r="A2" s="523"/>
      <c r="B2" s="523"/>
      <c r="C2" s="523"/>
      <c r="D2" s="523"/>
    </row>
    <row r="3" spans="1:7" x14ac:dyDescent="0.2">
      <c r="B3" s="17"/>
      <c r="C3" s="17"/>
      <c r="D3" s="80"/>
    </row>
    <row r="4" spans="1:7" x14ac:dyDescent="0.2">
      <c r="B4" s="17"/>
      <c r="C4" s="81" t="s">
        <v>145</v>
      </c>
      <c r="D4" s="82" t="s">
        <v>76</v>
      </c>
    </row>
    <row r="5" spans="1:7" x14ac:dyDescent="0.2">
      <c r="A5" s="12" t="s">
        <v>77</v>
      </c>
      <c r="B5" s="17"/>
      <c r="C5" s="17"/>
      <c r="D5" s="80"/>
    </row>
    <row r="6" spans="1:7" ht="15" x14ac:dyDescent="0.25">
      <c r="A6" s="83" t="s">
        <v>78</v>
      </c>
      <c r="B6" s="84"/>
      <c r="C6" s="101" t="e">
        <f>'Proposed Budget Year 1'!#REF!*'Proposed Budget Year 2'!$G$1</f>
        <v>#REF!</v>
      </c>
      <c r="D6" s="80"/>
    </row>
    <row r="7" spans="1:7" ht="15" x14ac:dyDescent="0.25">
      <c r="A7" s="83" t="s">
        <v>47</v>
      </c>
      <c r="B7" s="84"/>
      <c r="C7" s="101" t="e">
        <f>'Proposed Budget Year 1'!#REF!*'Proposed Budget Year 2'!$G$1</f>
        <v>#REF!</v>
      </c>
      <c r="D7" s="80"/>
    </row>
    <row r="8" spans="1:7" ht="15" x14ac:dyDescent="0.25">
      <c r="A8" s="83" t="s">
        <v>79</v>
      </c>
      <c r="B8" s="84"/>
      <c r="C8" s="101" t="e">
        <f>'Proposed Budget Year 1'!#REF!*'Proposed Budget Year 2'!$G$1</f>
        <v>#REF!</v>
      </c>
      <c r="D8" s="80"/>
    </row>
    <row r="9" spans="1:7" ht="15" x14ac:dyDescent="0.25">
      <c r="A9" s="83" t="s">
        <v>48</v>
      </c>
      <c r="B9" s="86"/>
      <c r="C9" s="101" t="e">
        <f>'Proposed Budget Year 1'!#REF!*'Proposed Budget Year 2'!$G$1</f>
        <v>#REF!</v>
      </c>
      <c r="D9" s="80"/>
    </row>
    <row r="10" spans="1:7" x14ac:dyDescent="0.2">
      <c r="A10" s="87" t="s">
        <v>80</v>
      </c>
      <c r="B10" s="88"/>
      <c r="C10" s="89" t="e">
        <f>SUM(C6:C9)</f>
        <v>#REF!</v>
      </c>
      <c r="D10" s="82" t="e">
        <f>C10/$C$76</f>
        <v>#REF!</v>
      </c>
    </row>
    <row r="11" spans="1:7" x14ac:dyDescent="0.2">
      <c r="A11" s="90"/>
      <c r="B11" s="91"/>
      <c r="C11" s="85"/>
      <c r="D11" s="82"/>
    </row>
    <row r="12" spans="1:7" x14ac:dyDescent="0.2">
      <c r="A12" s="12" t="s">
        <v>81</v>
      </c>
      <c r="B12" s="91"/>
      <c r="C12" s="85"/>
      <c r="D12" s="80"/>
    </row>
    <row r="13" spans="1:7" x14ac:dyDescent="0.2">
      <c r="A13" s="46" t="s">
        <v>4</v>
      </c>
      <c r="B13" s="84"/>
      <c r="C13" s="101" t="e">
        <f>'Proposed Budget Year 1'!C9*'Proposed Budget Year 2'!$G$1</f>
        <v>#REF!</v>
      </c>
      <c r="D13" s="80"/>
    </row>
    <row r="14" spans="1:7" x14ac:dyDescent="0.2">
      <c r="A14" s="46" t="s">
        <v>82</v>
      </c>
      <c r="B14" s="84"/>
      <c r="C14" s="101" t="e">
        <f>'Proposed Budget Year 1'!C10*'Proposed Budget Year 2'!$G$1</f>
        <v>#REF!</v>
      </c>
      <c r="D14" s="80"/>
    </row>
    <row r="15" spans="1:7" x14ac:dyDescent="0.2">
      <c r="A15" s="46" t="s">
        <v>83</v>
      </c>
      <c r="B15" s="86"/>
      <c r="C15" s="101" t="e">
        <f>'Proposed Budget Year 1'!C11*'Proposed Budget Year 2'!$G$1</f>
        <v>#REF!</v>
      </c>
      <c r="D15" s="80"/>
    </row>
    <row r="16" spans="1:7" x14ac:dyDescent="0.2">
      <c r="A16" s="87" t="s">
        <v>84</v>
      </c>
      <c r="B16" s="88"/>
      <c r="C16" s="89" t="e">
        <f>SUM(C13:C15)</f>
        <v>#REF!</v>
      </c>
      <c r="D16" s="82" t="e">
        <f>C16/$C$76</f>
        <v>#REF!</v>
      </c>
    </row>
    <row r="17" spans="1:4" x14ac:dyDescent="0.2">
      <c r="B17" s="17"/>
      <c r="C17" s="17"/>
      <c r="D17" s="80"/>
    </row>
    <row r="18" spans="1:4" x14ac:dyDescent="0.2">
      <c r="A18" s="12" t="s">
        <v>85</v>
      </c>
      <c r="B18" s="91"/>
      <c r="C18" s="85"/>
      <c r="D18" s="80"/>
    </row>
    <row r="19" spans="1:4" x14ac:dyDescent="0.2">
      <c r="A19" s="46" t="e">
        <f>#REF!</f>
        <v>#REF!</v>
      </c>
      <c r="B19" s="91"/>
      <c r="C19" s="102" t="e">
        <f>'Proposed Budget Year 1'!C15*'Proposed Budget Year 2'!$G$1</f>
        <v>#REF!</v>
      </c>
      <c r="D19" s="80"/>
    </row>
    <row r="20" spans="1:4" x14ac:dyDescent="0.2">
      <c r="A20" s="46" t="e">
        <f>#REF!</f>
        <v>#REF!</v>
      </c>
      <c r="B20" s="91"/>
      <c r="C20" s="102" t="e">
        <f>'Proposed Budget Year 1'!C16*'Proposed Budget Year 2'!$G$1</f>
        <v>#REF!</v>
      </c>
      <c r="D20" s="80"/>
    </row>
    <row r="21" spans="1:4" x14ac:dyDescent="0.2">
      <c r="A21" s="46" t="e">
        <f>#REF!</f>
        <v>#REF!</v>
      </c>
      <c r="B21" s="91"/>
      <c r="C21" s="102" t="e">
        <f>'Proposed Budget Year 1'!C17*'Proposed Budget Year 2'!$G$1</f>
        <v>#REF!</v>
      </c>
      <c r="D21" s="80"/>
    </row>
    <row r="22" spans="1:4" x14ac:dyDescent="0.2">
      <c r="A22" s="46" t="e">
        <f>#REF!</f>
        <v>#REF!</v>
      </c>
      <c r="B22" s="91"/>
      <c r="C22" s="102" t="e">
        <f>'Proposed Budget Year 1'!C18*'Proposed Budget Year 2'!$G$1</f>
        <v>#REF!</v>
      </c>
      <c r="D22" s="80"/>
    </row>
    <row r="23" spans="1:4" x14ac:dyDescent="0.2">
      <c r="A23" s="46" t="e">
        <f>#REF!</f>
        <v>#REF!</v>
      </c>
      <c r="B23" s="91"/>
      <c r="C23" s="102" t="e">
        <f>'Proposed Budget Year 1'!C19*'Proposed Budget Year 2'!$G$1</f>
        <v>#REF!</v>
      </c>
      <c r="D23" s="80"/>
    </row>
    <row r="24" spans="1:4" x14ac:dyDescent="0.2">
      <c r="A24" s="46" t="e">
        <f>#REF!</f>
        <v>#REF!</v>
      </c>
      <c r="B24" s="91"/>
      <c r="C24" s="102" t="e">
        <f>'Proposed Budget Year 1'!C20*'Proposed Budget Year 2'!$G$1</f>
        <v>#REF!</v>
      </c>
      <c r="D24" s="80"/>
    </row>
    <row r="25" spans="1:4" x14ac:dyDescent="0.2">
      <c r="A25" s="45" t="s">
        <v>53</v>
      </c>
      <c r="B25" s="91"/>
      <c r="C25" s="102" t="e">
        <f>'Proposed Budget Year 1'!C21*'Proposed Budget Year 2'!$G$1</f>
        <v>#REF!</v>
      </c>
      <c r="D25" s="80"/>
    </row>
    <row r="26" spans="1:4" x14ac:dyDescent="0.2">
      <c r="A26" s="46" t="s">
        <v>95</v>
      </c>
      <c r="B26" s="91"/>
      <c r="C26" s="102">
        <f>'Proposed Budget Year 1'!C22*'Proposed Budget Year 2'!$G$1</f>
        <v>0</v>
      </c>
      <c r="D26" s="80"/>
    </row>
    <row r="27" spans="1:4" x14ac:dyDescent="0.2">
      <c r="A27" s="46"/>
      <c r="B27" s="91"/>
      <c r="C27" s="85"/>
      <c r="D27" s="82" t="e">
        <f>C28/$C$76</f>
        <v>#REF!</v>
      </c>
    </row>
    <row r="28" spans="1:4" x14ac:dyDescent="0.2">
      <c r="A28" s="92" t="s">
        <v>88</v>
      </c>
      <c r="B28" s="88"/>
      <c r="C28" s="89" t="e">
        <f>SUM(C19:C27)</f>
        <v>#REF!</v>
      </c>
      <c r="D28" s="80"/>
    </row>
    <row r="29" spans="1:4" x14ac:dyDescent="0.2">
      <c r="A29" s="4"/>
      <c r="B29" s="91"/>
      <c r="C29" s="85"/>
      <c r="D29" s="80"/>
    </row>
    <row r="30" spans="1:4" x14ac:dyDescent="0.2">
      <c r="A30" s="12" t="s">
        <v>89</v>
      </c>
      <c r="B30" s="91"/>
      <c r="C30" s="85"/>
      <c r="D30" s="80"/>
    </row>
    <row r="31" spans="1:4" x14ac:dyDescent="0.2">
      <c r="A31" s="46" t="s">
        <v>90</v>
      </c>
      <c r="B31" s="91"/>
      <c r="C31" s="102" t="e">
        <f>'Proposed Budget Year 1'!C27*'Proposed Budget Year 2'!$G$1</f>
        <v>#REF!</v>
      </c>
      <c r="D31" s="80"/>
    </row>
    <row r="32" spans="1:4" x14ac:dyDescent="0.2">
      <c r="A32" s="46" t="s">
        <v>91</v>
      </c>
      <c r="B32" s="91"/>
      <c r="C32" s="102" t="e">
        <f>'Proposed Budget Year 1'!C28*'Proposed Budget Year 2'!$G$1</f>
        <v>#REF!</v>
      </c>
      <c r="D32" s="80"/>
    </row>
    <row r="33" spans="1:4" x14ac:dyDescent="0.2">
      <c r="A33" s="46" t="s">
        <v>32</v>
      </c>
      <c r="B33" s="91"/>
      <c r="C33" s="102" t="e">
        <f>'Proposed Budget Year 1'!C29*'Proposed Budget Year 2'!$G$1</f>
        <v>#REF!</v>
      </c>
      <c r="D33" s="80"/>
    </row>
    <row r="34" spans="1:4" x14ac:dyDescent="0.2">
      <c r="A34" s="46" t="s">
        <v>92</v>
      </c>
      <c r="B34" s="91"/>
      <c r="C34" s="102" t="e">
        <f>'Proposed Budget Year 1'!C30*'Proposed Budget Year 2'!$G$1</f>
        <v>#REF!</v>
      </c>
      <c r="D34" s="80"/>
    </row>
    <row r="35" spans="1:4" x14ac:dyDescent="0.2">
      <c r="A35" s="46" t="s">
        <v>93</v>
      </c>
      <c r="B35" s="91"/>
      <c r="C35" s="102" t="e">
        <f>'Proposed Budget Year 1'!C31*'Proposed Budget Year 2'!$G$1</f>
        <v>#REF!</v>
      </c>
      <c r="D35" s="80"/>
    </row>
    <row r="36" spans="1:4" x14ac:dyDescent="0.2">
      <c r="A36" s="46" t="s">
        <v>94</v>
      </c>
      <c r="B36" s="91"/>
      <c r="C36" s="102" t="e">
        <f>'Proposed Budget Year 1'!C32*'Proposed Budget Year 2'!$G$1</f>
        <v>#REF!</v>
      </c>
      <c r="D36" s="80"/>
    </row>
    <row r="37" spans="1:4" x14ac:dyDescent="0.2">
      <c r="A37" s="45"/>
      <c r="B37" s="91"/>
      <c r="C37" s="85"/>
      <c r="D37" s="80"/>
    </row>
    <row r="38" spans="1:4" x14ac:dyDescent="0.2">
      <c r="A38" s="92" t="s">
        <v>96</v>
      </c>
      <c r="B38" s="88"/>
      <c r="C38" s="89" t="e">
        <f>'Proposed Budget Year 1'!C35*'Proposed Budget Year 2'!G1</f>
        <v>#REF!</v>
      </c>
      <c r="D38" s="82" t="e">
        <f>C38/$C$76</f>
        <v>#REF!</v>
      </c>
    </row>
    <row r="39" spans="1:4" x14ac:dyDescent="0.2">
      <c r="B39" s="91"/>
      <c r="C39" s="85"/>
      <c r="D39" s="80"/>
    </row>
    <row r="40" spans="1:4" x14ac:dyDescent="0.2">
      <c r="A40" s="12" t="s">
        <v>97</v>
      </c>
      <c r="B40" s="91"/>
      <c r="C40" s="85"/>
      <c r="D40" s="80"/>
    </row>
    <row r="41" spans="1:4" x14ac:dyDescent="0.2">
      <c r="A41" s="93" t="e">
        <f>#REF!</f>
        <v>#REF!</v>
      </c>
      <c r="B41" s="91"/>
      <c r="C41" s="102" t="e">
        <f>'Proposed Budget Year 1'!C38*'Proposed Budget Year 2'!$G$1</f>
        <v>#REF!</v>
      </c>
      <c r="D41" s="80"/>
    </row>
    <row r="42" spans="1:4" ht="16.5" customHeight="1" x14ac:dyDescent="0.2">
      <c r="A42" s="93" t="e">
        <f>#REF!</f>
        <v>#REF!</v>
      </c>
      <c r="B42" s="91"/>
      <c r="C42" s="102" t="e">
        <f>'Proposed Budget Year 1'!C39*'Proposed Budget Year 2'!$G$1</f>
        <v>#REF!</v>
      </c>
      <c r="D42" s="80"/>
    </row>
    <row r="43" spans="1:4" ht="16.5" hidden="1" customHeight="1" x14ac:dyDescent="0.2">
      <c r="A43" s="93" t="e">
        <f>#REF!</f>
        <v>#REF!</v>
      </c>
      <c r="B43" s="91"/>
      <c r="C43" s="102" t="e">
        <f>'Proposed Budget Year 1'!C40*'Proposed Budget Year 2'!$G$1</f>
        <v>#REF!</v>
      </c>
      <c r="D43" s="80"/>
    </row>
    <row r="44" spans="1:4" ht="16.5" customHeight="1" x14ac:dyDescent="0.2">
      <c r="A44" s="93" t="e">
        <f>#REF!</f>
        <v>#REF!</v>
      </c>
      <c r="B44" s="91"/>
      <c r="C44" s="102" t="e">
        <f>'Proposed Budget Year 1'!C41*'Proposed Budget Year 2'!$G$1</f>
        <v>#REF!</v>
      </c>
      <c r="D44" s="80"/>
    </row>
    <row r="45" spans="1:4" ht="16.5" customHeight="1" x14ac:dyDescent="0.2">
      <c r="A45" s="93" t="e">
        <f>#REF!</f>
        <v>#REF!</v>
      </c>
      <c r="B45" s="91"/>
      <c r="C45" s="102" t="e">
        <f>'Proposed Budget Year 1'!C42*'Proposed Budget Year 2'!$G$1</f>
        <v>#REF!</v>
      </c>
      <c r="D45" s="80"/>
    </row>
    <row r="46" spans="1:4" ht="16.5" customHeight="1" x14ac:dyDescent="0.2">
      <c r="A46" s="93" t="e">
        <f>#REF!</f>
        <v>#REF!</v>
      </c>
      <c r="B46" s="91"/>
      <c r="C46" s="102" t="e">
        <f>'Proposed Budget Year 1'!C43*'Proposed Budget Year 2'!$G$1</f>
        <v>#REF!</v>
      </c>
      <c r="D46" s="80"/>
    </row>
    <row r="47" spans="1:4" ht="16.5" customHeight="1" x14ac:dyDescent="0.2">
      <c r="A47" s="93" t="e">
        <f>#REF!</f>
        <v>#REF!</v>
      </c>
      <c r="B47" s="91"/>
      <c r="C47" s="102" t="e">
        <f>'Proposed Budget Year 1'!C44*'Proposed Budget Year 2'!$G$1</f>
        <v>#REF!</v>
      </c>
      <c r="D47" s="80"/>
    </row>
    <row r="48" spans="1:4" ht="16.5" customHeight="1" x14ac:dyDescent="0.2">
      <c r="A48" s="93" t="e">
        <f>#REF!</f>
        <v>#REF!</v>
      </c>
      <c r="B48" s="91"/>
      <c r="C48" s="102" t="e">
        <f>'Proposed Budget Year 1'!C45*'Proposed Budget Year 2'!$G$1</f>
        <v>#REF!</v>
      </c>
      <c r="D48" s="80"/>
    </row>
    <row r="49" spans="1:4" ht="16.5" customHeight="1" x14ac:dyDescent="0.2">
      <c r="A49" s="93" t="e">
        <f>#REF!</f>
        <v>#REF!</v>
      </c>
      <c r="B49" s="91"/>
      <c r="C49" s="102" t="e">
        <f>'Proposed Budget Year 1'!C46*'Proposed Budget Year 2'!$G$1</f>
        <v>#REF!</v>
      </c>
      <c r="D49" s="80"/>
    </row>
    <row r="50" spans="1:4" ht="16.5" customHeight="1" x14ac:dyDescent="0.2">
      <c r="A50" s="93" t="e">
        <f>#REF!</f>
        <v>#REF!</v>
      </c>
      <c r="B50" s="91"/>
      <c r="C50" s="102" t="e">
        <f>'Proposed Budget Year 1'!C47*'Proposed Budget Year 2'!$G$1</f>
        <v>#REF!</v>
      </c>
      <c r="D50" s="80"/>
    </row>
    <row r="51" spans="1:4" ht="16.5" customHeight="1" x14ac:dyDescent="0.2">
      <c r="A51" s="93" t="e">
        <f>#REF!</f>
        <v>#REF!</v>
      </c>
      <c r="B51" s="91"/>
      <c r="C51" s="102" t="e">
        <f>'Proposed Budget Year 1'!C48*'Proposed Budget Year 2'!$G$1</f>
        <v>#REF!</v>
      </c>
      <c r="D51" s="80"/>
    </row>
    <row r="52" spans="1:4" ht="16.5" customHeight="1" x14ac:dyDescent="0.2">
      <c r="A52" s="93" t="e">
        <f>#REF!</f>
        <v>#REF!</v>
      </c>
      <c r="B52" s="91"/>
      <c r="C52" s="102" t="e">
        <f>'Proposed Budget Year 1'!C49*'Proposed Budget Year 2'!$G$1</f>
        <v>#REF!</v>
      </c>
      <c r="D52" s="80"/>
    </row>
    <row r="53" spans="1:4" ht="16.5" customHeight="1" x14ac:dyDescent="0.2">
      <c r="A53" s="93" t="e">
        <f>#REF!</f>
        <v>#REF!</v>
      </c>
      <c r="B53" s="91"/>
      <c r="C53" s="102" t="e">
        <f>'Proposed Budget Year 1'!C50*'Proposed Budget Year 2'!$G$1</f>
        <v>#REF!</v>
      </c>
      <c r="D53" s="80"/>
    </row>
    <row r="54" spans="1:4" ht="16.5" customHeight="1" x14ac:dyDescent="0.2">
      <c r="A54" s="93" t="e">
        <f>#REF!</f>
        <v>#REF!</v>
      </c>
      <c r="B54" s="91"/>
      <c r="C54" s="102" t="e">
        <f>'Proposed Budget Year 1'!C51*'Proposed Budget Year 2'!$G$1</f>
        <v>#REF!</v>
      </c>
      <c r="D54" s="80"/>
    </row>
    <row r="55" spans="1:4" ht="16.5" customHeight="1" x14ac:dyDescent="0.2">
      <c r="A55" s="93" t="e">
        <f>#REF!</f>
        <v>#REF!</v>
      </c>
      <c r="B55" s="91"/>
      <c r="C55" s="102" t="e">
        <f>'Proposed Budget Year 1'!C52*'Proposed Budget Year 2'!$G$1</f>
        <v>#REF!</v>
      </c>
      <c r="D55" s="80"/>
    </row>
    <row r="56" spans="1:4" ht="16.5" customHeight="1" x14ac:dyDescent="0.2">
      <c r="A56" s="93" t="e">
        <f>#REF!</f>
        <v>#REF!</v>
      </c>
      <c r="B56" s="91"/>
      <c r="C56" s="102" t="e">
        <f>'Proposed Budget Year 1'!C53*'Proposed Budget Year 2'!$G$1</f>
        <v>#REF!</v>
      </c>
      <c r="D56" s="80"/>
    </row>
    <row r="57" spans="1:4" ht="16.5" customHeight="1" x14ac:dyDescent="0.2">
      <c r="A57" s="93" t="e">
        <f>#REF!</f>
        <v>#REF!</v>
      </c>
      <c r="B57" s="91"/>
      <c r="C57" s="102" t="e">
        <f>'Proposed Budget Year 1'!C54*'Proposed Budget Year 2'!$G$1</f>
        <v>#REF!</v>
      </c>
      <c r="D57" s="80"/>
    </row>
    <row r="58" spans="1:4" ht="16.5" customHeight="1" x14ac:dyDescent="0.2">
      <c r="A58" s="93" t="e">
        <f>#REF!</f>
        <v>#REF!</v>
      </c>
      <c r="B58" s="91"/>
      <c r="C58" s="102" t="e">
        <f>'Proposed Budget Year 1'!C55*'Proposed Budget Year 2'!$G$1</f>
        <v>#REF!</v>
      </c>
      <c r="D58" s="80"/>
    </row>
    <row r="59" spans="1:4" ht="16.5" customHeight="1" x14ac:dyDescent="0.2">
      <c r="A59" s="93" t="e">
        <f>#REF!</f>
        <v>#REF!</v>
      </c>
      <c r="B59" s="91"/>
      <c r="C59" s="102" t="e">
        <f>'Proposed Budget Year 1'!C56*'Proposed Budget Year 2'!$G$1</f>
        <v>#REF!</v>
      </c>
      <c r="D59" s="80"/>
    </row>
    <row r="60" spans="1:4" ht="16.5" hidden="1" customHeight="1" x14ac:dyDescent="0.2">
      <c r="A60" s="93" t="e">
        <f>#REF!</f>
        <v>#REF!</v>
      </c>
      <c r="B60" s="91"/>
      <c r="C60" s="102" t="e">
        <f>'Proposed Budget Year 1'!C57*'Proposed Budget Year 2'!$G$1</f>
        <v>#REF!</v>
      </c>
      <c r="D60" s="80"/>
    </row>
    <row r="61" spans="1:4" ht="16.5" hidden="1" customHeight="1" x14ac:dyDescent="0.2">
      <c r="A61" s="93" t="e">
        <f>#REF!</f>
        <v>#REF!</v>
      </c>
      <c r="B61" s="91"/>
      <c r="C61" s="102" t="e">
        <f>'Proposed Budget Year 1'!C58*'Proposed Budget Year 2'!$G$1</f>
        <v>#REF!</v>
      </c>
      <c r="D61" s="80"/>
    </row>
    <row r="62" spans="1:4" ht="16.5" hidden="1" customHeight="1" x14ac:dyDescent="0.2">
      <c r="A62" s="93" t="e">
        <f>#REF!</f>
        <v>#REF!</v>
      </c>
      <c r="B62" s="91"/>
      <c r="C62" s="102" t="e">
        <f>'Proposed Budget Year 1'!C59*'Proposed Budget Year 2'!$G$1</f>
        <v>#REF!</v>
      </c>
      <c r="D62" s="80"/>
    </row>
    <row r="63" spans="1:4" ht="16.5" customHeight="1" x14ac:dyDescent="0.2">
      <c r="A63" s="93" t="e">
        <f>#REF!</f>
        <v>#REF!</v>
      </c>
      <c r="B63" s="91"/>
      <c r="C63" s="102" t="e">
        <f>'Proposed Budget Year 1'!C60*'Proposed Budget Year 2'!$G$1</f>
        <v>#REF!</v>
      </c>
      <c r="D63" s="80"/>
    </row>
    <row r="64" spans="1:4" ht="16.5" customHeight="1" x14ac:dyDescent="0.2">
      <c r="A64" s="93" t="e">
        <f>#REF!</f>
        <v>#REF!</v>
      </c>
      <c r="B64" s="91"/>
      <c r="C64" s="102" t="e">
        <f>'Proposed Budget Year 1'!C61*'Proposed Budget Year 2'!$G$1</f>
        <v>#REF!</v>
      </c>
      <c r="D64" s="80"/>
    </row>
    <row r="65" spans="1:4" ht="16.5" customHeight="1" x14ac:dyDescent="0.2">
      <c r="A65" s="93" t="e">
        <f>#REF!</f>
        <v>#REF!</v>
      </c>
      <c r="B65" s="91"/>
      <c r="C65" s="102" t="e">
        <f>'Proposed Budget Year 1'!C62*'Proposed Budget Year 2'!$G$1</f>
        <v>#REF!</v>
      </c>
      <c r="D65" s="80"/>
    </row>
    <row r="66" spans="1:4" ht="16.5" customHeight="1" x14ac:dyDescent="0.2">
      <c r="A66" s="93" t="e">
        <f>#REF!</f>
        <v>#REF!</v>
      </c>
      <c r="B66" s="91"/>
      <c r="C66" s="102" t="e">
        <f>'Proposed Budget Year 1'!C63*'Proposed Budget Year 2'!$G$1</f>
        <v>#REF!</v>
      </c>
      <c r="D66" s="80"/>
    </row>
    <row r="67" spans="1:4" x14ac:dyDescent="0.2">
      <c r="A67" s="92" t="s">
        <v>101</v>
      </c>
      <c r="B67" s="88"/>
      <c r="C67" s="89" t="e">
        <f>SUM(C41:C66)</f>
        <v>#REF!</v>
      </c>
      <c r="D67" s="82" t="e">
        <f>C67/$C$76</f>
        <v>#REF!</v>
      </c>
    </row>
    <row r="68" spans="1:4" x14ac:dyDescent="0.2">
      <c r="A68" s="4"/>
      <c r="B68" s="91"/>
      <c r="C68" s="85"/>
      <c r="D68" s="80"/>
    </row>
    <row r="69" spans="1:4" x14ac:dyDescent="0.2">
      <c r="A69" s="1"/>
      <c r="B69" s="91"/>
      <c r="C69" s="85"/>
      <c r="D69" s="80"/>
    </row>
    <row r="70" spans="1:4" ht="13.5" thickBot="1" x14ac:dyDescent="0.25">
      <c r="A70" s="94" t="s">
        <v>102</v>
      </c>
      <c r="B70" s="94"/>
      <c r="C70" s="94" t="e">
        <f>C10+C16+C28+C38+C67</f>
        <v>#REF!</v>
      </c>
      <c r="D70" s="95" t="e">
        <f>C70/$C$76</f>
        <v>#REF!</v>
      </c>
    </row>
    <row r="71" spans="1:4" ht="13.5" thickTop="1" x14ac:dyDescent="0.2">
      <c r="A71" s="1"/>
      <c r="B71" s="91"/>
      <c r="C71" s="85"/>
      <c r="D71" s="80"/>
    </row>
    <row r="72" spans="1:4" x14ac:dyDescent="0.2">
      <c r="A72" s="92" t="s">
        <v>103</v>
      </c>
      <c r="B72" s="88"/>
      <c r="C72" s="89" t="e">
        <f>'Proposed Budget Year 1'!C69*'Proposed Budget Year 2'!G1</f>
        <v>#REF!</v>
      </c>
      <c r="D72" s="82" t="e">
        <f>C72/$C$76</f>
        <v>#REF!</v>
      </c>
    </row>
    <row r="73" spans="1:4" x14ac:dyDescent="0.2">
      <c r="A73" s="1"/>
      <c r="B73" s="91"/>
      <c r="C73" s="85"/>
      <c r="D73" s="80"/>
    </row>
    <row r="74" spans="1:4" x14ac:dyDescent="0.2">
      <c r="A74" s="92" t="s">
        <v>104</v>
      </c>
      <c r="B74" s="88"/>
      <c r="C74" s="89">
        <v>0</v>
      </c>
      <c r="D74" s="82" t="e">
        <f>C74/$C$76</f>
        <v>#REF!</v>
      </c>
    </row>
    <row r="75" spans="1:4" x14ac:dyDescent="0.2">
      <c r="A75" s="1"/>
      <c r="B75" s="91"/>
      <c r="C75" s="85"/>
      <c r="D75" s="80"/>
    </row>
    <row r="76" spans="1:4" ht="13.5" thickBot="1" x14ac:dyDescent="0.25">
      <c r="A76" s="94" t="s">
        <v>105</v>
      </c>
      <c r="B76" s="94"/>
      <c r="C76" s="94" t="e">
        <f>C70+C72+C74</f>
        <v>#REF!</v>
      </c>
      <c r="D76" s="95" t="e">
        <f>C76/$C$76</f>
        <v>#REF!</v>
      </c>
    </row>
    <row r="77" spans="1:4" ht="13.5" thickTop="1" x14ac:dyDescent="0.2"/>
  </sheetData>
  <mergeCells count="2">
    <mergeCell ref="A1:D1"/>
    <mergeCell ref="A2:D2"/>
  </mergeCells>
  <pageMargins left="0.7" right="0.7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8"/>
  <sheetViews>
    <sheetView zoomScale="80" zoomScaleNormal="80" workbookViewId="0">
      <selection activeCell="D16" sqref="D16:E16"/>
    </sheetView>
  </sheetViews>
  <sheetFormatPr defaultRowHeight="12.75" x14ac:dyDescent="0.2"/>
  <cols>
    <col min="1" max="1" width="4" customWidth="1"/>
    <col min="2" max="2" width="19.5703125" customWidth="1"/>
    <col min="3" max="3" width="12.42578125" style="2" customWidth="1"/>
    <col min="4" max="15" width="12.42578125" style="47" customWidth="1"/>
    <col min="16" max="16" width="13.140625" style="47" customWidth="1"/>
    <col min="17" max="17" width="12.42578125" style="2" customWidth="1"/>
  </cols>
  <sheetData>
    <row r="1" spans="1:17" ht="27.75" customHeight="1" x14ac:dyDescent="0.25">
      <c r="A1" s="465" t="s">
        <v>59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ht="27.75" customHeight="1" x14ac:dyDescent="0.25">
      <c r="A2" s="523" t="s">
        <v>146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7" ht="27.75" customHeight="1" x14ac:dyDescent="0.25">
      <c r="A3" s="523" t="s">
        <v>147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</row>
    <row r="4" spans="1:17" ht="27.75" customHeight="1" x14ac:dyDescent="0.25">
      <c r="A4" s="524">
        <v>41912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</row>
    <row r="6" spans="1:17" x14ac:dyDescent="0.2">
      <c r="C6" s="3">
        <f>SUM(D6:O6)</f>
        <v>365</v>
      </c>
      <c r="D6" s="103">
        <v>31</v>
      </c>
      <c r="E6" s="103">
        <v>30</v>
      </c>
      <c r="F6" s="103">
        <v>31</v>
      </c>
      <c r="G6" s="103">
        <v>31</v>
      </c>
      <c r="H6" s="103">
        <v>28</v>
      </c>
      <c r="I6" s="103">
        <v>31</v>
      </c>
      <c r="J6" s="103">
        <v>30</v>
      </c>
      <c r="K6" s="103">
        <v>31</v>
      </c>
      <c r="L6" s="103">
        <v>30</v>
      </c>
      <c r="M6" s="103">
        <v>31</v>
      </c>
      <c r="N6" s="103">
        <v>31</v>
      </c>
      <c r="O6" s="103">
        <v>30</v>
      </c>
      <c r="P6" s="79" t="s">
        <v>142</v>
      </c>
      <c r="Q6" s="79" t="s">
        <v>143</v>
      </c>
    </row>
    <row r="7" spans="1:17" x14ac:dyDescent="0.2">
      <c r="C7" s="3" t="s">
        <v>0</v>
      </c>
      <c r="D7" s="104">
        <v>41578</v>
      </c>
      <c r="E7" s="104">
        <v>41608</v>
      </c>
      <c r="F7" s="104">
        <v>41639</v>
      </c>
      <c r="G7" s="104">
        <v>41670</v>
      </c>
      <c r="H7" s="104">
        <v>41698</v>
      </c>
      <c r="I7" s="104">
        <v>41729</v>
      </c>
      <c r="J7" s="104">
        <v>41759</v>
      </c>
      <c r="K7" s="104">
        <v>41790</v>
      </c>
      <c r="L7" s="104">
        <v>41820</v>
      </c>
      <c r="M7" s="104">
        <v>41851</v>
      </c>
      <c r="N7" s="104">
        <v>41882</v>
      </c>
      <c r="O7" s="104">
        <v>41912</v>
      </c>
      <c r="P7" s="79" t="s">
        <v>141</v>
      </c>
      <c r="Q7" s="79" t="s">
        <v>141</v>
      </c>
    </row>
    <row r="8" spans="1:17" x14ac:dyDescent="0.2">
      <c r="A8" s="1" t="s">
        <v>125</v>
      </c>
      <c r="B8" s="1"/>
    </row>
    <row r="9" spans="1:17" x14ac:dyDescent="0.2">
      <c r="B9" s="97" t="s">
        <v>126</v>
      </c>
      <c r="C9" s="5" t="e">
        <f>'Proposed Budget Year 1'!#REF!+'Proposed Budget Year 1'!#REF!+'Proposed Budget Year 1'!#REF!</f>
        <v>#REF!</v>
      </c>
      <c r="D9" s="5" t="e">
        <f>$C$9/$C$6*D6</f>
        <v>#REF!</v>
      </c>
      <c r="E9" s="5" t="e">
        <f t="shared" ref="E9:O9" si="0">$C$9/$C$6*E6</f>
        <v>#REF!</v>
      </c>
      <c r="F9" s="5" t="e">
        <f t="shared" si="0"/>
        <v>#REF!</v>
      </c>
      <c r="G9" s="5" t="e">
        <f>$C$9/$C$6*G6</f>
        <v>#REF!</v>
      </c>
      <c r="H9" s="5" t="e">
        <f t="shared" si="0"/>
        <v>#REF!</v>
      </c>
      <c r="I9" s="5" t="e">
        <f t="shared" si="0"/>
        <v>#REF!</v>
      </c>
      <c r="J9" s="5" t="e">
        <f t="shared" si="0"/>
        <v>#REF!</v>
      </c>
      <c r="K9" s="5" t="e">
        <f t="shared" si="0"/>
        <v>#REF!</v>
      </c>
      <c r="L9" s="5" t="e">
        <f t="shared" si="0"/>
        <v>#REF!</v>
      </c>
      <c r="M9" s="5" t="e">
        <f t="shared" si="0"/>
        <v>#REF!</v>
      </c>
      <c r="N9" s="5" t="e">
        <f t="shared" si="0"/>
        <v>#REF!</v>
      </c>
      <c r="O9" s="5" t="e">
        <f t="shared" si="0"/>
        <v>#REF!</v>
      </c>
      <c r="P9" s="5" t="e">
        <f>SUM(D9:O9)</f>
        <v>#REF!</v>
      </c>
      <c r="Q9" s="5" t="e">
        <f>P9*$C$35</f>
        <v>#REF!</v>
      </c>
    </row>
    <row r="10" spans="1:17" x14ac:dyDescent="0.2">
      <c r="B10" s="97" t="s">
        <v>128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>SUM(D10:O10)</f>
        <v>0</v>
      </c>
      <c r="Q10" s="96">
        <v>0</v>
      </c>
    </row>
    <row r="11" spans="1:17" x14ac:dyDescent="0.2">
      <c r="A11" s="1" t="s">
        <v>129</v>
      </c>
      <c r="B11" s="1"/>
      <c r="C11" s="5"/>
      <c r="Q11" s="5"/>
    </row>
    <row r="12" spans="1:17" x14ac:dyDescent="0.2">
      <c r="A12" s="1" t="s">
        <v>130</v>
      </c>
      <c r="B12" s="1"/>
      <c r="C12" s="15" t="e">
        <f t="shared" ref="C12:O12" si="1">SUM(C9:C10)</f>
        <v>#REF!</v>
      </c>
      <c r="D12" s="15" t="e">
        <f t="shared" si="1"/>
        <v>#REF!</v>
      </c>
      <c r="E12" s="15" t="e">
        <f t="shared" si="1"/>
        <v>#REF!</v>
      </c>
      <c r="F12" s="15" t="e">
        <f t="shared" si="1"/>
        <v>#REF!</v>
      </c>
      <c r="G12" s="15" t="e">
        <f t="shared" si="1"/>
        <v>#REF!</v>
      </c>
      <c r="H12" s="15" t="e">
        <f t="shared" si="1"/>
        <v>#REF!</v>
      </c>
      <c r="I12" s="15" t="e">
        <f t="shared" si="1"/>
        <v>#REF!</v>
      </c>
      <c r="J12" s="15" t="e">
        <f t="shared" si="1"/>
        <v>#REF!</v>
      </c>
      <c r="K12" s="15" t="e">
        <f t="shared" si="1"/>
        <v>#REF!</v>
      </c>
      <c r="L12" s="15" t="e">
        <f t="shared" si="1"/>
        <v>#REF!</v>
      </c>
      <c r="M12" s="15" t="e">
        <f t="shared" si="1"/>
        <v>#REF!</v>
      </c>
      <c r="N12" s="15" t="e">
        <f t="shared" si="1"/>
        <v>#REF!</v>
      </c>
      <c r="O12" s="15" t="e">
        <f t="shared" si="1"/>
        <v>#REF!</v>
      </c>
      <c r="P12" s="15" t="e">
        <f>SUM(D12:O12)</f>
        <v>#REF!</v>
      </c>
      <c r="Q12" s="15" t="e">
        <f>P12*$C$35</f>
        <v>#REF!</v>
      </c>
    </row>
    <row r="13" spans="1:17" ht="39" customHeight="1" x14ac:dyDescent="0.2">
      <c r="A13" s="1" t="s">
        <v>131</v>
      </c>
      <c r="B13" s="1"/>
      <c r="C13" s="5"/>
      <c r="Q13" s="5"/>
    </row>
    <row r="14" spans="1:17" x14ac:dyDescent="0.2">
      <c r="B14" s="97" t="s">
        <v>127</v>
      </c>
      <c r="C14" s="5" t="e">
        <f>'Proposed Budget Year 1'!#REF!</f>
        <v>#REF!</v>
      </c>
      <c r="D14" s="5" t="e">
        <f>$C$14/$C$6*D6</f>
        <v>#REF!</v>
      </c>
      <c r="E14" s="5" t="e">
        <f t="shared" ref="E14:O14" si="2">$C$14/$C$6*E6</f>
        <v>#REF!</v>
      </c>
      <c r="F14" s="5" t="e">
        <f t="shared" si="2"/>
        <v>#REF!</v>
      </c>
      <c r="G14" s="5" t="e">
        <f t="shared" si="2"/>
        <v>#REF!</v>
      </c>
      <c r="H14" s="5" t="e">
        <f t="shared" si="2"/>
        <v>#REF!</v>
      </c>
      <c r="I14" s="5" t="e">
        <f t="shared" si="2"/>
        <v>#REF!</v>
      </c>
      <c r="J14" s="5" t="e">
        <f t="shared" si="2"/>
        <v>#REF!</v>
      </c>
      <c r="K14" s="5" t="e">
        <f t="shared" si="2"/>
        <v>#REF!</v>
      </c>
      <c r="L14" s="5" t="e">
        <f t="shared" si="2"/>
        <v>#REF!</v>
      </c>
      <c r="M14" s="5" t="e">
        <f t="shared" si="2"/>
        <v>#REF!</v>
      </c>
      <c r="N14" s="5" t="e">
        <f t="shared" si="2"/>
        <v>#REF!</v>
      </c>
      <c r="O14" s="5" t="e">
        <f t="shared" si="2"/>
        <v>#REF!</v>
      </c>
      <c r="P14" s="5" t="e">
        <f t="shared" ref="P14:P23" si="3">SUM(D14:O14)</f>
        <v>#REF!</v>
      </c>
      <c r="Q14" s="5" t="e">
        <f t="shared" ref="Q14:Q23" si="4">P14*$C$35</f>
        <v>#REF!</v>
      </c>
    </row>
    <row r="15" spans="1:17" x14ac:dyDescent="0.2">
      <c r="B15" s="97" t="s">
        <v>5</v>
      </c>
      <c r="C15" s="5" t="e">
        <f>'Proposed Budget Year 1'!C46</f>
        <v>#REF!</v>
      </c>
      <c r="D15" s="5" t="e">
        <f>$C$15/$C$6*D6</f>
        <v>#REF!</v>
      </c>
      <c r="E15" s="5" t="e">
        <f t="shared" ref="E15:O15" si="5">$C$15/$C$6*E6</f>
        <v>#REF!</v>
      </c>
      <c r="F15" s="5" t="e">
        <f t="shared" si="5"/>
        <v>#REF!</v>
      </c>
      <c r="G15" s="5" t="e">
        <f t="shared" si="5"/>
        <v>#REF!</v>
      </c>
      <c r="H15" s="5" t="e">
        <f t="shared" si="5"/>
        <v>#REF!</v>
      </c>
      <c r="I15" s="5" t="e">
        <f t="shared" si="5"/>
        <v>#REF!</v>
      </c>
      <c r="J15" s="5" t="e">
        <f t="shared" si="5"/>
        <v>#REF!</v>
      </c>
      <c r="K15" s="5" t="e">
        <f t="shared" si="5"/>
        <v>#REF!</v>
      </c>
      <c r="L15" s="5" t="e">
        <f t="shared" si="5"/>
        <v>#REF!</v>
      </c>
      <c r="M15" s="5" t="e">
        <f t="shared" si="5"/>
        <v>#REF!</v>
      </c>
      <c r="N15" s="5" t="e">
        <f t="shared" si="5"/>
        <v>#REF!</v>
      </c>
      <c r="O15" s="5" t="e">
        <f t="shared" si="5"/>
        <v>#REF!</v>
      </c>
      <c r="P15" s="5" t="e">
        <f t="shared" si="3"/>
        <v>#REF!</v>
      </c>
      <c r="Q15" s="5" t="e">
        <f t="shared" si="4"/>
        <v>#REF!</v>
      </c>
    </row>
    <row r="16" spans="1:17" x14ac:dyDescent="0.2">
      <c r="B16" s="97" t="s">
        <v>74</v>
      </c>
      <c r="C16" s="5" t="e">
        <f>'Proposed Budget Year 1'!C52+'Proposed Budget Year 1'!C53+'Proposed Budget Year 1'!C54+'Proposed Budget Year 1'!C55+'Proposed Budget Year 1'!C56</f>
        <v>#REF!</v>
      </c>
      <c r="D16" s="5" t="e">
        <f>$C$16/$C$6*D6</f>
        <v>#REF!</v>
      </c>
      <c r="E16" s="5" t="e">
        <f t="shared" ref="E16:O16" si="6">$C$16/$C$6*E6</f>
        <v>#REF!</v>
      </c>
      <c r="F16" s="5" t="e">
        <f t="shared" si="6"/>
        <v>#REF!</v>
      </c>
      <c r="G16" s="5" t="e">
        <f t="shared" si="6"/>
        <v>#REF!</v>
      </c>
      <c r="H16" s="5" t="e">
        <f t="shared" si="6"/>
        <v>#REF!</v>
      </c>
      <c r="I16" s="5" t="e">
        <f t="shared" si="6"/>
        <v>#REF!</v>
      </c>
      <c r="J16" s="5" t="e">
        <f t="shared" si="6"/>
        <v>#REF!</v>
      </c>
      <c r="K16" s="5" t="e">
        <f t="shared" si="6"/>
        <v>#REF!</v>
      </c>
      <c r="L16" s="5" t="e">
        <f t="shared" si="6"/>
        <v>#REF!</v>
      </c>
      <c r="M16" s="5" t="e">
        <f t="shared" si="6"/>
        <v>#REF!</v>
      </c>
      <c r="N16" s="5" t="e">
        <f t="shared" si="6"/>
        <v>#REF!</v>
      </c>
      <c r="O16" s="5" t="e">
        <f t="shared" si="6"/>
        <v>#REF!</v>
      </c>
      <c r="P16" s="5" t="e">
        <f t="shared" si="3"/>
        <v>#REF!</v>
      </c>
      <c r="Q16" s="5" t="e">
        <f t="shared" si="4"/>
        <v>#REF!</v>
      </c>
    </row>
    <row r="17" spans="1:17" x14ac:dyDescent="0.2">
      <c r="B17" s="97" t="s">
        <v>3</v>
      </c>
      <c r="C17" s="5" t="e">
        <f>'Proposed Budget Year 1'!C12</f>
        <v>#REF!</v>
      </c>
      <c r="D17" s="5" t="e">
        <f>$C$17/$C$6*D6</f>
        <v>#REF!</v>
      </c>
      <c r="E17" s="5" t="e">
        <f t="shared" ref="E17:O17" si="7">$C$17/$C$6*E6</f>
        <v>#REF!</v>
      </c>
      <c r="F17" s="5" t="e">
        <f t="shared" si="7"/>
        <v>#REF!</v>
      </c>
      <c r="G17" s="5" t="e">
        <f t="shared" si="7"/>
        <v>#REF!</v>
      </c>
      <c r="H17" s="5" t="e">
        <f t="shared" si="7"/>
        <v>#REF!</v>
      </c>
      <c r="I17" s="5" t="e">
        <f t="shared" si="7"/>
        <v>#REF!</v>
      </c>
      <c r="J17" s="5" t="e">
        <f t="shared" si="7"/>
        <v>#REF!</v>
      </c>
      <c r="K17" s="5" t="e">
        <f t="shared" si="7"/>
        <v>#REF!</v>
      </c>
      <c r="L17" s="5" t="e">
        <f t="shared" si="7"/>
        <v>#REF!</v>
      </c>
      <c r="M17" s="5" t="e">
        <f t="shared" si="7"/>
        <v>#REF!</v>
      </c>
      <c r="N17" s="5" t="e">
        <f t="shared" si="7"/>
        <v>#REF!</v>
      </c>
      <c r="O17" s="5" t="e">
        <f t="shared" si="7"/>
        <v>#REF!</v>
      </c>
      <c r="P17" s="5" t="e">
        <f t="shared" si="3"/>
        <v>#REF!</v>
      </c>
      <c r="Q17" s="5" t="e">
        <f t="shared" si="4"/>
        <v>#REF!</v>
      </c>
    </row>
    <row r="18" spans="1:17" x14ac:dyDescent="0.2">
      <c r="B18" s="97" t="s">
        <v>132</v>
      </c>
      <c r="C18" s="5" t="e">
        <f>'Proposed Budget Year 1'!C15+'Proposed Budget Year 1'!C16+'Proposed Budget Year 1'!C19+'Proposed Budget Year 1'!C20+'Proposed Budget Year 1'!C22</f>
        <v>#REF!</v>
      </c>
      <c r="D18" s="5" t="e">
        <f>$C$18/$C$6*D6</f>
        <v>#REF!</v>
      </c>
      <c r="E18" s="5" t="e">
        <f t="shared" ref="E18:O18" si="8">$C$18/$C$6*E6</f>
        <v>#REF!</v>
      </c>
      <c r="F18" s="5" t="e">
        <f t="shared" si="8"/>
        <v>#REF!</v>
      </c>
      <c r="G18" s="5" t="e">
        <f t="shared" si="8"/>
        <v>#REF!</v>
      </c>
      <c r="H18" s="5" t="e">
        <f t="shared" si="8"/>
        <v>#REF!</v>
      </c>
      <c r="I18" s="5" t="e">
        <f t="shared" si="8"/>
        <v>#REF!</v>
      </c>
      <c r="J18" s="5" t="e">
        <f t="shared" si="8"/>
        <v>#REF!</v>
      </c>
      <c r="K18" s="5" t="e">
        <f t="shared" si="8"/>
        <v>#REF!</v>
      </c>
      <c r="L18" s="5" t="e">
        <f t="shared" si="8"/>
        <v>#REF!</v>
      </c>
      <c r="M18" s="5" t="e">
        <f t="shared" si="8"/>
        <v>#REF!</v>
      </c>
      <c r="N18" s="5" t="e">
        <f t="shared" si="8"/>
        <v>#REF!</v>
      </c>
      <c r="O18" s="5" t="e">
        <f t="shared" si="8"/>
        <v>#REF!</v>
      </c>
      <c r="P18" s="5" t="e">
        <f t="shared" si="3"/>
        <v>#REF!</v>
      </c>
      <c r="Q18" s="5" t="e">
        <f t="shared" si="4"/>
        <v>#REF!</v>
      </c>
    </row>
    <row r="19" spans="1:17" x14ac:dyDescent="0.2">
      <c r="B19" s="97" t="s">
        <v>133</v>
      </c>
      <c r="C19" s="5" t="e">
        <f>'Proposed Budget Year 1'!C17+'Proposed Budget Year 1'!C18</f>
        <v>#REF!</v>
      </c>
      <c r="D19" s="5" t="e">
        <f>$C$19/$C$6*D6</f>
        <v>#REF!</v>
      </c>
      <c r="E19" s="5" t="e">
        <f t="shared" ref="E19:O19" si="9">$C$19/$C$6*E6</f>
        <v>#REF!</v>
      </c>
      <c r="F19" s="5" t="e">
        <f t="shared" si="9"/>
        <v>#REF!</v>
      </c>
      <c r="G19" s="5" t="e">
        <f t="shared" si="9"/>
        <v>#REF!</v>
      </c>
      <c r="H19" s="5" t="e">
        <f t="shared" si="9"/>
        <v>#REF!</v>
      </c>
      <c r="I19" s="5" t="e">
        <f t="shared" si="9"/>
        <v>#REF!</v>
      </c>
      <c r="J19" s="5" t="e">
        <f t="shared" si="9"/>
        <v>#REF!</v>
      </c>
      <c r="K19" s="5" t="e">
        <f t="shared" si="9"/>
        <v>#REF!</v>
      </c>
      <c r="L19" s="5" t="e">
        <f t="shared" si="9"/>
        <v>#REF!</v>
      </c>
      <c r="M19" s="5" t="e">
        <f t="shared" si="9"/>
        <v>#REF!</v>
      </c>
      <c r="N19" s="5" t="e">
        <f t="shared" si="9"/>
        <v>#REF!</v>
      </c>
      <c r="O19" s="5" t="e">
        <f t="shared" si="9"/>
        <v>#REF!</v>
      </c>
      <c r="P19" s="5" t="e">
        <f t="shared" si="3"/>
        <v>#REF!</v>
      </c>
      <c r="Q19" s="5" t="e">
        <f t="shared" si="4"/>
        <v>#REF!</v>
      </c>
    </row>
    <row r="20" spans="1:17" x14ac:dyDescent="0.2">
      <c r="B20" s="97" t="s">
        <v>134</v>
      </c>
      <c r="C20" s="5" t="e">
        <f>'Proposed Budget Year 1'!C35</f>
        <v>#REF!</v>
      </c>
      <c r="D20" s="5" t="e">
        <f>$C$20/$C$6*D6</f>
        <v>#REF!</v>
      </c>
      <c r="E20" s="5" t="e">
        <f t="shared" ref="E20:O20" si="10">$C$20/$C$6*E6</f>
        <v>#REF!</v>
      </c>
      <c r="F20" s="5" t="e">
        <f t="shared" si="10"/>
        <v>#REF!</v>
      </c>
      <c r="G20" s="5" t="e">
        <f t="shared" si="10"/>
        <v>#REF!</v>
      </c>
      <c r="H20" s="5" t="e">
        <f t="shared" si="10"/>
        <v>#REF!</v>
      </c>
      <c r="I20" s="5" t="e">
        <f t="shared" si="10"/>
        <v>#REF!</v>
      </c>
      <c r="J20" s="5" t="e">
        <f t="shared" si="10"/>
        <v>#REF!</v>
      </c>
      <c r="K20" s="5" t="e">
        <f t="shared" si="10"/>
        <v>#REF!</v>
      </c>
      <c r="L20" s="5" t="e">
        <f t="shared" si="10"/>
        <v>#REF!</v>
      </c>
      <c r="M20" s="5" t="e">
        <f t="shared" si="10"/>
        <v>#REF!</v>
      </c>
      <c r="N20" s="5" t="e">
        <f t="shared" si="10"/>
        <v>#REF!</v>
      </c>
      <c r="O20" s="5" t="e">
        <f t="shared" si="10"/>
        <v>#REF!</v>
      </c>
      <c r="P20" s="5" t="e">
        <f t="shared" si="3"/>
        <v>#REF!</v>
      </c>
      <c r="Q20" s="5" t="e">
        <f t="shared" si="4"/>
        <v>#REF!</v>
      </c>
    </row>
    <row r="21" spans="1:17" x14ac:dyDescent="0.2">
      <c r="B21" s="97" t="s">
        <v>135</v>
      </c>
      <c r="C21" s="5" t="e">
        <f>'Proposed Budget Year 1'!C21</f>
        <v>#REF!</v>
      </c>
      <c r="D21" s="5" t="e">
        <f>$C$21/$C$6*D6</f>
        <v>#REF!</v>
      </c>
      <c r="E21" s="5" t="e">
        <f t="shared" ref="E21:O21" si="11">$C$21/$C$6*E6</f>
        <v>#REF!</v>
      </c>
      <c r="F21" s="5" t="e">
        <f t="shared" si="11"/>
        <v>#REF!</v>
      </c>
      <c r="G21" s="5" t="e">
        <f t="shared" si="11"/>
        <v>#REF!</v>
      </c>
      <c r="H21" s="5" t="e">
        <f t="shared" si="11"/>
        <v>#REF!</v>
      </c>
      <c r="I21" s="5" t="e">
        <f t="shared" si="11"/>
        <v>#REF!</v>
      </c>
      <c r="J21" s="5" t="e">
        <f t="shared" si="11"/>
        <v>#REF!</v>
      </c>
      <c r="K21" s="5" t="e">
        <f t="shared" si="11"/>
        <v>#REF!</v>
      </c>
      <c r="L21" s="5" t="e">
        <f t="shared" si="11"/>
        <v>#REF!</v>
      </c>
      <c r="M21" s="5" t="e">
        <f t="shared" si="11"/>
        <v>#REF!</v>
      </c>
      <c r="N21" s="5" t="e">
        <f t="shared" si="11"/>
        <v>#REF!</v>
      </c>
      <c r="O21" s="5" t="e">
        <f t="shared" si="11"/>
        <v>#REF!</v>
      </c>
      <c r="P21" s="5" t="e">
        <f t="shared" si="3"/>
        <v>#REF!</v>
      </c>
      <c r="Q21" s="5" t="e">
        <f t="shared" si="4"/>
        <v>#REF!</v>
      </c>
    </row>
    <row r="22" spans="1:17" x14ac:dyDescent="0.2">
      <c r="B22" s="97" t="s">
        <v>136</v>
      </c>
      <c r="C22" s="5" t="e">
        <f>'Proposed Budget Year 1'!C64-'Proposed Budget Year 1'!C46-'Proposed Budget Year 1'!C53-'Proposed Budget Year 1'!C52-'Proposed Budget Year 1'!C54-'Proposed Budget Year 1'!C55-'Proposed Budget Year 1'!C56</f>
        <v>#REF!</v>
      </c>
      <c r="D22" s="5" t="e">
        <f t="shared" ref="D22:O22" si="12">$C$22/$C$6*D6</f>
        <v>#REF!</v>
      </c>
      <c r="E22" s="5" t="e">
        <f t="shared" si="12"/>
        <v>#REF!</v>
      </c>
      <c r="F22" s="5" t="e">
        <f t="shared" si="12"/>
        <v>#REF!</v>
      </c>
      <c r="G22" s="5" t="e">
        <f t="shared" si="12"/>
        <v>#REF!</v>
      </c>
      <c r="H22" s="5" t="e">
        <f t="shared" si="12"/>
        <v>#REF!</v>
      </c>
      <c r="I22" s="5" t="e">
        <f t="shared" si="12"/>
        <v>#REF!</v>
      </c>
      <c r="J22" s="5" t="e">
        <f t="shared" si="12"/>
        <v>#REF!</v>
      </c>
      <c r="K22" s="5" t="e">
        <f t="shared" si="12"/>
        <v>#REF!</v>
      </c>
      <c r="L22" s="5" t="e">
        <f t="shared" si="12"/>
        <v>#REF!</v>
      </c>
      <c r="M22" s="5" t="e">
        <f t="shared" si="12"/>
        <v>#REF!</v>
      </c>
      <c r="N22" s="5" t="e">
        <f t="shared" si="12"/>
        <v>#REF!</v>
      </c>
      <c r="O22" s="5" t="e">
        <f t="shared" si="12"/>
        <v>#REF!</v>
      </c>
      <c r="P22" s="5" t="e">
        <f t="shared" si="3"/>
        <v>#REF!</v>
      </c>
      <c r="Q22" s="5" t="e">
        <f t="shared" si="4"/>
        <v>#REF!</v>
      </c>
    </row>
    <row r="23" spans="1:17" x14ac:dyDescent="0.2">
      <c r="B23" s="97" t="s">
        <v>55</v>
      </c>
      <c r="C23" s="5" t="e">
        <f>'Proposed Budget Year 1'!C69</f>
        <v>#REF!</v>
      </c>
      <c r="D23" s="5" t="e">
        <f>$C$23/$C$6*D6</f>
        <v>#REF!</v>
      </c>
      <c r="E23" s="5" t="e">
        <f t="shared" ref="E23:O23" si="13">$C$23/$C$6*E6</f>
        <v>#REF!</v>
      </c>
      <c r="F23" s="5" t="e">
        <f t="shared" si="13"/>
        <v>#REF!</v>
      </c>
      <c r="G23" s="5" t="e">
        <f t="shared" si="13"/>
        <v>#REF!</v>
      </c>
      <c r="H23" s="5" t="e">
        <f t="shared" si="13"/>
        <v>#REF!</v>
      </c>
      <c r="I23" s="5" t="e">
        <f t="shared" si="13"/>
        <v>#REF!</v>
      </c>
      <c r="J23" s="5" t="e">
        <f t="shared" si="13"/>
        <v>#REF!</v>
      </c>
      <c r="K23" s="5" t="e">
        <f t="shared" si="13"/>
        <v>#REF!</v>
      </c>
      <c r="L23" s="5" t="e">
        <f t="shared" si="13"/>
        <v>#REF!</v>
      </c>
      <c r="M23" s="5" t="e">
        <f t="shared" si="13"/>
        <v>#REF!</v>
      </c>
      <c r="N23" s="5" t="e">
        <f t="shared" si="13"/>
        <v>#REF!</v>
      </c>
      <c r="O23" s="5" t="e">
        <f t="shared" si="13"/>
        <v>#REF!</v>
      </c>
      <c r="P23" s="5" t="e">
        <f t="shared" si="3"/>
        <v>#REF!</v>
      </c>
      <c r="Q23" s="5" t="e">
        <f t="shared" si="4"/>
        <v>#REF!</v>
      </c>
    </row>
    <row r="24" spans="1:17" x14ac:dyDescent="0.2">
      <c r="Q24" s="5"/>
    </row>
    <row r="25" spans="1:17" x14ac:dyDescent="0.2">
      <c r="A25" s="1" t="s">
        <v>137</v>
      </c>
      <c r="C25" s="15" t="e">
        <f>SUM(C14:C23)</f>
        <v>#REF!</v>
      </c>
      <c r="D25" s="15" t="e">
        <f t="shared" ref="D25:Q25" si="14">SUM(D14:D23)</f>
        <v>#REF!</v>
      </c>
      <c r="E25" s="15" t="e">
        <f t="shared" si="14"/>
        <v>#REF!</v>
      </c>
      <c r="F25" s="15" t="e">
        <f t="shared" si="14"/>
        <v>#REF!</v>
      </c>
      <c r="G25" s="15" t="e">
        <f t="shared" si="14"/>
        <v>#REF!</v>
      </c>
      <c r="H25" s="15" t="e">
        <f t="shared" si="14"/>
        <v>#REF!</v>
      </c>
      <c r="I25" s="15" t="e">
        <f t="shared" si="14"/>
        <v>#REF!</v>
      </c>
      <c r="J25" s="15" t="e">
        <f t="shared" si="14"/>
        <v>#REF!</v>
      </c>
      <c r="K25" s="15" t="e">
        <f t="shared" si="14"/>
        <v>#REF!</v>
      </c>
      <c r="L25" s="15" t="e">
        <f t="shared" si="14"/>
        <v>#REF!</v>
      </c>
      <c r="M25" s="15" t="e">
        <f t="shared" si="14"/>
        <v>#REF!</v>
      </c>
      <c r="N25" s="15" t="e">
        <f t="shared" si="14"/>
        <v>#REF!</v>
      </c>
      <c r="O25" s="15" t="e">
        <f t="shared" si="14"/>
        <v>#REF!</v>
      </c>
      <c r="P25" s="15" t="e">
        <f t="shared" si="14"/>
        <v>#REF!</v>
      </c>
      <c r="Q25" s="15" t="e">
        <f t="shared" si="14"/>
        <v>#REF!</v>
      </c>
    </row>
    <row r="26" spans="1:17" x14ac:dyDescent="0.2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A27" s="1" t="s">
        <v>138</v>
      </c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A28" s="1" t="s">
        <v>130</v>
      </c>
      <c r="B28" s="1"/>
      <c r="C28" s="15" t="e">
        <f t="shared" ref="C28:Q28" si="15">C12+C25</f>
        <v>#REF!</v>
      </c>
      <c r="D28" s="15" t="e">
        <f t="shared" si="15"/>
        <v>#REF!</v>
      </c>
      <c r="E28" s="15" t="e">
        <f t="shared" si="15"/>
        <v>#REF!</v>
      </c>
      <c r="F28" s="15" t="e">
        <f t="shared" si="15"/>
        <v>#REF!</v>
      </c>
      <c r="G28" s="15" t="e">
        <f t="shared" si="15"/>
        <v>#REF!</v>
      </c>
      <c r="H28" s="15" t="e">
        <f t="shared" si="15"/>
        <v>#REF!</v>
      </c>
      <c r="I28" s="15" t="e">
        <f t="shared" si="15"/>
        <v>#REF!</v>
      </c>
      <c r="J28" s="15" t="e">
        <f t="shared" si="15"/>
        <v>#REF!</v>
      </c>
      <c r="K28" s="15" t="e">
        <f t="shared" si="15"/>
        <v>#REF!</v>
      </c>
      <c r="L28" s="15" t="e">
        <f t="shared" si="15"/>
        <v>#REF!</v>
      </c>
      <c r="M28" s="15" t="e">
        <f t="shared" si="15"/>
        <v>#REF!</v>
      </c>
      <c r="N28" s="15" t="e">
        <f t="shared" si="15"/>
        <v>#REF!</v>
      </c>
      <c r="O28" s="15" t="e">
        <f t="shared" si="15"/>
        <v>#REF!</v>
      </c>
      <c r="P28" s="15" t="e">
        <f t="shared" si="15"/>
        <v>#REF!</v>
      </c>
      <c r="Q28" s="15" t="e">
        <f t="shared" si="15"/>
        <v>#REF!</v>
      </c>
    </row>
    <row r="29" spans="1:17" x14ac:dyDescent="0.2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"/>
    </row>
    <row r="30" spans="1:17" x14ac:dyDescent="0.2">
      <c r="A30" s="1" t="s">
        <v>140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</row>
    <row r="31" spans="1:17" x14ac:dyDescent="0.2">
      <c r="A31" s="1" t="s">
        <v>130</v>
      </c>
      <c r="C31" s="15" t="e">
        <f>'Proposed Budget Year 1'!C71</f>
        <v>#REF!</v>
      </c>
      <c r="D31" s="15" t="e">
        <f>$C$31/61*D6</f>
        <v>#REF!</v>
      </c>
      <c r="E31" s="15" t="e">
        <f>$C$31/61*E6</f>
        <v>#REF!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 t="e">
        <f>SUM(D31:O31)</f>
        <v>#REF!</v>
      </c>
      <c r="Q31" s="15">
        <v>0</v>
      </c>
    </row>
    <row r="32" spans="1:17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3"/>
    </row>
    <row r="33" spans="1:17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3"/>
    </row>
    <row r="34" spans="1:17" x14ac:dyDescent="0.2">
      <c r="A34" s="1" t="s">
        <v>139</v>
      </c>
      <c r="C34" s="15" t="e">
        <f>C28+C31</f>
        <v>#REF!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 t="e">
        <f>P28+P31</f>
        <v>#REF!</v>
      </c>
      <c r="Q34" s="15" t="e">
        <f>Q28+Q31</f>
        <v>#REF!</v>
      </c>
    </row>
    <row r="35" spans="1:17" hidden="1" x14ac:dyDescent="0.2">
      <c r="B35" s="13" t="s">
        <v>144</v>
      </c>
      <c r="C35" s="2">
        <f>'Proposed Budget Year 2'!G1</f>
        <v>1.0249999999999999</v>
      </c>
    </row>
    <row r="36" spans="1:17" hidden="1" x14ac:dyDescent="0.2"/>
    <row r="37" spans="1:17" hidden="1" x14ac:dyDescent="0.2">
      <c r="C37" s="2" t="e">
        <f>'Proposed Budget Year 1'!C73</f>
        <v>#REF!</v>
      </c>
    </row>
    <row r="38" spans="1:17" hidden="1" x14ac:dyDescent="0.2">
      <c r="C38" s="5" t="e">
        <f>C37-C34</f>
        <v>#REF!</v>
      </c>
    </row>
  </sheetData>
  <mergeCells count="4">
    <mergeCell ref="A1:Q1"/>
    <mergeCell ref="A2:Q2"/>
    <mergeCell ref="A3:Q3"/>
    <mergeCell ref="A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AL229"/>
  <sheetViews>
    <sheetView topLeftCell="A2" zoomScale="80" zoomScaleNormal="80" workbookViewId="0">
      <pane ySplit="8" topLeftCell="A175" activePane="bottomLeft" state="frozenSplit"/>
      <selection activeCell="A2" sqref="A2"/>
      <selection pane="bottomLeft" activeCell="G56" sqref="G56"/>
    </sheetView>
  </sheetViews>
  <sheetFormatPr defaultColWidth="8.85546875" defaultRowHeight="12.75" x14ac:dyDescent="0.2"/>
  <cols>
    <col min="1" max="1" width="40.5703125" style="130" bestFit="1" customWidth="1"/>
    <col min="2" max="2" width="13.85546875" style="134" bestFit="1" customWidth="1"/>
    <col min="3" max="3" width="3.140625" style="134" customWidth="1"/>
    <col min="4" max="4" width="10.28515625" style="187" bestFit="1" customWidth="1"/>
    <col min="5" max="5" width="10.28515625" style="188" bestFit="1" customWidth="1"/>
    <col min="6" max="6" width="10.28515625" style="134" bestFit="1" customWidth="1"/>
    <col min="7" max="7" width="10.28515625" style="135" bestFit="1" customWidth="1"/>
    <col min="8" max="15" width="10.28515625" style="130" bestFit="1" customWidth="1"/>
    <col min="16" max="16" width="12.140625" style="136" bestFit="1" customWidth="1"/>
    <col min="17" max="17" width="13.85546875" style="130" bestFit="1" customWidth="1"/>
    <col min="18" max="18" width="3.42578125" style="130" customWidth="1"/>
    <col min="19" max="19" width="7.7109375" style="130" bestFit="1" customWidth="1"/>
    <col min="20" max="20" width="5.5703125" style="130" bestFit="1" customWidth="1"/>
    <col min="21" max="21" width="13.140625" style="130" bestFit="1" customWidth="1"/>
    <col min="22" max="33" width="9.5703125" style="130" bestFit="1" customWidth="1"/>
    <col min="34" max="34" width="13.5703125" style="130" bestFit="1" customWidth="1"/>
    <col min="35" max="37" width="9.7109375" style="130" bestFit="1" customWidth="1"/>
    <col min="38" max="38" width="15" style="131" customWidth="1"/>
    <col min="39" max="16384" width="8.85546875" style="130"/>
  </cols>
  <sheetData>
    <row r="1" spans="1:38" x14ac:dyDescent="0.2">
      <c r="A1" s="466" t="s">
        <v>196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38" x14ac:dyDescent="0.2">
      <c r="A2" s="466" t="s">
        <v>197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</row>
    <row r="3" spans="1:38" x14ac:dyDescent="0.2">
      <c r="A3" s="467" t="s">
        <v>447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</row>
    <row r="4" spans="1:38" x14ac:dyDescent="0.2">
      <c r="A4" s="468" t="s">
        <v>451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38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  <c r="AH5" s="131"/>
      <c r="AL5" s="130"/>
    </row>
    <row r="6" spans="1:38" x14ac:dyDescent="0.2">
      <c r="C6" s="135"/>
      <c r="D6" s="130"/>
      <c r="E6" s="130"/>
      <c r="F6" s="130"/>
      <c r="G6" s="130"/>
      <c r="AH6" s="131"/>
      <c r="AL6" s="130"/>
    </row>
    <row r="7" spans="1:38" x14ac:dyDescent="0.2">
      <c r="C7" s="138"/>
      <c r="D7" s="130"/>
      <c r="E7" s="130"/>
      <c r="F7" s="130"/>
      <c r="G7" s="130"/>
      <c r="Q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H7" s="131"/>
      <c r="AL7" s="130"/>
    </row>
    <row r="8" spans="1:38" x14ac:dyDescent="0.2">
      <c r="C8" s="138"/>
      <c r="D8" s="140">
        <v>31</v>
      </c>
      <c r="E8" s="140">
        <v>30</v>
      </c>
      <c r="F8" s="140">
        <v>31</v>
      </c>
      <c r="G8" s="140">
        <v>31</v>
      </c>
      <c r="H8" s="140">
        <v>28</v>
      </c>
      <c r="I8" s="140">
        <v>31</v>
      </c>
      <c r="J8" s="140">
        <v>30</v>
      </c>
      <c r="K8" s="140">
        <v>31</v>
      </c>
      <c r="L8" s="140">
        <v>30</v>
      </c>
      <c r="M8" s="140">
        <v>31</v>
      </c>
      <c r="N8" s="140">
        <v>31</v>
      </c>
      <c r="O8" s="140">
        <v>30</v>
      </c>
      <c r="P8" s="140">
        <f>SUM(D8:O8)</f>
        <v>365</v>
      </c>
      <c r="Q8" s="136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31"/>
      <c r="AL8" s="130"/>
    </row>
    <row r="9" spans="1:38" x14ac:dyDescent="0.2">
      <c r="C9" s="142"/>
      <c r="D9" s="141">
        <v>41913</v>
      </c>
      <c r="E9" s="141">
        <v>41944</v>
      </c>
      <c r="F9" s="141">
        <v>41974</v>
      </c>
      <c r="G9" s="141">
        <v>42005</v>
      </c>
      <c r="H9" s="141">
        <v>42036</v>
      </c>
      <c r="I9" s="141">
        <v>42064</v>
      </c>
      <c r="J9" s="141">
        <v>42095</v>
      </c>
      <c r="K9" s="141">
        <v>42125</v>
      </c>
      <c r="L9" s="141">
        <v>42156</v>
      </c>
      <c r="M9" s="141">
        <v>42186</v>
      </c>
      <c r="N9" s="141">
        <v>42217</v>
      </c>
      <c r="O9" s="141">
        <v>42248</v>
      </c>
      <c r="P9" s="141" t="s">
        <v>198</v>
      </c>
      <c r="Q9" s="136"/>
      <c r="S9" s="143" t="s">
        <v>199</v>
      </c>
      <c r="T9" s="143" t="s">
        <v>200</v>
      </c>
      <c r="U9" s="143" t="s">
        <v>201</v>
      </c>
      <c r="V9" s="141">
        <f t="shared" ref="V9:AG9" si="0">D9</f>
        <v>41913</v>
      </c>
      <c r="W9" s="141">
        <f t="shared" si="0"/>
        <v>41944</v>
      </c>
      <c r="X9" s="141">
        <f t="shared" si="0"/>
        <v>41974</v>
      </c>
      <c r="Y9" s="141">
        <f t="shared" si="0"/>
        <v>42005</v>
      </c>
      <c r="Z9" s="141">
        <f t="shared" si="0"/>
        <v>42036</v>
      </c>
      <c r="AA9" s="141">
        <f t="shared" si="0"/>
        <v>42064</v>
      </c>
      <c r="AB9" s="141">
        <f t="shared" si="0"/>
        <v>42095</v>
      </c>
      <c r="AC9" s="141">
        <f t="shared" si="0"/>
        <v>42125</v>
      </c>
      <c r="AD9" s="141">
        <f t="shared" si="0"/>
        <v>42156</v>
      </c>
      <c r="AE9" s="141">
        <f t="shared" si="0"/>
        <v>42186</v>
      </c>
      <c r="AF9" s="141">
        <f t="shared" si="0"/>
        <v>42217</v>
      </c>
      <c r="AG9" s="141">
        <f t="shared" si="0"/>
        <v>42248</v>
      </c>
      <c r="AH9" s="144" t="s">
        <v>202</v>
      </c>
      <c r="AL9" s="130"/>
    </row>
    <row r="10" spans="1:38" ht="13.5" thickBot="1" x14ac:dyDescent="0.25">
      <c r="B10" s="139"/>
      <c r="C10" s="138"/>
      <c r="D10" s="130"/>
      <c r="E10" s="130"/>
      <c r="F10" s="130"/>
      <c r="G10" s="130"/>
      <c r="Q10" s="136"/>
      <c r="S10" s="145" t="s">
        <v>203</v>
      </c>
      <c r="T10" s="146" t="s">
        <v>448</v>
      </c>
      <c r="U10" s="136" t="str">
        <f t="shared" ref="U10:U18" si="1">CONCATENATE(S10,T10)</f>
        <v>4000000753</v>
      </c>
      <c r="V10" s="147">
        <f t="shared" ref="V10:AG11" si="2">-D12</f>
        <v>0</v>
      </c>
      <c r="W10" s="147">
        <f t="shared" si="2"/>
        <v>0</v>
      </c>
      <c r="X10" s="147">
        <f t="shared" si="2"/>
        <v>0</v>
      </c>
      <c r="Y10" s="147">
        <f t="shared" si="2"/>
        <v>0</v>
      </c>
      <c r="Z10" s="147">
        <f t="shared" si="2"/>
        <v>0</v>
      </c>
      <c r="AA10" s="147">
        <f t="shared" si="2"/>
        <v>0</v>
      </c>
      <c r="AB10" s="147">
        <f t="shared" si="2"/>
        <v>0</v>
      </c>
      <c r="AC10" s="147">
        <f t="shared" si="2"/>
        <v>0</v>
      </c>
      <c r="AD10" s="147">
        <f t="shared" si="2"/>
        <v>0</v>
      </c>
      <c r="AE10" s="147">
        <f t="shared" si="2"/>
        <v>0</v>
      </c>
      <c r="AF10" s="147">
        <f t="shared" si="2"/>
        <v>0</v>
      </c>
      <c r="AG10" s="147">
        <f t="shared" si="2"/>
        <v>0</v>
      </c>
      <c r="AH10" s="148">
        <f t="shared" ref="AH10:AH41" si="3">SUM(V10:AG10)</f>
        <v>0</v>
      </c>
      <c r="AL10" s="130"/>
    </row>
    <row r="11" spans="1:38" x14ac:dyDescent="0.2">
      <c r="A11" s="130" t="s">
        <v>204</v>
      </c>
      <c r="B11" s="139"/>
      <c r="C11" s="138"/>
      <c r="D11" s="130"/>
      <c r="E11" s="130"/>
      <c r="F11" s="130"/>
      <c r="G11" s="130"/>
      <c r="Q11" s="136"/>
      <c r="S11" s="145" t="s">
        <v>205</v>
      </c>
      <c r="T11" s="136" t="str">
        <f>+$T$10</f>
        <v>0753</v>
      </c>
      <c r="U11" s="136" t="str">
        <f t="shared" si="1"/>
        <v>4010000753</v>
      </c>
      <c r="V11" s="147">
        <f t="shared" si="2"/>
        <v>0</v>
      </c>
      <c r="W11" s="147">
        <f t="shared" si="2"/>
        <v>0</v>
      </c>
      <c r="X11" s="147">
        <f t="shared" si="2"/>
        <v>0</v>
      </c>
      <c r="Y11" s="147">
        <f t="shared" si="2"/>
        <v>0</v>
      </c>
      <c r="Z11" s="147">
        <f t="shared" si="2"/>
        <v>0</v>
      </c>
      <c r="AA11" s="147">
        <f t="shared" si="2"/>
        <v>0</v>
      </c>
      <c r="AB11" s="147">
        <f t="shared" si="2"/>
        <v>0</v>
      </c>
      <c r="AC11" s="147">
        <f t="shared" si="2"/>
        <v>0</v>
      </c>
      <c r="AD11" s="147">
        <f t="shared" si="2"/>
        <v>0</v>
      </c>
      <c r="AE11" s="147">
        <f t="shared" si="2"/>
        <v>0</v>
      </c>
      <c r="AF11" s="147">
        <f t="shared" si="2"/>
        <v>0</v>
      </c>
      <c r="AG11" s="147">
        <f t="shared" si="2"/>
        <v>0</v>
      </c>
      <c r="AH11" s="148">
        <f t="shared" si="3"/>
        <v>0</v>
      </c>
      <c r="AL11" s="130"/>
    </row>
    <row r="12" spans="1:38" s="136" customFormat="1" x14ac:dyDescent="0.2">
      <c r="A12" s="136" t="s">
        <v>206</v>
      </c>
      <c r="B12" s="149">
        <v>0</v>
      </c>
      <c r="C12" s="138"/>
      <c r="D12" s="147">
        <f t="shared" ref="D12:O12" si="4">($B12/$P$8)*D$8</f>
        <v>0</v>
      </c>
      <c r="E12" s="147">
        <f t="shared" si="4"/>
        <v>0</v>
      </c>
      <c r="F12" s="147">
        <f t="shared" si="4"/>
        <v>0</v>
      </c>
      <c r="G12" s="147">
        <f t="shared" si="4"/>
        <v>0</v>
      </c>
      <c r="H12" s="147">
        <f t="shared" si="4"/>
        <v>0</v>
      </c>
      <c r="I12" s="147">
        <f t="shared" si="4"/>
        <v>0</v>
      </c>
      <c r="J12" s="147">
        <f t="shared" si="4"/>
        <v>0</v>
      </c>
      <c r="K12" s="147">
        <f t="shared" si="4"/>
        <v>0</v>
      </c>
      <c r="L12" s="147">
        <f t="shared" si="4"/>
        <v>0</v>
      </c>
      <c r="M12" s="147">
        <f t="shared" si="4"/>
        <v>0</v>
      </c>
      <c r="N12" s="147">
        <f t="shared" si="4"/>
        <v>0</v>
      </c>
      <c r="O12" s="147">
        <f t="shared" si="4"/>
        <v>0</v>
      </c>
      <c r="P12" s="147">
        <f t="shared" ref="P12:P21" si="5">SUM(D12:O12)</f>
        <v>0</v>
      </c>
      <c r="Q12" s="150"/>
      <c r="S12" s="145" t="s">
        <v>207</v>
      </c>
      <c r="T12" s="136" t="str">
        <f>+$T$10</f>
        <v>0753</v>
      </c>
      <c r="U12" s="136" t="str">
        <f t="shared" si="1"/>
        <v>4100000753</v>
      </c>
      <c r="V12" s="147">
        <f t="shared" ref="V12:AG19" si="6">+D14</f>
        <v>0</v>
      </c>
      <c r="W12" s="147">
        <f t="shared" si="6"/>
        <v>0</v>
      </c>
      <c r="X12" s="147">
        <f t="shared" si="6"/>
        <v>0</v>
      </c>
      <c r="Y12" s="147">
        <f t="shared" si="6"/>
        <v>0</v>
      </c>
      <c r="Z12" s="147">
        <f t="shared" si="6"/>
        <v>0</v>
      </c>
      <c r="AA12" s="147">
        <f t="shared" si="6"/>
        <v>0</v>
      </c>
      <c r="AB12" s="147">
        <f t="shared" si="6"/>
        <v>0</v>
      </c>
      <c r="AC12" s="147">
        <f t="shared" si="6"/>
        <v>0</v>
      </c>
      <c r="AD12" s="147">
        <f t="shared" si="6"/>
        <v>0</v>
      </c>
      <c r="AE12" s="147">
        <f t="shared" si="6"/>
        <v>0</v>
      </c>
      <c r="AF12" s="147">
        <f t="shared" si="6"/>
        <v>0</v>
      </c>
      <c r="AG12" s="147">
        <f t="shared" si="6"/>
        <v>0</v>
      </c>
      <c r="AH12" s="148">
        <f t="shared" si="3"/>
        <v>0</v>
      </c>
    </row>
    <row r="13" spans="1:38" s="136" customFormat="1" x14ac:dyDescent="0.2">
      <c r="A13" s="136" t="s">
        <v>208</v>
      </c>
      <c r="B13" s="149">
        <v>0</v>
      </c>
      <c r="C13" s="138"/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f t="shared" si="5"/>
        <v>0</v>
      </c>
      <c r="Q13" s="150"/>
      <c r="S13" s="145"/>
      <c r="U13" s="136" t="str">
        <f t="shared" si="1"/>
        <v/>
      </c>
      <c r="V13" s="147">
        <f t="shared" si="6"/>
        <v>0</v>
      </c>
      <c r="W13" s="147">
        <f t="shared" si="6"/>
        <v>0</v>
      </c>
      <c r="X13" s="147">
        <f t="shared" si="6"/>
        <v>0</v>
      </c>
      <c r="Y13" s="147">
        <f t="shared" si="6"/>
        <v>0</v>
      </c>
      <c r="Z13" s="147">
        <f t="shared" si="6"/>
        <v>0</v>
      </c>
      <c r="AA13" s="147">
        <f t="shared" si="6"/>
        <v>0</v>
      </c>
      <c r="AB13" s="147">
        <f t="shared" si="6"/>
        <v>0</v>
      </c>
      <c r="AC13" s="147">
        <f t="shared" si="6"/>
        <v>0</v>
      </c>
      <c r="AD13" s="147">
        <f t="shared" si="6"/>
        <v>0</v>
      </c>
      <c r="AE13" s="147">
        <f t="shared" si="6"/>
        <v>0</v>
      </c>
      <c r="AF13" s="147">
        <f t="shared" si="6"/>
        <v>0</v>
      </c>
      <c r="AG13" s="147">
        <f t="shared" si="6"/>
        <v>0</v>
      </c>
      <c r="AH13" s="148">
        <f t="shared" si="3"/>
        <v>0</v>
      </c>
    </row>
    <row r="14" spans="1:38" s="136" customFormat="1" x14ac:dyDescent="0.2">
      <c r="A14" s="136" t="s">
        <v>209</v>
      </c>
      <c r="B14" s="149">
        <v>0</v>
      </c>
      <c r="C14" s="138"/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f t="shared" si="5"/>
        <v>0</v>
      </c>
      <c r="Q14" s="150"/>
      <c r="S14" s="145" t="s">
        <v>210</v>
      </c>
      <c r="T14" s="136" t="str">
        <f>+$T$10</f>
        <v>0753</v>
      </c>
      <c r="U14" s="136" t="str">
        <f t="shared" si="1"/>
        <v>7050000753</v>
      </c>
      <c r="V14" s="147">
        <f t="shared" si="6"/>
        <v>0</v>
      </c>
      <c r="W14" s="147">
        <f t="shared" si="6"/>
        <v>0</v>
      </c>
      <c r="X14" s="147">
        <f t="shared" si="6"/>
        <v>0</v>
      </c>
      <c r="Y14" s="147">
        <f t="shared" si="6"/>
        <v>0</v>
      </c>
      <c r="Z14" s="147">
        <f t="shared" si="6"/>
        <v>0</v>
      </c>
      <c r="AA14" s="147">
        <f t="shared" si="6"/>
        <v>0</v>
      </c>
      <c r="AB14" s="147">
        <f t="shared" si="6"/>
        <v>0</v>
      </c>
      <c r="AC14" s="147">
        <f t="shared" si="6"/>
        <v>0</v>
      </c>
      <c r="AD14" s="147">
        <f t="shared" si="6"/>
        <v>0</v>
      </c>
      <c r="AE14" s="147">
        <f t="shared" si="6"/>
        <v>0</v>
      </c>
      <c r="AF14" s="147">
        <f t="shared" si="6"/>
        <v>0</v>
      </c>
      <c r="AG14" s="147">
        <f t="shared" si="6"/>
        <v>0</v>
      </c>
      <c r="AH14" s="148">
        <f t="shared" si="3"/>
        <v>0</v>
      </c>
    </row>
    <row r="15" spans="1:38" s="136" customFormat="1" x14ac:dyDescent="0.2">
      <c r="A15" s="136" t="s">
        <v>211</v>
      </c>
      <c r="B15" s="149">
        <v>0</v>
      </c>
      <c r="C15" s="138"/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f t="shared" si="5"/>
        <v>0</v>
      </c>
      <c r="Q15" s="150"/>
      <c r="S15" s="145" t="s">
        <v>212</v>
      </c>
      <c r="T15" s="136" t="str">
        <f>+$T$10</f>
        <v>0753</v>
      </c>
      <c r="U15" s="136" t="str">
        <f t="shared" si="1"/>
        <v>4070000753</v>
      </c>
      <c r="V15" s="147">
        <f t="shared" si="6"/>
        <v>0</v>
      </c>
      <c r="W15" s="147">
        <f t="shared" si="6"/>
        <v>0</v>
      </c>
      <c r="X15" s="147">
        <f t="shared" si="6"/>
        <v>0</v>
      </c>
      <c r="Y15" s="147">
        <f t="shared" si="6"/>
        <v>0</v>
      </c>
      <c r="Z15" s="147">
        <f t="shared" si="6"/>
        <v>0</v>
      </c>
      <c r="AA15" s="147">
        <f t="shared" si="6"/>
        <v>0</v>
      </c>
      <c r="AB15" s="147">
        <f t="shared" si="6"/>
        <v>0</v>
      </c>
      <c r="AC15" s="147">
        <f t="shared" si="6"/>
        <v>0</v>
      </c>
      <c r="AD15" s="147">
        <f t="shared" si="6"/>
        <v>0</v>
      </c>
      <c r="AE15" s="147">
        <f t="shared" si="6"/>
        <v>0</v>
      </c>
      <c r="AF15" s="147">
        <f t="shared" si="6"/>
        <v>0</v>
      </c>
      <c r="AG15" s="147">
        <f t="shared" si="6"/>
        <v>0</v>
      </c>
      <c r="AH15" s="148">
        <f t="shared" si="3"/>
        <v>0</v>
      </c>
    </row>
    <row r="16" spans="1:38" s="136" customFormat="1" x14ac:dyDescent="0.2">
      <c r="A16" s="136" t="s">
        <v>213</v>
      </c>
      <c r="B16" s="149">
        <v>0</v>
      </c>
      <c r="C16" s="138"/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f t="shared" si="5"/>
        <v>0</v>
      </c>
      <c r="Q16" s="150"/>
      <c r="S16" s="145"/>
      <c r="U16" s="136" t="str">
        <f t="shared" si="1"/>
        <v/>
      </c>
      <c r="V16" s="147">
        <f t="shared" si="6"/>
        <v>0</v>
      </c>
      <c r="W16" s="147">
        <f t="shared" si="6"/>
        <v>0</v>
      </c>
      <c r="X16" s="147">
        <f t="shared" si="6"/>
        <v>0</v>
      </c>
      <c r="Y16" s="147">
        <f t="shared" si="6"/>
        <v>0</v>
      </c>
      <c r="Z16" s="147">
        <f t="shared" si="6"/>
        <v>0</v>
      </c>
      <c r="AA16" s="147">
        <f t="shared" si="6"/>
        <v>0</v>
      </c>
      <c r="AB16" s="147">
        <f t="shared" si="6"/>
        <v>0</v>
      </c>
      <c r="AC16" s="147">
        <f t="shared" si="6"/>
        <v>0</v>
      </c>
      <c r="AD16" s="147">
        <f t="shared" si="6"/>
        <v>0</v>
      </c>
      <c r="AE16" s="147">
        <f t="shared" si="6"/>
        <v>0</v>
      </c>
      <c r="AF16" s="147">
        <f t="shared" si="6"/>
        <v>0</v>
      </c>
      <c r="AG16" s="147">
        <f t="shared" si="6"/>
        <v>0</v>
      </c>
      <c r="AH16" s="148">
        <f t="shared" si="3"/>
        <v>0</v>
      </c>
    </row>
    <row r="17" spans="1:34" s="136" customFormat="1" x14ac:dyDescent="0.2">
      <c r="A17" s="136" t="s">
        <v>214</v>
      </c>
      <c r="B17" s="149">
        <v>0</v>
      </c>
      <c r="C17" s="138"/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f t="shared" si="5"/>
        <v>0</v>
      </c>
      <c r="Q17" s="150"/>
      <c r="S17" s="145"/>
      <c r="U17" s="136" t="str">
        <f t="shared" si="1"/>
        <v/>
      </c>
      <c r="V17" s="147">
        <f t="shared" si="6"/>
        <v>0</v>
      </c>
      <c r="W17" s="147">
        <f t="shared" si="6"/>
        <v>0</v>
      </c>
      <c r="X17" s="147">
        <f t="shared" si="6"/>
        <v>0</v>
      </c>
      <c r="Y17" s="147">
        <f t="shared" si="6"/>
        <v>0</v>
      </c>
      <c r="Z17" s="147">
        <f t="shared" si="6"/>
        <v>0</v>
      </c>
      <c r="AA17" s="147">
        <f t="shared" si="6"/>
        <v>0</v>
      </c>
      <c r="AB17" s="147">
        <f t="shared" si="6"/>
        <v>0</v>
      </c>
      <c r="AC17" s="147">
        <f t="shared" si="6"/>
        <v>0</v>
      </c>
      <c r="AD17" s="147">
        <f t="shared" si="6"/>
        <v>0</v>
      </c>
      <c r="AE17" s="147">
        <f t="shared" si="6"/>
        <v>0</v>
      </c>
      <c r="AF17" s="147">
        <f t="shared" si="6"/>
        <v>0</v>
      </c>
      <c r="AG17" s="147">
        <f t="shared" si="6"/>
        <v>0</v>
      </c>
      <c r="AH17" s="148">
        <f t="shared" si="3"/>
        <v>0</v>
      </c>
    </row>
    <row r="18" spans="1:34" s="136" customFormat="1" x14ac:dyDescent="0.2">
      <c r="A18" s="136" t="s">
        <v>215</v>
      </c>
      <c r="B18" s="149">
        <v>0</v>
      </c>
      <c r="C18" s="138"/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f t="shared" si="5"/>
        <v>0</v>
      </c>
      <c r="Q18" s="150"/>
      <c r="S18" s="145" t="s">
        <v>216</v>
      </c>
      <c r="T18" s="136" t="str">
        <f>+$T$10</f>
        <v>0753</v>
      </c>
      <c r="U18" s="136" t="str">
        <f t="shared" si="1"/>
        <v>4060000753</v>
      </c>
      <c r="V18" s="147">
        <f t="shared" si="6"/>
        <v>0</v>
      </c>
      <c r="W18" s="147">
        <f t="shared" si="6"/>
        <v>0</v>
      </c>
      <c r="X18" s="147">
        <f t="shared" si="6"/>
        <v>0</v>
      </c>
      <c r="Y18" s="147">
        <f t="shared" si="6"/>
        <v>0</v>
      </c>
      <c r="Z18" s="147">
        <f t="shared" si="6"/>
        <v>0</v>
      </c>
      <c r="AA18" s="147">
        <f t="shared" si="6"/>
        <v>0</v>
      </c>
      <c r="AB18" s="147">
        <f t="shared" si="6"/>
        <v>0</v>
      </c>
      <c r="AC18" s="147">
        <f t="shared" si="6"/>
        <v>0</v>
      </c>
      <c r="AD18" s="147">
        <f t="shared" si="6"/>
        <v>0</v>
      </c>
      <c r="AE18" s="147">
        <f t="shared" si="6"/>
        <v>0</v>
      </c>
      <c r="AF18" s="147">
        <f t="shared" si="6"/>
        <v>0</v>
      </c>
      <c r="AG18" s="147">
        <f t="shared" si="6"/>
        <v>0</v>
      </c>
      <c r="AH18" s="148">
        <f t="shared" si="3"/>
        <v>0</v>
      </c>
    </row>
    <row r="19" spans="1:34" s="136" customFormat="1" x14ac:dyDescent="0.2">
      <c r="A19" s="136" t="s">
        <v>217</v>
      </c>
      <c r="B19" s="149">
        <v>0</v>
      </c>
      <c r="C19" s="138"/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f t="shared" si="5"/>
        <v>0</v>
      </c>
      <c r="Q19" s="150"/>
      <c r="S19" s="145"/>
      <c r="V19" s="147">
        <f t="shared" si="6"/>
        <v>0</v>
      </c>
      <c r="W19" s="147">
        <f t="shared" si="6"/>
        <v>0</v>
      </c>
      <c r="X19" s="147">
        <f t="shared" si="6"/>
        <v>0</v>
      </c>
      <c r="Y19" s="147">
        <f t="shared" si="6"/>
        <v>0</v>
      </c>
      <c r="Z19" s="147">
        <f t="shared" si="6"/>
        <v>0</v>
      </c>
      <c r="AA19" s="147">
        <f t="shared" si="6"/>
        <v>0</v>
      </c>
      <c r="AB19" s="147">
        <f t="shared" si="6"/>
        <v>0</v>
      </c>
      <c r="AC19" s="147">
        <f t="shared" si="6"/>
        <v>0</v>
      </c>
      <c r="AD19" s="147">
        <f t="shared" si="6"/>
        <v>0</v>
      </c>
      <c r="AE19" s="147">
        <f t="shared" si="6"/>
        <v>0</v>
      </c>
      <c r="AF19" s="147">
        <f t="shared" si="6"/>
        <v>0</v>
      </c>
      <c r="AG19" s="147">
        <f t="shared" si="6"/>
        <v>0</v>
      </c>
      <c r="AH19" s="148">
        <f t="shared" si="3"/>
        <v>0</v>
      </c>
    </row>
    <row r="20" spans="1:34" s="136" customFormat="1" x14ac:dyDescent="0.2">
      <c r="A20" s="136" t="s">
        <v>29</v>
      </c>
      <c r="B20" s="149">
        <v>0</v>
      </c>
      <c r="C20" s="138"/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f t="shared" si="5"/>
        <v>0</v>
      </c>
      <c r="Q20" s="150"/>
      <c r="S20" s="145" t="s">
        <v>218</v>
      </c>
      <c r="T20" s="136" t="str">
        <f t="shared" ref="T20:T83" si="7">+$T$10</f>
        <v>0753</v>
      </c>
      <c r="U20" s="136" t="str">
        <f t="shared" ref="U20:U83" si="8">CONCATENATE(S20,T20)</f>
        <v>6010000753</v>
      </c>
      <c r="V20" s="147">
        <f t="shared" ref="V20:V42" si="9">D28</f>
        <v>0</v>
      </c>
      <c r="W20" s="147">
        <f t="shared" ref="W20:W42" si="10">E28</f>
        <v>0</v>
      </c>
      <c r="X20" s="147">
        <f t="shared" ref="X20:X42" si="11">F28</f>
        <v>0</v>
      </c>
      <c r="Y20" s="147">
        <f t="shared" ref="Y20:Y42" si="12">G28</f>
        <v>0</v>
      </c>
      <c r="Z20" s="147">
        <f t="shared" ref="Z20:Z42" si="13">H28</f>
        <v>0</v>
      </c>
      <c r="AA20" s="147">
        <f t="shared" ref="AA20:AA42" si="14">I28</f>
        <v>0</v>
      </c>
      <c r="AB20" s="147">
        <f t="shared" ref="AB20:AB42" si="15">J28</f>
        <v>0</v>
      </c>
      <c r="AC20" s="147">
        <f t="shared" ref="AC20:AC42" si="16">K28</f>
        <v>0</v>
      </c>
      <c r="AD20" s="147">
        <f t="shared" ref="AD20:AD42" si="17">L28</f>
        <v>0</v>
      </c>
      <c r="AE20" s="147">
        <f t="shared" ref="AE20:AE42" si="18">M28</f>
        <v>0</v>
      </c>
      <c r="AF20" s="147">
        <f t="shared" ref="AF20:AF42" si="19">N28</f>
        <v>0</v>
      </c>
      <c r="AG20" s="147">
        <f t="shared" ref="AG20:AG42" si="20">O28</f>
        <v>0</v>
      </c>
      <c r="AH20" s="148">
        <f t="shared" si="3"/>
        <v>0</v>
      </c>
    </row>
    <row r="21" spans="1:34" s="136" customFormat="1" x14ac:dyDescent="0.2">
      <c r="A21" s="136" t="s">
        <v>219</v>
      </c>
      <c r="B21" s="149">
        <v>0</v>
      </c>
      <c r="C21" s="138"/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f t="shared" si="5"/>
        <v>0</v>
      </c>
      <c r="Q21" s="150"/>
      <c r="S21" s="145" t="s">
        <v>220</v>
      </c>
      <c r="T21" s="136" t="str">
        <f t="shared" si="7"/>
        <v>0753</v>
      </c>
      <c r="U21" s="136" t="str">
        <f t="shared" si="8"/>
        <v>6150000753</v>
      </c>
      <c r="V21" s="147">
        <f t="shared" si="9"/>
        <v>0</v>
      </c>
      <c r="W21" s="147">
        <f t="shared" si="10"/>
        <v>0</v>
      </c>
      <c r="X21" s="147">
        <f t="shared" si="11"/>
        <v>0</v>
      </c>
      <c r="Y21" s="147">
        <f t="shared" si="12"/>
        <v>0</v>
      </c>
      <c r="Z21" s="147">
        <f t="shared" si="13"/>
        <v>0</v>
      </c>
      <c r="AA21" s="147">
        <f t="shared" si="14"/>
        <v>0</v>
      </c>
      <c r="AB21" s="147">
        <f t="shared" si="15"/>
        <v>0</v>
      </c>
      <c r="AC21" s="147">
        <f t="shared" si="16"/>
        <v>0</v>
      </c>
      <c r="AD21" s="147">
        <f t="shared" si="17"/>
        <v>0</v>
      </c>
      <c r="AE21" s="147">
        <f t="shared" si="18"/>
        <v>0</v>
      </c>
      <c r="AF21" s="147">
        <f t="shared" si="19"/>
        <v>0</v>
      </c>
      <c r="AG21" s="147">
        <f t="shared" si="20"/>
        <v>0</v>
      </c>
      <c r="AH21" s="148">
        <f t="shared" si="3"/>
        <v>0</v>
      </c>
    </row>
    <row r="22" spans="1:34" s="136" customFormat="1" x14ac:dyDescent="0.2">
      <c r="B22" s="151"/>
      <c r="C22" s="138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0"/>
      <c r="S22" s="145" t="s">
        <v>221</v>
      </c>
      <c r="T22" s="136" t="str">
        <f t="shared" si="7"/>
        <v>0753</v>
      </c>
      <c r="U22" s="136" t="str">
        <f t="shared" si="8"/>
        <v>6090000753</v>
      </c>
      <c r="V22" s="147" t="e">
        <f t="shared" si="9"/>
        <v>#REF!</v>
      </c>
      <c r="W22" s="147" t="e">
        <f t="shared" si="10"/>
        <v>#REF!</v>
      </c>
      <c r="X22" s="147" t="e">
        <f t="shared" si="11"/>
        <v>#REF!</v>
      </c>
      <c r="Y22" s="147" t="e">
        <f t="shared" si="12"/>
        <v>#REF!</v>
      </c>
      <c r="Z22" s="147" t="e">
        <f t="shared" si="13"/>
        <v>#REF!</v>
      </c>
      <c r="AA22" s="147" t="e">
        <f t="shared" si="14"/>
        <v>#REF!</v>
      </c>
      <c r="AB22" s="147" t="e">
        <f t="shared" si="15"/>
        <v>#REF!</v>
      </c>
      <c r="AC22" s="147" t="e">
        <f t="shared" si="16"/>
        <v>#REF!</v>
      </c>
      <c r="AD22" s="147" t="e">
        <f t="shared" si="17"/>
        <v>#REF!</v>
      </c>
      <c r="AE22" s="147" t="e">
        <f t="shared" si="18"/>
        <v>#REF!</v>
      </c>
      <c r="AF22" s="147" t="e">
        <f t="shared" si="19"/>
        <v>#REF!</v>
      </c>
      <c r="AG22" s="147" t="e">
        <f t="shared" si="20"/>
        <v>#REF!</v>
      </c>
      <c r="AH22" s="148" t="e">
        <f t="shared" si="3"/>
        <v>#REF!</v>
      </c>
    </row>
    <row r="23" spans="1:34" s="136" customFormat="1" x14ac:dyDescent="0.2">
      <c r="A23" s="136" t="s">
        <v>222</v>
      </c>
      <c r="B23" s="153">
        <f>SUM(B12:B22)</f>
        <v>0</v>
      </c>
      <c r="C23" s="138"/>
      <c r="D23" s="154">
        <f t="shared" ref="D23:P23" si="21">SUM(D12:D22)</f>
        <v>0</v>
      </c>
      <c r="E23" s="154">
        <f t="shared" si="21"/>
        <v>0</v>
      </c>
      <c r="F23" s="154">
        <f t="shared" si="21"/>
        <v>0</v>
      </c>
      <c r="G23" s="154">
        <f t="shared" si="21"/>
        <v>0</v>
      </c>
      <c r="H23" s="154">
        <f t="shared" si="21"/>
        <v>0</v>
      </c>
      <c r="I23" s="154">
        <f t="shared" si="21"/>
        <v>0</v>
      </c>
      <c r="J23" s="154">
        <f t="shared" si="21"/>
        <v>0</v>
      </c>
      <c r="K23" s="154">
        <f t="shared" si="21"/>
        <v>0</v>
      </c>
      <c r="L23" s="154">
        <f t="shared" si="21"/>
        <v>0</v>
      </c>
      <c r="M23" s="154">
        <f t="shared" si="21"/>
        <v>0</v>
      </c>
      <c r="N23" s="154">
        <f t="shared" si="21"/>
        <v>0</v>
      </c>
      <c r="O23" s="154">
        <f t="shared" si="21"/>
        <v>0</v>
      </c>
      <c r="P23" s="154">
        <f t="shared" si="21"/>
        <v>0</v>
      </c>
      <c r="Q23" s="150"/>
      <c r="S23" s="145" t="s">
        <v>223</v>
      </c>
      <c r="T23" s="136" t="str">
        <f t="shared" si="7"/>
        <v>0753</v>
      </c>
      <c r="U23" s="136" t="str">
        <f t="shared" si="8"/>
        <v>6050000753</v>
      </c>
      <c r="V23" s="147" t="e">
        <f t="shared" si="9"/>
        <v>#REF!</v>
      </c>
      <c r="W23" s="147" t="e">
        <f t="shared" si="10"/>
        <v>#REF!</v>
      </c>
      <c r="X23" s="147" t="e">
        <f t="shared" si="11"/>
        <v>#REF!</v>
      </c>
      <c r="Y23" s="147" t="e">
        <f t="shared" si="12"/>
        <v>#REF!</v>
      </c>
      <c r="Z23" s="147" t="e">
        <f t="shared" si="13"/>
        <v>#REF!</v>
      </c>
      <c r="AA23" s="147" t="e">
        <f t="shared" si="14"/>
        <v>#REF!</v>
      </c>
      <c r="AB23" s="147" t="e">
        <f t="shared" si="15"/>
        <v>#REF!</v>
      </c>
      <c r="AC23" s="147" t="e">
        <f t="shared" si="16"/>
        <v>#REF!</v>
      </c>
      <c r="AD23" s="147" t="e">
        <f t="shared" si="17"/>
        <v>#REF!</v>
      </c>
      <c r="AE23" s="147" t="e">
        <f t="shared" si="18"/>
        <v>#REF!</v>
      </c>
      <c r="AF23" s="147" t="e">
        <f t="shared" si="19"/>
        <v>#REF!</v>
      </c>
      <c r="AG23" s="147" t="e">
        <f t="shared" si="20"/>
        <v>#REF!</v>
      </c>
      <c r="AH23" s="148" t="e">
        <f t="shared" si="3"/>
        <v>#REF!</v>
      </c>
    </row>
    <row r="24" spans="1:34" s="136" customFormat="1" x14ac:dyDescent="0.2">
      <c r="B24" s="149"/>
      <c r="C24" s="138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S24" s="145" t="s">
        <v>224</v>
      </c>
      <c r="T24" s="136" t="str">
        <f t="shared" si="7"/>
        <v>0753</v>
      </c>
      <c r="U24" s="136" t="str">
        <f t="shared" si="8"/>
        <v>6060000753</v>
      </c>
      <c r="V24" s="147" t="e">
        <f t="shared" si="9"/>
        <v>#REF!</v>
      </c>
      <c r="W24" s="147" t="e">
        <f t="shared" si="10"/>
        <v>#REF!</v>
      </c>
      <c r="X24" s="147" t="e">
        <f t="shared" si="11"/>
        <v>#REF!</v>
      </c>
      <c r="Y24" s="147" t="e">
        <f t="shared" si="12"/>
        <v>#REF!</v>
      </c>
      <c r="Z24" s="147" t="e">
        <f t="shared" si="13"/>
        <v>#REF!</v>
      </c>
      <c r="AA24" s="147" t="e">
        <f t="shared" si="14"/>
        <v>#REF!</v>
      </c>
      <c r="AB24" s="147" t="e">
        <f t="shared" si="15"/>
        <v>#REF!</v>
      </c>
      <c r="AC24" s="147" t="e">
        <f t="shared" si="16"/>
        <v>#REF!</v>
      </c>
      <c r="AD24" s="147" t="e">
        <f t="shared" si="17"/>
        <v>#REF!</v>
      </c>
      <c r="AE24" s="147" t="e">
        <f t="shared" si="18"/>
        <v>#REF!</v>
      </c>
      <c r="AF24" s="147" t="e">
        <f t="shared" si="19"/>
        <v>#REF!</v>
      </c>
      <c r="AG24" s="147" t="e">
        <f t="shared" si="20"/>
        <v>#REF!</v>
      </c>
      <c r="AH24" s="148" t="e">
        <f t="shared" si="3"/>
        <v>#REF!</v>
      </c>
    </row>
    <row r="25" spans="1:34" s="136" customFormat="1" x14ac:dyDescent="0.2">
      <c r="B25" s="149"/>
      <c r="C25" s="138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50"/>
      <c r="S25" s="145" t="s">
        <v>225</v>
      </c>
      <c r="T25" s="136" t="str">
        <f t="shared" si="7"/>
        <v>0753</v>
      </c>
      <c r="U25" s="136" t="str">
        <f t="shared" si="8"/>
        <v>6100000753</v>
      </c>
      <c r="V25" s="147" t="e">
        <f t="shared" si="9"/>
        <v>#REF!</v>
      </c>
      <c r="W25" s="147" t="e">
        <f t="shared" si="10"/>
        <v>#REF!</v>
      </c>
      <c r="X25" s="147" t="e">
        <f t="shared" si="11"/>
        <v>#REF!</v>
      </c>
      <c r="Y25" s="147" t="e">
        <f t="shared" si="12"/>
        <v>#REF!</v>
      </c>
      <c r="Z25" s="147" t="e">
        <f t="shared" si="13"/>
        <v>#REF!</v>
      </c>
      <c r="AA25" s="147" t="e">
        <f t="shared" si="14"/>
        <v>#REF!</v>
      </c>
      <c r="AB25" s="147" t="e">
        <f t="shared" si="15"/>
        <v>#REF!</v>
      </c>
      <c r="AC25" s="147" t="e">
        <f t="shared" si="16"/>
        <v>#REF!</v>
      </c>
      <c r="AD25" s="147" t="e">
        <f t="shared" si="17"/>
        <v>#REF!</v>
      </c>
      <c r="AE25" s="147" t="e">
        <f t="shared" si="18"/>
        <v>#REF!</v>
      </c>
      <c r="AF25" s="147" t="e">
        <f t="shared" si="19"/>
        <v>#REF!</v>
      </c>
      <c r="AG25" s="147" t="e">
        <f t="shared" si="20"/>
        <v>#REF!</v>
      </c>
      <c r="AH25" s="148" t="e">
        <f t="shared" si="3"/>
        <v>#REF!</v>
      </c>
    </row>
    <row r="26" spans="1:34" s="136" customFormat="1" x14ac:dyDescent="0.2">
      <c r="A26" s="155" t="s">
        <v>226</v>
      </c>
      <c r="B26" s="149"/>
      <c r="C26" s="138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50"/>
      <c r="S26" s="145" t="s">
        <v>227</v>
      </c>
      <c r="T26" s="136" t="str">
        <f t="shared" si="7"/>
        <v>0753</v>
      </c>
      <c r="U26" s="136" t="str">
        <f t="shared" si="8"/>
        <v>6110000753</v>
      </c>
      <c r="V26" s="147" t="e">
        <f t="shared" si="9"/>
        <v>#REF!</v>
      </c>
      <c r="W26" s="147" t="e">
        <f t="shared" si="10"/>
        <v>#REF!</v>
      </c>
      <c r="X26" s="147" t="e">
        <f t="shared" si="11"/>
        <v>#REF!</v>
      </c>
      <c r="Y26" s="147" t="e">
        <f t="shared" si="12"/>
        <v>#REF!</v>
      </c>
      <c r="Z26" s="147" t="e">
        <f t="shared" si="13"/>
        <v>#REF!</v>
      </c>
      <c r="AA26" s="147" t="e">
        <f t="shared" si="14"/>
        <v>#REF!</v>
      </c>
      <c r="AB26" s="147" t="e">
        <f t="shared" si="15"/>
        <v>#REF!</v>
      </c>
      <c r="AC26" s="147" t="e">
        <f t="shared" si="16"/>
        <v>#REF!</v>
      </c>
      <c r="AD26" s="147" t="e">
        <f t="shared" si="17"/>
        <v>#REF!</v>
      </c>
      <c r="AE26" s="147" t="e">
        <f t="shared" si="18"/>
        <v>#REF!</v>
      </c>
      <c r="AF26" s="147" t="e">
        <f t="shared" si="19"/>
        <v>#REF!</v>
      </c>
      <c r="AG26" s="147" t="e">
        <f t="shared" si="20"/>
        <v>#REF!</v>
      </c>
      <c r="AH26" s="148" t="e">
        <f t="shared" si="3"/>
        <v>#REF!</v>
      </c>
    </row>
    <row r="27" spans="1:34" s="136" customFormat="1" x14ac:dyDescent="0.2">
      <c r="A27" s="155" t="s">
        <v>228</v>
      </c>
      <c r="B27" s="149"/>
      <c r="C27" s="138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50"/>
      <c r="S27" s="145" t="s">
        <v>229</v>
      </c>
      <c r="T27" s="136" t="str">
        <f t="shared" si="7"/>
        <v>0753</v>
      </c>
      <c r="U27" s="136" t="str">
        <f t="shared" si="8"/>
        <v>6120000753</v>
      </c>
      <c r="V27" s="147" t="e">
        <f t="shared" si="9"/>
        <v>#REF!</v>
      </c>
      <c r="W27" s="147" t="e">
        <f t="shared" si="10"/>
        <v>#REF!</v>
      </c>
      <c r="X27" s="147" t="e">
        <f t="shared" si="11"/>
        <v>#REF!</v>
      </c>
      <c r="Y27" s="147" t="e">
        <f t="shared" si="12"/>
        <v>#REF!</v>
      </c>
      <c r="Z27" s="147" t="e">
        <f t="shared" si="13"/>
        <v>#REF!</v>
      </c>
      <c r="AA27" s="147" t="e">
        <f t="shared" si="14"/>
        <v>#REF!</v>
      </c>
      <c r="AB27" s="147" t="e">
        <f t="shared" si="15"/>
        <v>#REF!</v>
      </c>
      <c r="AC27" s="147" t="e">
        <f t="shared" si="16"/>
        <v>#REF!</v>
      </c>
      <c r="AD27" s="147" t="e">
        <f t="shared" si="17"/>
        <v>#REF!</v>
      </c>
      <c r="AE27" s="147" t="e">
        <f t="shared" si="18"/>
        <v>#REF!</v>
      </c>
      <c r="AF27" s="147" t="e">
        <f t="shared" si="19"/>
        <v>#REF!</v>
      </c>
      <c r="AG27" s="147" t="e">
        <f t="shared" si="20"/>
        <v>#REF!</v>
      </c>
      <c r="AH27" s="148" t="e">
        <f t="shared" si="3"/>
        <v>#REF!</v>
      </c>
    </row>
    <row r="28" spans="1:34" s="136" customFormat="1" x14ac:dyDescent="0.2">
      <c r="A28" s="155" t="s">
        <v>230</v>
      </c>
      <c r="B28" s="149"/>
      <c r="C28" s="138"/>
      <c r="D28" s="147">
        <f t="shared" ref="D28:O43" si="22">($B28/$P$8)*D$8</f>
        <v>0</v>
      </c>
      <c r="E28" s="147">
        <f t="shared" si="22"/>
        <v>0</v>
      </c>
      <c r="F28" s="147">
        <f t="shared" si="22"/>
        <v>0</v>
      </c>
      <c r="G28" s="147">
        <f t="shared" si="22"/>
        <v>0</v>
      </c>
      <c r="H28" s="147">
        <f t="shared" si="22"/>
        <v>0</v>
      </c>
      <c r="I28" s="147">
        <f t="shared" si="22"/>
        <v>0</v>
      </c>
      <c r="J28" s="147">
        <f t="shared" si="22"/>
        <v>0</v>
      </c>
      <c r="K28" s="147">
        <f t="shared" si="22"/>
        <v>0</v>
      </c>
      <c r="L28" s="147">
        <f t="shared" si="22"/>
        <v>0</v>
      </c>
      <c r="M28" s="147">
        <f t="shared" si="22"/>
        <v>0</v>
      </c>
      <c r="N28" s="147">
        <f t="shared" si="22"/>
        <v>0</v>
      </c>
      <c r="O28" s="147">
        <f t="shared" si="22"/>
        <v>0</v>
      </c>
      <c r="P28" s="147">
        <f t="shared" ref="P28:P50" si="23">SUM(D28:O28)</f>
        <v>0</v>
      </c>
      <c r="Q28" s="150"/>
      <c r="S28" s="145" t="s">
        <v>231</v>
      </c>
      <c r="T28" s="136" t="str">
        <f t="shared" si="7"/>
        <v>0753</v>
      </c>
      <c r="U28" s="136" t="str">
        <f t="shared" si="8"/>
        <v>6130000753</v>
      </c>
      <c r="V28" s="147" t="e">
        <f t="shared" si="9"/>
        <v>#REF!</v>
      </c>
      <c r="W28" s="147" t="e">
        <f t="shared" si="10"/>
        <v>#REF!</v>
      </c>
      <c r="X28" s="147" t="e">
        <f t="shared" si="11"/>
        <v>#REF!</v>
      </c>
      <c r="Y28" s="147" t="e">
        <f t="shared" si="12"/>
        <v>#REF!</v>
      </c>
      <c r="Z28" s="147" t="e">
        <f t="shared" si="13"/>
        <v>#REF!</v>
      </c>
      <c r="AA28" s="147" t="e">
        <f t="shared" si="14"/>
        <v>#REF!</v>
      </c>
      <c r="AB28" s="147" t="e">
        <f t="shared" si="15"/>
        <v>#REF!</v>
      </c>
      <c r="AC28" s="147" t="e">
        <f t="shared" si="16"/>
        <v>#REF!</v>
      </c>
      <c r="AD28" s="147" t="e">
        <f t="shared" si="17"/>
        <v>#REF!</v>
      </c>
      <c r="AE28" s="147" t="e">
        <f t="shared" si="18"/>
        <v>#REF!</v>
      </c>
      <c r="AF28" s="147" t="e">
        <f t="shared" si="19"/>
        <v>#REF!</v>
      </c>
      <c r="AG28" s="147" t="e">
        <f t="shared" si="20"/>
        <v>#REF!</v>
      </c>
      <c r="AH28" s="148" t="e">
        <f t="shared" si="3"/>
        <v>#REF!</v>
      </c>
    </row>
    <row r="29" spans="1:34" s="136" customFormat="1" x14ac:dyDescent="0.2">
      <c r="A29" s="155" t="s">
        <v>232</v>
      </c>
      <c r="B29" s="149"/>
      <c r="C29" s="138"/>
      <c r="D29" s="147">
        <f t="shared" si="22"/>
        <v>0</v>
      </c>
      <c r="E29" s="147">
        <f t="shared" si="22"/>
        <v>0</v>
      </c>
      <c r="F29" s="147">
        <f t="shared" si="22"/>
        <v>0</v>
      </c>
      <c r="G29" s="147">
        <f t="shared" si="22"/>
        <v>0</v>
      </c>
      <c r="H29" s="147">
        <f t="shared" si="22"/>
        <v>0</v>
      </c>
      <c r="I29" s="147">
        <f t="shared" si="22"/>
        <v>0</v>
      </c>
      <c r="J29" s="147">
        <f t="shared" si="22"/>
        <v>0</v>
      </c>
      <c r="K29" s="147">
        <f t="shared" si="22"/>
        <v>0</v>
      </c>
      <c r="L29" s="147">
        <f t="shared" si="22"/>
        <v>0</v>
      </c>
      <c r="M29" s="147">
        <f t="shared" si="22"/>
        <v>0</v>
      </c>
      <c r="N29" s="147">
        <f t="shared" si="22"/>
        <v>0</v>
      </c>
      <c r="O29" s="147">
        <f t="shared" si="22"/>
        <v>0</v>
      </c>
      <c r="P29" s="147">
        <f t="shared" si="23"/>
        <v>0</v>
      </c>
      <c r="Q29" s="150"/>
      <c r="S29" s="145" t="s">
        <v>233</v>
      </c>
      <c r="T29" s="136" t="str">
        <f t="shared" si="7"/>
        <v>0753</v>
      </c>
      <c r="U29" s="136" t="str">
        <f t="shared" si="8"/>
        <v>6140000753</v>
      </c>
      <c r="V29" s="147" t="e">
        <f t="shared" si="9"/>
        <v>#REF!</v>
      </c>
      <c r="W29" s="147" t="e">
        <f t="shared" si="10"/>
        <v>#REF!</v>
      </c>
      <c r="X29" s="147" t="e">
        <f t="shared" si="11"/>
        <v>#REF!</v>
      </c>
      <c r="Y29" s="147" t="e">
        <f t="shared" si="12"/>
        <v>#REF!</v>
      </c>
      <c r="Z29" s="147" t="e">
        <f t="shared" si="13"/>
        <v>#REF!</v>
      </c>
      <c r="AA29" s="147" t="e">
        <f t="shared" si="14"/>
        <v>#REF!</v>
      </c>
      <c r="AB29" s="147" t="e">
        <f t="shared" si="15"/>
        <v>#REF!</v>
      </c>
      <c r="AC29" s="147" t="e">
        <f t="shared" si="16"/>
        <v>#REF!</v>
      </c>
      <c r="AD29" s="147" t="e">
        <f t="shared" si="17"/>
        <v>#REF!</v>
      </c>
      <c r="AE29" s="147" t="e">
        <f t="shared" si="18"/>
        <v>#REF!</v>
      </c>
      <c r="AF29" s="147" t="e">
        <f t="shared" si="19"/>
        <v>#REF!</v>
      </c>
      <c r="AG29" s="147" t="e">
        <f t="shared" si="20"/>
        <v>#REF!</v>
      </c>
      <c r="AH29" s="148" t="e">
        <f t="shared" si="3"/>
        <v>#REF!</v>
      </c>
    </row>
    <row r="30" spans="1:34" s="136" customFormat="1" x14ac:dyDescent="0.2">
      <c r="A30" s="155" t="s">
        <v>234</v>
      </c>
      <c r="B30" s="149" t="e">
        <f>+#REF!</f>
        <v>#REF!</v>
      </c>
      <c r="C30" s="138"/>
      <c r="D30" s="147" t="e">
        <f t="shared" si="22"/>
        <v>#REF!</v>
      </c>
      <c r="E30" s="147" t="e">
        <f t="shared" si="22"/>
        <v>#REF!</v>
      </c>
      <c r="F30" s="147" t="e">
        <f t="shared" si="22"/>
        <v>#REF!</v>
      </c>
      <c r="G30" s="147" t="e">
        <f t="shared" si="22"/>
        <v>#REF!</v>
      </c>
      <c r="H30" s="147" t="e">
        <f t="shared" si="22"/>
        <v>#REF!</v>
      </c>
      <c r="I30" s="147" t="e">
        <f t="shared" si="22"/>
        <v>#REF!</v>
      </c>
      <c r="J30" s="147" t="e">
        <f t="shared" si="22"/>
        <v>#REF!</v>
      </c>
      <c r="K30" s="147" t="e">
        <f t="shared" si="22"/>
        <v>#REF!</v>
      </c>
      <c r="L30" s="147" t="e">
        <f t="shared" si="22"/>
        <v>#REF!</v>
      </c>
      <c r="M30" s="147" t="e">
        <f t="shared" si="22"/>
        <v>#REF!</v>
      </c>
      <c r="N30" s="147" t="e">
        <f t="shared" si="22"/>
        <v>#REF!</v>
      </c>
      <c r="O30" s="147" t="e">
        <f t="shared" si="22"/>
        <v>#REF!</v>
      </c>
      <c r="P30" s="147" t="e">
        <f t="shared" si="23"/>
        <v>#REF!</v>
      </c>
      <c r="Q30" s="150"/>
      <c r="S30" s="145" t="s">
        <v>235</v>
      </c>
      <c r="T30" s="136" t="str">
        <f t="shared" si="7"/>
        <v>0753</v>
      </c>
      <c r="U30" s="136" t="str">
        <f t="shared" si="8"/>
        <v>6260000753</v>
      </c>
      <c r="V30" s="147">
        <f t="shared" si="9"/>
        <v>0</v>
      </c>
      <c r="W30" s="147">
        <f t="shared" si="10"/>
        <v>0</v>
      </c>
      <c r="X30" s="147">
        <f t="shared" si="11"/>
        <v>0</v>
      </c>
      <c r="Y30" s="147">
        <f t="shared" si="12"/>
        <v>0</v>
      </c>
      <c r="Z30" s="147">
        <f t="shared" si="13"/>
        <v>0</v>
      </c>
      <c r="AA30" s="147">
        <f t="shared" si="14"/>
        <v>0</v>
      </c>
      <c r="AB30" s="147">
        <f t="shared" si="15"/>
        <v>0</v>
      </c>
      <c r="AC30" s="147">
        <f t="shared" si="16"/>
        <v>0</v>
      </c>
      <c r="AD30" s="147">
        <f t="shared" si="17"/>
        <v>0</v>
      </c>
      <c r="AE30" s="147">
        <f t="shared" si="18"/>
        <v>0</v>
      </c>
      <c r="AF30" s="147">
        <f t="shared" si="19"/>
        <v>0</v>
      </c>
      <c r="AG30" s="147">
        <f t="shared" si="20"/>
        <v>0</v>
      </c>
      <c r="AH30" s="148">
        <f t="shared" si="3"/>
        <v>0</v>
      </c>
    </row>
    <row r="31" spans="1:34" s="136" customFormat="1" x14ac:dyDescent="0.2">
      <c r="A31" s="155" t="s">
        <v>236</v>
      </c>
      <c r="B31" s="149" t="e">
        <f>+#REF!</f>
        <v>#REF!</v>
      </c>
      <c r="C31" s="138"/>
      <c r="D31" s="147" t="e">
        <f t="shared" si="22"/>
        <v>#REF!</v>
      </c>
      <c r="E31" s="147" t="e">
        <f t="shared" si="22"/>
        <v>#REF!</v>
      </c>
      <c r="F31" s="147" t="e">
        <f t="shared" si="22"/>
        <v>#REF!</v>
      </c>
      <c r="G31" s="147" t="e">
        <f t="shared" si="22"/>
        <v>#REF!</v>
      </c>
      <c r="H31" s="147" t="e">
        <f t="shared" si="22"/>
        <v>#REF!</v>
      </c>
      <c r="I31" s="147" t="e">
        <f t="shared" si="22"/>
        <v>#REF!</v>
      </c>
      <c r="J31" s="147" t="e">
        <f t="shared" si="22"/>
        <v>#REF!</v>
      </c>
      <c r="K31" s="147" t="e">
        <f t="shared" si="22"/>
        <v>#REF!</v>
      </c>
      <c r="L31" s="147" t="e">
        <f t="shared" si="22"/>
        <v>#REF!</v>
      </c>
      <c r="M31" s="147" t="e">
        <f t="shared" si="22"/>
        <v>#REF!</v>
      </c>
      <c r="N31" s="147" t="e">
        <f t="shared" si="22"/>
        <v>#REF!</v>
      </c>
      <c r="O31" s="147" t="e">
        <f t="shared" si="22"/>
        <v>#REF!</v>
      </c>
      <c r="P31" s="147" t="e">
        <f t="shared" si="23"/>
        <v>#REF!</v>
      </c>
      <c r="Q31" s="150"/>
      <c r="S31" s="145" t="s">
        <v>237</v>
      </c>
      <c r="T31" s="136" t="str">
        <f t="shared" si="7"/>
        <v>0753</v>
      </c>
      <c r="U31" s="136" t="str">
        <f t="shared" si="8"/>
        <v>6250000753</v>
      </c>
      <c r="V31" s="147">
        <f t="shared" si="9"/>
        <v>0</v>
      </c>
      <c r="W31" s="147">
        <f t="shared" si="10"/>
        <v>0</v>
      </c>
      <c r="X31" s="147">
        <f t="shared" si="11"/>
        <v>0</v>
      </c>
      <c r="Y31" s="147">
        <f t="shared" si="12"/>
        <v>0</v>
      </c>
      <c r="Z31" s="147">
        <f t="shared" si="13"/>
        <v>0</v>
      </c>
      <c r="AA31" s="147">
        <f t="shared" si="14"/>
        <v>0</v>
      </c>
      <c r="AB31" s="147">
        <f t="shared" si="15"/>
        <v>0</v>
      </c>
      <c r="AC31" s="147">
        <f t="shared" si="16"/>
        <v>0</v>
      </c>
      <c r="AD31" s="147">
        <f t="shared" si="17"/>
        <v>0</v>
      </c>
      <c r="AE31" s="147">
        <f t="shared" si="18"/>
        <v>0</v>
      </c>
      <c r="AF31" s="147">
        <f t="shared" si="19"/>
        <v>0</v>
      </c>
      <c r="AG31" s="147">
        <f t="shared" si="20"/>
        <v>0</v>
      </c>
      <c r="AH31" s="148">
        <f t="shared" si="3"/>
        <v>0</v>
      </c>
    </row>
    <row r="32" spans="1:34" s="136" customFormat="1" x14ac:dyDescent="0.2">
      <c r="A32" s="155" t="s">
        <v>238</v>
      </c>
      <c r="B32" s="149" t="e">
        <f>+#REF!</f>
        <v>#REF!</v>
      </c>
      <c r="C32" s="138"/>
      <c r="D32" s="147" t="e">
        <f t="shared" si="22"/>
        <v>#REF!</v>
      </c>
      <c r="E32" s="147" t="e">
        <f t="shared" si="22"/>
        <v>#REF!</v>
      </c>
      <c r="F32" s="147" t="e">
        <f t="shared" si="22"/>
        <v>#REF!</v>
      </c>
      <c r="G32" s="147" t="e">
        <f t="shared" si="22"/>
        <v>#REF!</v>
      </c>
      <c r="H32" s="147" t="e">
        <f t="shared" si="22"/>
        <v>#REF!</v>
      </c>
      <c r="I32" s="147" t="e">
        <f t="shared" si="22"/>
        <v>#REF!</v>
      </c>
      <c r="J32" s="147" t="e">
        <f t="shared" si="22"/>
        <v>#REF!</v>
      </c>
      <c r="K32" s="147" t="e">
        <f t="shared" si="22"/>
        <v>#REF!</v>
      </c>
      <c r="L32" s="147" t="e">
        <f t="shared" si="22"/>
        <v>#REF!</v>
      </c>
      <c r="M32" s="147" t="e">
        <f t="shared" si="22"/>
        <v>#REF!</v>
      </c>
      <c r="N32" s="147" t="e">
        <f t="shared" si="22"/>
        <v>#REF!</v>
      </c>
      <c r="O32" s="147" t="e">
        <f t="shared" si="22"/>
        <v>#REF!</v>
      </c>
      <c r="P32" s="147" t="e">
        <f t="shared" si="23"/>
        <v>#REF!</v>
      </c>
      <c r="Q32" s="156"/>
      <c r="S32" s="145" t="s">
        <v>239</v>
      </c>
      <c r="T32" s="136" t="str">
        <f t="shared" si="7"/>
        <v>0753</v>
      </c>
      <c r="U32" s="136" t="str">
        <f t="shared" si="8"/>
        <v>6210000753</v>
      </c>
      <c r="V32" s="147">
        <f t="shared" si="9"/>
        <v>0</v>
      </c>
      <c r="W32" s="147">
        <f t="shared" si="10"/>
        <v>0</v>
      </c>
      <c r="X32" s="147">
        <f t="shared" si="11"/>
        <v>0</v>
      </c>
      <c r="Y32" s="147">
        <f t="shared" si="12"/>
        <v>0</v>
      </c>
      <c r="Z32" s="147">
        <f t="shared" si="13"/>
        <v>0</v>
      </c>
      <c r="AA32" s="147">
        <f t="shared" si="14"/>
        <v>0</v>
      </c>
      <c r="AB32" s="147">
        <f t="shared" si="15"/>
        <v>0</v>
      </c>
      <c r="AC32" s="147">
        <f t="shared" si="16"/>
        <v>0</v>
      </c>
      <c r="AD32" s="147">
        <f t="shared" si="17"/>
        <v>0</v>
      </c>
      <c r="AE32" s="147">
        <f t="shared" si="18"/>
        <v>0</v>
      </c>
      <c r="AF32" s="147">
        <f t="shared" si="19"/>
        <v>0</v>
      </c>
      <c r="AG32" s="147">
        <f t="shared" si="20"/>
        <v>0</v>
      </c>
      <c r="AH32" s="148">
        <f t="shared" si="3"/>
        <v>0</v>
      </c>
    </row>
    <row r="33" spans="1:34" s="136" customFormat="1" x14ac:dyDescent="0.2">
      <c r="A33" s="155" t="s">
        <v>240</v>
      </c>
      <c r="B33" s="149" t="e">
        <f>+#REF!+11000</f>
        <v>#REF!</v>
      </c>
      <c r="C33" s="138"/>
      <c r="D33" s="147" t="e">
        <f t="shared" si="22"/>
        <v>#REF!</v>
      </c>
      <c r="E33" s="147" t="e">
        <f t="shared" si="22"/>
        <v>#REF!</v>
      </c>
      <c r="F33" s="147" t="e">
        <f t="shared" si="22"/>
        <v>#REF!</v>
      </c>
      <c r="G33" s="147" t="e">
        <f t="shared" si="22"/>
        <v>#REF!</v>
      </c>
      <c r="H33" s="147" t="e">
        <f t="shared" si="22"/>
        <v>#REF!</v>
      </c>
      <c r="I33" s="147" t="e">
        <f t="shared" si="22"/>
        <v>#REF!</v>
      </c>
      <c r="J33" s="147" t="e">
        <f t="shared" si="22"/>
        <v>#REF!</v>
      </c>
      <c r="K33" s="147" t="e">
        <f t="shared" si="22"/>
        <v>#REF!</v>
      </c>
      <c r="L33" s="147" t="e">
        <f t="shared" si="22"/>
        <v>#REF!</v>
      </c>
      <c r="M33" s="147" t="e">
        <f t="shared" si="22"/>
        <v>#REF!</v>
      </c>
      <c r="N33" s="147" t="e">
        <f t="shared" si="22"/>
        <v>#REF!</v>
      </c>
      <c r="O33" s="147" t="e">
        <f t="shared" si="22"/>
        <v>#REF!</v>
      </c>
      <c r="P33" s="147" t="e">
        <f t="shared" si="23"/>
        <v>#REF!</v>
      </c>
      <c r="Q33" s="150"/>
      <c r="S33" s="145" t="s">
        <v>241</v>
      </c>
      <c r="T33" s="136" t="str">
        <f t="shared" si="7"/>
        <v>0753</v>
      </c>
      <c r="U33" s="136" t="str">
        <f t="shared" si="8"/>
        <v>6220000753</v>
      </c>
      <c r="V33" s="147">
        <f t="shared" si="9"/>
        <v>0</v>
      </c>
      <c r="W33" s="147">
        <f t="shared" si="10"/>
        <v>0</v>
      </c>
      <c r="X33" s="147">
        <f t="shared" si="11"/>
        <v>0</v>
      </c>
      <c r="Y33" s="147">
        <f t="shared" si="12"/>
        <v>0</v>
      </c>
      <c r="Z33" s="147">
        <f t="shared" si="13"/>
        <v>0</v>
      </c>
      <c r="AA33" s="147">
        <f t="shared" si="14"/>
        <v>0</v>
      </c>
      <c r="AB33" s="147">
        <f t="shared" si="15"/>
        <v>0</v>
      </c>
      <c r="AC33" s="147">
        <f t="shared" si="16"/>
        <v>0</v>
      </c>
      <c r="AD33" s="147">
        <f t="shared" si="17"/>
        <v>0</v>
      </c>
      <c r="AE33" s="147">
        <f t="shared" si="18"/>
        <v>0</v>
      </c>
      <c r="AF33" s="147">
        <f t="shared" si="19"/>
        <v>0</v>
      </c>
      <c r="AG33" s="147">
        <f t="shared" si="20"/>
        <v>0</v>
      </c>
      <c r="AH33" s="148">
        <f t="shared" si="3"/>
        <v>0</v>
      </c>
    </row>
    <row r="34" spans="1:34" s="136" customFormat="1" x14ac:dyDescent="0.2">
      <c r="A34" s="155" t="s">
        <v>242</v>
      </c>
      <c r="B34" s="149" t="e">
        <f>+#REF!+43000</f>
        <v>#REF!</v>
      </c>
      <c r="C34" s="138"/>
      <c r="D34" s="147" t="e">
        <f t="shared" si="22"/>
        <v>#REF!</v>
      </c>
      <c r="E34" s="147" t="e">
        <f t="shared" si="22"/>
        <v>#REF!</v>
      </c>
      <c r="F34" s="147" t="e">
        <f t="shared" si="22"/>
        <v>#REF!</v>
      </c>
      <c r="G34" s="147" t="e">
        <f t="shared" si="22"/>
        <v>#REF!</v>
      </c>
      <c r="H34" s="147" t="e">
        <f t="shared" si="22"/>
        <v>#REF!</v>
      </c>
      <c r="I34" s="147" t="e">
        <f t="shared" si="22"/>
        <v>#REF!</v>
      </c>
      <c r="J34" s="147" t="e">
        <f t="shared" si="22"/>
        <v>#REF!</v>
      </c>
      <c r="K34" s="147" t="e">
        <f t="shared" si="22"/>
        <v>#REF!</v>
      </c>
      <c r="L34" s="147" t="e">
        <f t="shared" si="22"/>
        <v>#REF!</v>
      </c>
      <c r="M34" s="147" t="e">
        <f t="shared" si="22"/>
        <v>#REF!</v>
      </c>
      <c r="N34" s="147" t="e">
        <f t="shared" si="22"/>
        <v>#REF!</v>
      </c>
      <c r="O34" s="147" t="e">
        <f t="shared" si="22"/>
        <v>#REF!</v>
      </c>
      <c r="P34" s="147" t="e">
        <f t="shared" si="23"/>
        <v>#REF!</v>
      </c>
      <c r="Q34" s="150"/>
      <c r="S34" s="145" t="s">
        <v>243</v>
      </c>
      <c r="T34" s="136" t="str">
        <f t="shared" si="7"/>
        <v>0753</v>
      </c>
      <c r="U34" s="136" t="str">
        <f t="shared" si="8"/>
        <v>6270000753</v>
      </c>
      <c r="V34" s="147">
        <f t="shared" si="9"/>
        <v>0</v>
      </c>
      <c r="W34" s="147">
        <f t="shared" si="10"/>
        <v>0</v>
      </c>
      <c r="X34" s="147">
        <f t="shared" si="11"/>
        <v>0</v>
      </c>
      <c r="Y34" s="147">
        <f t="shared" si="12"/>
        <v>0</v>
      </c>
      <c r="Z34" s="147">
        <f t="shared" si="13"/>
        <v>0</v>
      </c>
      <c r="AA34" s="147">
        <f t="shared" si="14"/>
        <v>0</v>
      </c>
      <c r="AB34" s="147">
        <f t="shared" si="15"/>
        <v>0</v>
      </c>
      <c r="AC34" s="147">
        <f t="shared" si="16"/>
        <v>0</v>
      </c>
      <c r="AD34" s="147">
        <f t="shared" si="17"/>
        <v>0</v>
      </c>
      <c r="AE34" s="147">
        <f t="shared" si="18"/>
        <v>0</v>
      </c>
      <c r="AF34" s="147">
        <f t="shared" si="19"/>
        <v>0</v>
      </c>
      <c r="AG34" s="147">
        <f t="shared" si="20"/>
        <v>0</v>
      </c>
      <c r="AH34" s="148">
        <f t="shared" si="3"/>
        <v>0</v>
      </c>
    </row>
    <row r="35" spans="1:34" s="136" customFormat="1" x14ac:dyDescent="0.2">
      <c r="A35" s="155" t="s">
        <v>244</v>
      </c>
      <c r="B35" s="149" t="e">
        <f>+#REF!+55000</f>
        <v>#REF!</v>
      </c>
      <c r="C35" s="138"/>
      <c r="D35" s="147" t="e">
        <f t="shared" si="22"/>
        <v>#REF!</v>
      </c>
      <c r="E35" s="147" t="e">
        <f t="shared" si="22"/>
        <v>#REF!</v>
      </c>
      <c r="F35" s="147" t="e">
        <f t="shared" si="22"/>
        <v>#REF!</v>
      </c>
      <c r="G35" s="147" t="e">
        <f t="shared" si="22"/>
        <v>#REF!</v>
      </c>
      <c r="H35" s="147" t="e">
        <f t="shared" si="22"/>
        <v>#REF!</v>
      </c>
      <c r="I35" s="147" t="e">
        <f t="shared" si="22"/>
        <v>#REF!</v>
      </c>
      <c r="J35" s="147" t="e">
        <f t="shared" si="22"/>
        <v>#REF!</v>
      </c>
      <c r="K35" s="147" t="e">
        <f t="shared" si="22"/>
        <v>#REF!</v>
      </c>
      <c r="L35" s="147" t="e">
        <f t="shared" si="22"/>
        <v>#REF!</v>
      </c>
      <c r="M35" s="147" t="e">
        <f t="shared" si="22"/>
        <v>#REF!</v>
      </c>
      <c r="N35" s="147" t="e">
        <f t="shared" si="22"/>
        <v>#REF!</v>
      </c>
      <c r="O35" s="147" t="e">
        <f t="shared" si="22"/>
        <v>#REF!</v>
      </c>
      <c r="P35" s="147" t="e">
        <f t="shared" si="23"/>
        <v>#REF!</v>
      </c>
      <c r="Q35" s="150"/>
      <c r="S35" s="145" t="s">
        <v>245</v>
      </c>
      <c r="T35" s="136" t="str">
        <f t="shared" si="7"/>
        <v>0753</v>
      </c>
      <c r="U35" s="136" t="str">
        <f t="shared" si="8"/>
        <v>6230000753</v>
      </c>
      <c r="V35" s="147">
        <f t="shared" si="9"/>
        <v>0</v>
      </c>
      <c r="W35" s="147">
        <f t="shared" si="10"/>
        <v>0</v>
      </c>
      <c r="X35" s="147">
        <f t="shared" si="11"/>
        <v>0</v>
      </c>
      <c r="Y35" s="147">
        <f t="shared" si="12"/>
        <v>0</v>
      </c>
      <c r="Z35" s="147">
        <f t="shared" si="13"/>
        <v>0</v>
      </c>
      <c r="AA35" s="147">
        <f t="shared" si="14"/>
        <v>0</v>
      </c>
      <c r="AB35" s="147">
        <f t="shared" si="15"/>
        <v>0</v>
      </c>
      <c r="AC35" s="147">
        <f t="shared" si="16"/>
        <v>0</v>
      </c>
      <c r="AD35" s="147">
        <f t="shared" si="17"/>
        <v>0</v>
      </c>
      <c r="AE35" s="147">
        <f t="shared" si="18"/>
        <v>0</v>
      </c>
      <c r="AF35" s="147">
        <f t="shared" si="19"/>
        <v>0</v>
      </c>
      <c r="AG35" s="147">
        <f t="shared" si="20"/>
        <v>0</v>
      </c>
      <c r="AH35" s="148">
        <f t="shared" si="3"/>
        <v>0</v>
      </c>
    </row>
    <row r="36" spans="1:34" s="136" customFormat="1" x14ac:dyDescent="0.2">
      <c r="A36" s="155" t="s">
        <v>246</v>
      </c>
      <c r="B36" s="149" t="e">
        <f>+#REF!-7000</f>
        <v>#REF!</v>
      </c>
      <c r="C36" s="138"/>
      <c r="D36" s="147" t="e">
        <f t="shared" si="22"/>
        <v>#REF!</v>
      </c>
      <c r="E36" s="147" t="e">
        <f t="shared" si="22"/>
        <v>#REF!</v>
      </c>
      <c r="F36" s="147" t="e">
        <f t="shared" si="22"/>
        <v>#REF!</v>
      </c>
      <c r="G36" s="147" t="e">
        <f t="shared" si="22"/>
        <v>#REF!</v>
      </c>
      <c r="H36" s="147" t="e">
        <f t="shared" si="22"/>
        <v>#REF!</v>
      </c>
      <c r="I36" s="147" t="e">
        <f t="shared" si="22"/>
        <v>#REF!</v>
      </c>
      <c r="J36" s="147" t="e">
        <f t="shared" si="22"/>
        <v>#REF!</v>
      </c>
      <c r="K36" s="147" t="e">
        <f t="shared" si="22"/>
        <v>#REF!</v>
      </c>
      <c r="L36" s="147" t="e">
        <f t="shared" si="22"/>
        <v>#REF!</v>
      </c>
      <c r="M36" s="147" t="e">
        <f t="shared" si="22"/>
        <v>#REF!</v>
      </c>
      <c r="N36" s="147" t="e">
        <f t="shared" si="22"/>
        <v>#REF!</v>
      </c>
      <c r="O36" s="147" t="e">
        <f t="shared" si="22"/>
        <v>#REF!</v>
      </c>
      <c r="P36" s="147" t="e">
        <f t="shared" si="23"/>
        <v>#REF!</v>
      </c>
      <c r="Q36" s="150"/>
      <c r="S36" s="145" t="s">
        <v>247</v>
      </c>
      <c r="T36" s="136" t="str">
        <f t="shared" si="7"/>
        <v>0753</v>
      </c>
      <c r="U36" s="136" t="str">
        <f t="shared" si="8"/>
        <v>6280000753</v>
      </c>
      <c r="V36" s="147">
        <f t="shared" si="9"/>
        <v>0</v>
      </c>
      <c r="W36" s="147">
        <f t="shared" si="10"/>
        <v>0</v>
      </c>
      <c r="X36" s="147">
        <f t="shared" si="11"/>
        <v>0</v>
      </c>
      <c r="Y36" s="147">
        <f t="shared" si="12"/>
        <v>0</v>
      </c>
      <c r="Z36" s="147">
        <f t="shared" si="13"/>
        <v>0</v>
      </c>
      <c r="AA36" s="147">
        <f t="shared" si="14"/>
        <v>0</v>
      </c>
      <c r="AB36" s="147">
        <f t="shared" si="15"/>
        <v>0</v>
      </c>
      <c r="AC36" s="147">
        <f t="shared" si="16"/>
        <v>0</v>
      </c>
      <c r="AD36" s="147">
        <f t="shared" si="17"/>
        <v>0</v>
      </c>
      <c r="AE36" s="147">
        <f t="shared" si="18"/>
        <v>0</v>
      </c>
      <c r="AF36" s="147">
        <f t="shared" si="19"/>
        <v>0</v>
      </c>
      <c r="AG36" s="147">
        <f t="shared" si="20"/>
        <v>0</v>
      </c>
      <c r="AH36" s="148">
        <f t="shared" si="3"/>
        <v>0</v>
      </c>
    </row>
    <row r="37" spans="1:34" s="136" customFormat="1" x14ac:dyDescent="0.2">
      <c r="A37" s="155" t="s">
        <v>248</v>
      </c>
      <c r="B37" s="149" t="e">
        <f>+#REF!-8000-4.72</f>
        <v>#REF!</v>
      </c>
      <c r="C37" s="138"/>
      <c r="D37" s="147" t="e">
        <f t="shared" si="22"/>
        <v>#REF!</v>
      </c>
      <c r="E37" s="147" t="e">
        <f t="shared" si="22"/>
        <v>#REF!</v>
      </c>
      <c r="F37" s="147" t="e">
        <f t="shared" si="22"/>
        <v>#REF!</v>
      </c>
      <c r="G37" s="147" t="e">
        <f t="shared" si="22"/>
        <v>#REF!</v>
      </c>
      <c r="H37" s="147" t="e">
        <f t="shared" si="22"/>
        <v>#REF!</v>
      </c>
      <c r="I37" s="147" t="e">
        <f t="shared" si="22"/>
        <v>#REF!</v>
      </c>
      <c r="J37" s="147" t="e">
        <f t="shared" si="22"/>
        <v>#REF!</v>
      </c>
      <c r="K37" s="147" t="e">
        <f t="shared" si="22"/>
        <v>#REF!</v>
      </c>
      <c r="L37" s="147" t="e">
        <f t="shared" si="22"/>
        <v>#REF!</v>
      </c>
      <c r="M37" s="147" t="e">
        <f t="shared" si="22"/>
        <v>#REF!</v>
      </c>
      <c r="N37" s="147" t="e">
        <f t="shared" si="22"/>
        <v>#REF!</v>
      </c>
      <c r="O37" s="147" t="e">
        <f t="shared" si="22"/>
        <v>#REF!</v>
      </c>
      <c r="P37" s="147" t="e">
        <f t="shared" si="23"/>
        <v>#REF!</v>
      </c>
      <c r="Q37" s="150"/>
      <c r="S37" s="145" t="s">
        <v>249</v>
      </c>
      <c r="T37" s="136" t="str">
        <f t="shared" si="7"/>
        <v>0753</v>
      </c>
      <c r="U37" s="136" t="str">
        <f t="shared" si="8"/>
        <v>6290000753</v>
      </c>
      <c r="V37" s="147">
        <f t="shared" si="9"/>
        <v>0</v>
      </c>
      <c r="W37" s="147">
        <f t="shared" si="10"/>
        <v>0</v>
      </c>
      <c r="X37" s="147">
        <f t="shared" si="11"/>
        <v>0</v>
      </c>
      <c r="Y37" s="147">
        <f t="shared" si="12"/>
        <v>0</v>
      </c>
      <c r="Z37" s="147">
        <f t="shared" si="13"/>
        <v>0</v>
      </c>
      <c r="AA37" s="147">
        <f t="shared" si="14"/>
        <v>0</v>
      </c>
      <c r="AB37" s="147">
        <f t="shared" si="15"/>
        <v>0</v>
      </c>
      <c r="AC37" s="147">
        <f t="shared" si="16"/>
        <v>0</v>
      </c>
      <c r="AD37" s="147">
        <f t="shared" si="17"/>
        <v>0</v>
      </c>
      <c r="AE37" s="147">
        <f t="shared" si="18"/>
        <v>0</v>
      </c>
      <c r="AF37" s="147">
        <f t="shared" si="19"/>
        <v>0</v>
      </c>
      <c r="AG37" s="147">
        <f t="shared" si="20"/>
        <v>0</v>
      </c>
      <c r="AH37" s="148">
        <f t="shared" si="3"/>
        <v>0</v>
      </c>
    </row>
    <row r="38" spans="1:34" s="136" customFormat="1" x14ac:dyDescent="0.2">
      <c r="A38" s="155" t="s">
        <v>250</v>
      </c>
      <c r="B38" s="149"/>
      <c r="C38" s="138"/>
      <c r="D38" s="147">
        <f t="shared" si="22"/>
        <v>0</v>
      </c>
      <c r="E38" s="147">
        <f t="shared" si="22"/>
        <v>0</v>
      </c>
      <c r="F38" s="147">
        <f t="shared" si="22"/>
        <v>0</v>
      </c>
      <c r="G38" s="147">
        <f t="shared" si="22"/>
        <v>0</v>
      </c>
      <c r="H38" s="147">
        <f t="shared" si="22"/>
        <v>0</v>
      </c>
      <c r="I38" s="147">
        <f t="shared" si="22"/>
        <v>0</v>
      </c>
      <c r="J38" s="147">
        <f t="shared" si="22"/>
        <v>0</v>
      </c>
      <c r="K38" s="147">
        <f t="shared" si="22"/>
        <v>0</v>
      </c>
      <c r="L38" s="147">
        <f t="shared" si="22"/>
        <v>0</v>
      </c>
      <c r="M38" s="147">
        <f t="shared" si="22"/>
        <v>0</v>
      </c>
      <c r="N38" s="147">
        <f t="shared" si="22"/>
        <v>0</v>
      </c>
      <c r="O38" s="147">
        <f t="shared" ref="E38:O43" si="24">($B38/$P$8)*O$8</f>
        <v>0</v>
      </c>
      <c r="P38" s="147">
        <f t="shared" si="23"/>
        <v>0</v>
      </c>
      <c r="Q38" s="150"/>
      <c r="S38" s="145" t="s">
        <v>251</v>
      </c>
      <c r="T38" s="136" t="str">
        <f t="shared" si="7"/>
        <v>0753</v>
      </c>
      <c r="U38" s="136" t="str">
        <f t="shared" si="8"/>
        <v>6310000753</v>
      </c>
      <c r="V38" s="147">
        <f t="shared" si="9"/>
        <v>0</v>
      </c>
      <c r="W38" s="147">
        <f t="shared" si="10"/>
        <v>0</v>
      </c>
      <c r="X38" s="147">
        <f t="shared" si="11"/>
        <v>0</v>
      </c>
      <c r="Y38" s="147">
        <f t="shared" si="12"/>
        <v>0</v>
      </c>
      <c r="Z38" s="147">
        <f t="shared" si="13"/>
        <v>0</v>
      </c>
      <c r="AA38" s="147">
        <f t="shared" si="14"/>
        <v>0</v>
      </c>
      <c r="AB38" s="147">
        <f t="shared" si="15"/>
        <v>0</v>
      </c>
      <c r="AC38" s="147">
        <f t="shared" si="16"/>
        <v>0</v>
      </c>
      <c r="AD38" s="147">
        <f t="shared" si="17"/>
        <v>0</v>
      </c>
      <c r="AE38" s="147">
        <f t="shared" si="18"/>
        <v>0</v>
      </c>
      <c r="AF38" s="147">
        <f t="shared" si="19"/>
        <v>0</v>
      </c>
      <c r="AG38" s="147">
        <f t="shared" si="20"/>
        <v>0</v>
      </c>
      <c r="AH38" s="148">
        <f t="shared" si="3"/>
        <v>0</v>
      </c>
    </row>
    <row r="39" spans="1:34" s="136" customFormat="1" x14ac:dyDescent="0.2">
      <c r="A39" s="155" t="s">
        <v>252</v>
      </c>
      <c r="B39" s="149"/>
      <c r="C39" s="138"/>
      <c r="D39" s="147">
        <f t="shared" si="22"/>
        <v>0</v>
      </c>
      <c r="E39" s="147">
        <f t="shared" si="24"/>
        <v>0</v>
      </c>
      <c r="F39" s="147">
        <f t="shared" si="24"/>
        <v>0</v>
      </c>
      <c r="G39" s="147">
        <f t="shared" si="24"/>
        <v>0</v>
      </c>
      <c r="H39" s="147">
        <f t="shared" si="24"/>
        <v>0</v>
      </c>
      <c r="I39" s="147">
        <f t="shared" si="24"/>
        <v>0</v>
      </c>
      <c r="J39" s="147">
        <f t="shared" si="24"/>
        <v>0</v>
      </c>
      <c r="K39" s="147">
        <f t="shared" si="24"/>
        <v>0</v>
      </c>
      <c r="L39" s="147">
        <f t="shared" si="24"/>
        <v>0</v>
      </c>
      <c r="M39" s="147">
        <f t="shared" si="24"/>
        <v>0</v>
      </c>
      <c r="N39" s="147">
        <f t="shared" si="24"/>
        <v>0</v>
      </c>
      <c r="O39" s="147">
        <f t="shared" si="24"/>
        <v>0</v>
      </c>
      <c r="P39" s="147">
        <f t="shared" si="23"/>
        <v>0</v>
      </c>
      <c r="Q39" s="150"/>
      <c r="S39" s="145" t="s">
        <v>253</v>
      </c>
      <c r="T39" s="136" t="str">
        <f t="shared" si="7"/>
        <v>0753</v>
      </c>
      <c r="U39" s="136" t="str">
        <f t="shared" si="8"/>
        <v>6320000753</v>
      </c>
      <c r="V39" s="147">
        <f t="shared" si="9"/>
        <v>0</v>
      </c>
      <c r="W39" s="147">
        <f t="shared" si="10"/>
        <v>0</v>
      </c>
      <c r="X39" s="147">
        <f t="shared" si="11"/>
        <v>0</v>
      </c>
      <c r="Y39" s="147">
        <f t="shared" si="12"/>
        <v>0</v>
      </c>
      <c r="Z39" s="147">
        <f t="shared" si="13"/>
        <v>0</v>
      </c>
      <c r="AA39" s="147">
        <f t="shared" si="14"/>
        <v>0</v>
      </c>
      <c r="AB39" s="147">
        <f t="shared" si="15"/>
        <v>0</v>
      </c>
      <c r="AC39" s="147">
        <f t="shared" si="16"/>
        <v>0</v>
      </c>
      <c r="AD39" s="147">
        <f t="shared" si="17"/>
        <v>0</v>
      </c>
      <c r="AE39" s="147">
        <f t="shared" si="18"/>
        <v>0</v>
      </c>
      <c r="AF39" s="147">
        <f t="shared" si="19"/>
        <v>0</v>
      </c>
      <c r="AG39" s="147">
        <f t="shared" si="20"/>
        <v>0</v>
      </c>
      <c r="AH39" s="148">
        <f t="shared" si="3"/>
        <v>0</v>
      </c>
    </row>
    <row r="40" spans="1:34" s="136" customFormat="1" x14ac:dyDescent="0.2">
      <c r="A40" s="155" t="s">
        <v>254</v>
      </c>
      <c r="B40" s="149"/>
      <c r="C40" s="138"/>
      <c r="D40" s="147">
        <f t="shared" si="22"/>
        <v>0</v>
      </c>
      <c r="E40" s="147">
        <f t="shared" si="24"/>
        <v>0</v>
      </c>
      <c r="F40" s="147">
        <f t="shared" si="24"/>
        <v>0</v>
      </c>
      <c r="G40" s="147">
        <f t="shared" si="24"/>
        <v>0</v>
      </c>
      <c r="H40" s="147">
        <f t="shared" si="24"/>
        <v>0</v>
      </c>
      <c r="I40" s="147">
        <f t="shared" si="24"/>
        <v>0</v>
      </c>
      <c r="J40" s="147">
        <f t="shared" si="24"/>
        <v>0</v>
      </c>
      <c r="K40" s="147">
        <f t="shared" si="24"/>
        <v>0</v>
      </c>
      <c r="L40" s="147">
        <f t="shared" si="24"/>
        <v>0</v>
      </c>
      <c r="M40" s="147">
        <f t="shared" si="24"/>
        <v>0</v>
      </c>
      <c r="N40" s="147">
        <f t="shared" si="24"/>
        <v>0</v>
      </c>
      <c r="O40" s="147">
        <f t="shared" si="24"/>
        <v>0</v>
      </c>
      <c r="P40" s="147">
        <f t="shared" si="23"/>
        <v>0</v>
      </c>
      <c r="Q40" s="150"/>
      <c r="S40" s="145" t="s">
        <v>255</v>
      </c>
      <c r="T40" s="136" t="str">
        <f t="shared" si="7"/>
        <v>0753</v>
      </c>
      <c r="U40" s="136" t="str">
        <f t="shared" si="8"/>
        <v>6240000753</v>
      </c>
      <c r="V40" s="147">
        <f t="shared" si="9"/>
        <v>0</v>
      </c>
      <c r="W40" s="147">
        <f t="shared" si="10"/>
        <v>0</v>
      </c>
      <c r="X40" s="147">
        <f t="shared" si="11"/>
        <v>0</v>
      </c>
      <c r="Y40" s="147">
        <f t="shared" si="12"/>
        <v>0</v>
      </c>
      <c r="Z40" s="147">
        <f t="shared" si="13"/>
        <v>0</v>
      </c>
      <c r="AA40" s="147">
        <f t="shared" si="14"/>
        <v>0</v>
      </c>
      <c r="AB40" s="147">
        <f t="shared" si="15"/>
        <v>0</v>
      </c>
      <c r="AC40" s="147">
        <f t="shared" si="16"/>
        <v>0</v>
      </c>
      <c r="AD40" s="147">
        <f t="shared" si="17"/>
        <v>0</v>
      </c>
      <c r="AE40" s="147">
        <f t="shared" si="18"/>
        <v>0</v>
      </c>
      <c r="AF40" s="147">
        <f t="shared" si="19"/>
        <v>0</v>
      </c>
      <c r="AG40" s="147">
        <f t="shared" si="20"/>
        <v>0</v>
      </c>
      <c r="AH40" s="148">
        <f t="shared" si="3"/>
        <v>0</v>
      </c>
    </row>
    <row r="41" spans="1:34" s="136" customFormat="1" x14ac:dyDescent="0.2">
      <c r="A41" s="155" t="s">
        <v>256</v>
      </c>
      <c r="B41" s="149"/>
      <c r="C41" s="138"/>
      <c r="D41" s="147">
        <f t="shared" si="22"/>
        <v>0</v>
      </c>
      <c r="E41" s="147">
        <f t="shared" si="24"/>
        <v>0</v>
      </c>
      <c r="F41" s="147">
        <f t="shared" si="24"/>
        <v>0</v>
      </c>
      <c r="G41" s="147">
        <f t="shared" si="24"/>
        <v>0</v>
      </c>
      <c r="H41" s="147">
        <f t="shared" si="24"/>
        <v>0</v>
      </c>
      <c r="I41" s="147">
        <f t="shared" si="24"/>
        <v>0</v>
      </c>
      <c r="J41" s="147">
        <f t="shared" si="24"/>
        <v>0</v>
      </c>
      <c r="K41" s="147">
        <f t="shared" si="24"/>
        <v>0</v>
      </c>
      <c r="L41" s="147">
        <f t="shared" si="24"/>
        <v>0</v>
      </c>
      <c r="M41" s="147">
        <f t="shared" si="24"/>
        <v>0</v>
      </c>
      <c r="N41" s="147">
        <f t="shared" si="24"/>
        <v>0</v>
      </c>
      <c r="O41" s="147">
        <f t="shared" si="24"/>
        <v>0</v>
      </c>
      <c r="P41" s="147">
        <f t="shared" si="23"/>
        <v>0</v>
      </c>
      <c r="Q41" s="150"/>
      <c r="S41" s="145" t="s">
        <v>257</v>
      </c>
      <c r="T41" s="136" t="str">
        <f t="shared" si="7"/>
        <v>0753</v>
      </c>
      <c r="U41" s="136" t="str">
        <f t="shared" si="8"/>
        <v>4020000753</v>
      </c>
      <c r="V41" s="147">
        <f t="shared" si="9"/>
        <v>0</v>
      </c>
      <c r="W41" s="147">
        <f t="shared" si="10"/>
        <v>0</v>
      </c>
      <c r="X41" s="147">
        <f t="shared" si="11"/>
        <v>0</v>
      </c>
      <c r="Y41" s="147">
        <f t="shared" si="12"/>
        <v>0</v>
      </c>
      <c r="Z41" s="147">
        <f t="shared" si="13"/>
        <v>0</v>
      </c>
      <c r="AA41" s="147">
        <f t="shared" si="14"/>
        <v>0</v>
      </c>
      <c r="AB41" s="147">
        <f t="shared" si="15"/>
        <v>0</v>
      </c>
      <c r="AC41" s="147">
        <f t="shared" si="16"/>
        <v>0</v>
      </c>
      <c r="AD41" s="147">
        <f t="shared" si="17"/>
        <v>0</v>
      </c>
      <c r="AE41" s="147">
        <f t="shared" si="18"/>
        <v>0</v>
      </c>
      <c r="AF41" s="147">
        <f t="shared" si="19"/>
        <v>0</v>
      </c>
      <c r="AG41" s="147">
        <f t="shared" si="20"/>
        <v>0</v>
      </c>
      <c r="AH41" s="148">
        <f t="shared" si="3"/>
        <v>0</v>
      </c>
    </row>
    <row r="42" spans="1:34" s="136" customFormat="1" x14ac:dyDescent="0.2">
      <c r="A42" s="155" t="s">
        <v>258</v>
      </c>
      <c r="B42" s="149"/>
      <c r="C42" s="138"/>
      <c r="D42" s="147">
        <f t="shared" si="22"/>
        <v>0</v>
      </c>
      <c r="E42" s="147">
        <f t="shared" si="24"/>
        <v>0</v>
      </c>
      <c r="F42" s="147">
        <f t="shared" si="24"/>
        <v>0</v>
      </c>
      <c r="G42" s="147">
        <f t="shared" si="24"/>
        <v>0</v>
      </c>
      <c r="H42" s="147">
        <f t="shared" si="24"/>
        <v>0</v>
      </c>
      <c r="I42" s="147">
        <f t="shared" si="24"/>
        <v>0</v>
      </c>
      <c r="J42" s="147">
        <f t="shared" si="24"/>
        <v>0</v>
      </c>
      <c r="K42" s="147">
        <f t="shared" si="24"/>
        <v>0</v>
      </c>
      <c r="L42" s="147">
        <f t="shared" si="24"/>
        <v>0</v>
      </c>
      <c r="M42" s="147">
        <f t="shared" si="24"/>
        <v>0</v>
      </c>
      <c r="N42" s="147">
        <f t="shared" si="24"/>
        <v>0</v>
      </c>
      <c r="O42" s="147">
        <f t="shared" si="24"/>
        <v>0</v>
      </c>
      <c r="P42" s="147">
        <f t="shared" si="23"/>
        <v>0</v>
      </c>
      <c r="Q42" s="150"/>
      <c r="S42" s="157" t="s">
        <v>259</v>
      </c>
      <c r="T42" s="136" t="str">
        <f t="shared" si="7"/>
        <v>0753</v>
      </c>
      <c r="U42" s="136" t="str">
        <f t="shared" si="8"/>
        <v>4040000753</v>
      </c>
      <c r="V42" s="147">
        <f t="shared" si="9"/>
        <v>0</v>
      </c>
      <c r="W42" s="147">
        <f t="shared" si="10"/>
        <v>0</v>
      </c>
      <c r="X42" s="147">
        <f t="shared" si="11"/>
        <v>0</v>
      </c>
      <c r="Y42" s="147">
        <f t="shared" si="12"/>
        <v>0</v>
      </c>
      <c r="Z42" s="147">
        <f t="shared" si="13"/>
        <v>0</v>
      </c>
      <c r="AA42" s="147">
        <f t="shared" si="14"/>
        <v>0</v>
      </c>
      <c r="AB42" s="147">
        <f t="shared" si="15"/>
        <v>0</v>
      </c>
      <c r="AC42" s="147">
        <f t="shared" si="16"/>
        <v>0</v>
      </c>
      <c r="AD42" s="147">
        <f t="shared" si="17"/>
        <v>0</v>
      </c>
      <c r="AE42" s="147">
        <f t="shared" si="18"/>
        <v>0</v>
      </c>
      <c r="AF42" s="147">
        <f t="shared" si="19"/>
        <v>0</v>
      </c>
      <c r="AG42" s="147">
        <f t="shared" si="20"/>
        <v>0</v>
      </c>
      <c r="AH42" s="148">
        <f t="shared" ref="AH42:AH73" si="25">SUM(V42:AG42)</f>
        <v>0</v>
      </c>
    </row>
    <row r="43" spans="1:34" s="136" customFormat="1" x14ac:dyDescent="0.2">
      <c r="A43" s="155" t="s">
        <v>260</v>
      </c>
      <c r="B43" s="149"/>
      <c r="C43" s="138"/>
      <c r="D43" s="147">
        <f t="shared" si="22"/>
        <v>0</v>
      </c>
      <c r="E43" s="147">
        <f t="shared" si="24"/>
        <v>0</v>
      </c>
      <c r="F43" s="147">
        <f t="shared" si="24"/>
        <v>0</v>
      </c>
      <c r="G43" s="147">
        <f t="shared" si="24"/>
        <v>0</v>
      </c>
      <c r="H43" s="147">
        <f t="shared" si="24"/>
        <v>0</v>
      </c>
      <c r="I43" s="147">
        <f t="shared" si="24"/>
        <v>0</v>
      </c>
      <c r="J43" s="147">
        <f t="shared" si="24"/>
        <v>0</v>
      </c>
      <c r="K43" s="147">
        <f t="shared" si="24"/>
        <v>0</v>
      </c>
      <c r="L43" s="147">
        <f t="shared" si="24"/>
        <v>0</v>
      </c>
      <c r="M43" s="147">
        <f t="shared" si="24"/>
        <v>0</v>
      </c>
      <c r="N43" s="147">
        <f t="shared" si="24"/>
        <v>0</v>
      </c>
      <c r="O43" s="147">
        <f t="shared" si="24"/>
        <v>0</v>
      </c>
      <c r="P43" s="147">
        <f t="shared" si="23"/>
        <v>0</v>
      </c>
      <c r="Q43" s="150"/>
      <c r="S43" s="145" t="s">
        <v>261</v>
      </c>
      <c r="T43" s="136" t="str">
        <f t="shared" si="7"/>
        <v>0753</v>
      </c>
      <c r="U43" s="136" t="str">
        <f t="shared" si="8"/>
        <v>6400000753</v>
      </c>
      <c r="V43" s="147">
        <f t="shared" ref="V43:AG43" si="26">D54</f>
        <v>0</v>
      </c>
      <c r="W43" s="147">
        <f t="shared" si="26"/>
        <v>0</v>
      </c>
      <c r="X43" s="147">
        <f t="shared" si="26"/>
        <v>0</v>
      </c>
      <c r="Y43" s="147">
        <f t="shared" si="26"/>
        <v>0</v>
      </c>
      <c r="Z43" s="147">
        <f t="shared" si="26"/>
        <v>0</v>
      </c>
      <c r="AA43" s="147">
        <f t="shared" si="26"/>
        <v>0</v>
      </c>
      <c r="AB43" s="147">
        <f t="shared" si="26"/>
        <v>0</v>
      </c>
      <c r="AC43" s="147">
        <f t="shared" si="26"/>
        <v>0</v>
      </c>
      <c r="AD43" s="147">
        <f t="shared" si="26"/>
        <v>0</v>
      </c>
      <c r="AE43" s="147">
        <f t="shared" si="26"/>
        <v>0</v>
      </c>
      <c r="AF43" s="147">
        <f t="shared" si="26"/>
        <v>0</v>
      </c>
      <c r="AG43" s="147">
        <f t="shared" si="26"/>
        <v>0</v>
      </c>
      <c r="AH43" s="148">
        <f t="shared" si="25"/>
        <v>0</v>
      </c>
    </row>
    <row r="44" spans="1:34" s="136" customFormat="1" x14ac:dyDescent="0.2">
      <c r="A44" s="155" t="s">
        <v>262</v>
      </c>
      <c r="B44" s="149"/>
      <c r="C44" s="138"/>
      <c r="D44" s="147">
        <f t="shared" ref="D44:O50" si="27">($B44/$P$8)*D$8</f>
        <v>0</v>
      </c>
      <c r="E44" s="147">
        <f t="shared" si="27"/>
        <v>0</v>
      </c>
      <c r="F44" s="147">
        <f t="shared" si="27"/>
        <v>0</v>
      </c>
      <c r="G44" s="147">
        <f t="shared" si="27"/>
        <v>0</v>
      </c>
      <c r="H44" s="147">
        <f t="shared" si="27"/>
        <v>0</v>
      </c>
      <c r="I44" s="147">
        <f t="shared" si="27"/>
        <v>0</v>
      </c>
      <c r="J44" s="147">
        <f t="shared" si="27"/>
        <v>0</v>
      </c>
      <c r="K44" s="147">
        <f t="shared" si="27"/>
        <v>0</v>
      </c>
      <c r="L44" s="147">
        <f t="shared" si="27"/>
        <v>0</v>
      </c>
      <c r="M44" s="147">
        <f t="shared" si="27"/>
        <v>0</v>
      </c>
      <c r="N44" s="147">
        <f t="shared" si="27"/>
        <v>0</v>
      </c>
      <c r="O44" s="147">
        <f t="shared" si="27"/>
        <v>0</v>
      </c>
      <c r="P44" s="147">
        <f t="shared" si="23"/>
        <v>0</v>
      </c>
      <c r="Q44" s="150"/>
      <c r="S44" s="145" t="s">
        <v>263</v>
      </c>
      <c r="T44" s="136" t="str">
        <f t="shared" si="7"/>
        <v>0753</v>
      </c>
      <c r="U44" s="136" t="str">
        <f t="shared" si="8"/>
        <v>6410000753</v>
      </c>
      <c r="V44" s="147" t="e">
        <f t="shared" ref="V44:AG48" si="28">D56</f>
        <v>#REF!</v>
      </c>
      <c r="W44" s="147" t="e">
        <f t="shared" si="28"/>
        <v>#REF!</v>
      </c>
      <c r="X44" s="147" t="e">
        <f t="shared" si="28"/>
        <v>#REF!</v>
      </c>
      <c r="Y44" s="147" t="e">
        <f t="shared" si="28"/>
        <v>#REF!</v>
      </c>
      <c r="Z44" s="147" t="e">
        <f t="shared" si="28"/>
        <v>#REF!</v>
      </c>
      <c r="AA44" s="147" t="e">
        <f t="shared" si="28"/>
        <v>#REF!</v>
      </c>
      <c r="AB44" s="147" t="e">
        <f t="shared" si="28"/>
        <v>#REF!</v>
      </c>
      <c r="AC44" s="147" t="e">
        <f t="shared" si="28"/>
        <v>#REF!</v>
      </c>
      <c r="AD44" s="147" t="e">
        <f t="shared" si="28"/>
        <v>#REF!</v>
      </c>
      <c r="AE44" s="147" t="e">
        <f t="shared" si="28"/>
        <v>#REF!</v>
      </c>
      <c r="AF44" s="147" t="e">
        <f t="shared" si="28"/>
        <v>#REF!</v>
      </c>
      <c r="AG44" s="147" t="e">
        <f t="shared" si="28"/>
        <v>#REF!</v>
      </c>
      <c r="AH44" s="148" t="e">
        <f t="shared" si="25"/>
        <v>#REF!</v>
      </c>
    </row>
    <row r="45" spans="1:34" s="136" customFormat="1" x14ac:dyDescent="0.2">
      <c r="A45" s="155" t="s">
        <v>264</v>
      </c>
      <c r="B45" s="149"/>
      <c r="C45" s="138"/>
      <c r="D45" s="147">
        <f t="shared" si="27"/>
        <v>0</v>
      </c>
      <c r="E45" s="147">
        <f t="shared" si="27"/>
        <v>0</v>
      </c>
      <c r="F45" s="147">
        <f t="shared" si="27"/>
        <v>0</v>
      </c>
      <c r="G45" s="147">
        <f t="shared" si="27"/>
        <v>0</v>
      </c>
      <c r="H45" s="147">
        <f t="shared" si="27"/>
        <v>0</v>
      </c>
      <c r="I45" s="147">
        <f t="shared" si="27"/>
        <v>0</v>
      </c>
      <c r="J45" s="147">
        <f t="shared" si="27"/>
        <v>0</v>
      </c>
      <c r="K45" s="147">
        <f t="shared" si="27"/>
        <v>0</v>
      </c>
      <c r="L45" s="147">
        <f t="shared" si="27"/>
        <v>0</v>
      </c>
      <c r="M45" s="147">
        <f t="shared" si="27"/>
        <v>0</v>
      </c>
      <c r="N45" s="147">
        <f t="shared" si="27"/>
        <v>0</v>
      </c>
      <c r="O45" s="147">
        <f t="shared" si="27"/>
        <v>0</v>
      </c>
      <c r="P45" s="147">
        <f t="shared" si="23"/>
        <v>0</v>
      </c>
      <c r="Q45" s="150"/>
      <c r="S45" s="145" t="s">
        <v>265</v>
      </c>
      <c r="T45" s="136" t="str">
        <f t="shared" si="7"/>
        <v>0753</v>
      </c>
      <c r="U45" s="136" t="str">
        <f t="shared" si="8"/>
        <v>6450000753</v>
      </c>
      <c r="V45" s="147" t="e">
        <f t="shared" si="28"/>
        <v>#REF!</v>
      </c>
      <c r="W45" s="147" t="e">
        <f t="shared" si="28"/>
        <v>#REF!</v>
      </c>
      <c r="X45" s="147" t="e">
        <f t="shared" si="28"/>
        <v>#REF!</v>
      </c>
      <c r="Y45" s="147" t="e">
        <f t="shared" si="28"/>
        <v>#REF!</v>
      </c>
      <c r="Z45" s="147" t="e">
        <f t="shared" si="28"/>
        <v>#REF!</v>
      </c>
      <c r="AA45" s="147" t="e">
        <f t="shared" si="28"/>
        <v>#REF!</v>
      </c>
      <c r="AB45" s="147" t="e">
        <f t="shared" si="28"/>
        <v>#REF!</v>
      </c>
      <c r="AC45" s="147" t="e">
        <f t="shared" si="28"/>
        <v>#REF!</v>
      </c>
      <c r="AD45" s="147" t="e">
        <f t="shared" si="28"/>
        <v>#REF!</v>
      </c>
      <c r="AE45" s="147" t="e">
        <f t="shared" si="28"/>
        <v>#REF!</v>
      </c>
      <c r="AF45" s="147" t="e">
        <f t="shared" si="28"/>
        <v>#REF!</v>
      </c>
      <c r="AG45" s="147" t="e">
        <f t="shared" si="28"/>
        <v>#REF!</v>
      </c>
      <c r="AH45" s="148" t="e">
        <f t="shared" si="25"/>
        <v>#REF!</v>
      </c>
    </row>
    <row r="46" spans="1:34" s="136" customFormat="1" x14ac:dyDescent="0.2">
      <c r="A46" s="155" t="s">
        <v>266</v>
      </c>
      <c r="B46" s="149"/>
      <c r="C46" s="138"/>
      <c r="D46" s="147">
        <f t="shared" si="27"/>
        <v>0</v>
      </c>
      <c r="E46" s="147">
        <f t="shared" si="27"/>
        <v>0</v>
      </c>
      <c r="F46" s="147">
        <f t="shared" si="27"/>
        <v>0</v>
      </c>
      <c r="G46" s="147">
        <f t="shared" si="27"/>
        <v>0</v>
      </c>
      <c r="H46" s="147">
        <f t="shared" si="27"/>
        <v>0</v>
      </c>
      <c r="I46" s="147">
        <f t="shared" si="27"/>
        <v>0</v>
      </c>
      <c r="J46" s="147">
        <f t="shared" si="27"/>
        <v>0</v>
      </c>
      <c r="K46" s="147">
        <f t="shared" si="27"/>
        <v>0</v>
      </c>
      <c r="L46" s="147">
        <f t="shared" si="27"/>
        <v>0</v>
      </c>
      <c r="M46" s="147">
        <f t="shared" si="27"/>
        <v>0</v>
      </c>
      <c r="N46" s="147">
        <f t="shared" si="27"/>
        <v>0</v>
      </c>
      <c r="O46" s="147">
        <f t="shared" si="27"/>
        <v>0</v>
      </c>
      <c r="P46" s="147">
        <f t="shared" si="23"/>
        <v>0</v>
      </c>
      <c r="Q46" s="150"/>
      <c r="S46" s="145" t="s">
        <v>267</v>
      </c>
      <c r="T46" s="136" t="str">
        <f t="shared" si="7"/>
        <v>0753</v>
      </c>
      <c r="U46" s="136" t="str">
        <f t="shared" si="8"/>
        <v>6460000753</v>
      </c>
      <c r="V46" s="147" t="e">
        <f t="shared" si="28"/>
        <v>#REF!</v>
      </c>
      <c r="W46" s="147" t="e">
        <f t="shared" si="28"/>
        <v>#REF!</v>
      </c>
      <c r="X46" s="147" t="e">
        <f t="shared" si="28"/>
        <v>#REF!</v>
      </c>
      <c r="Y46" s="147" t="e">
        <f t="shared" si="28"/>
        <v>#REF!</v>
      </c>
      <c r="Z46" s="147" t="e">
        <f t="shared" si="28"/>
        <v>#REF!</v>
      </c>
      <c r="AA46" s="147" t="e">
        <f t="shared" si="28"/>
        <v>#REF!</v>
      </c>
      <c r="AB46" s="147" t="e">
        <f t="shared" si="28"/>
        <v>#REF!</v>
      </c>
      <c r="AC46" s="147" t="e">
        <f t="shared" si="28"/>
        <v>#REF!</v>
      </c>
      <c r="AD46" s="147" t="e">
        <f t="shared" si="28"/>
        <v>#REF!</v>
      </c>
      <c r="AE46" s="147" t="e">
        <f t="shared" si="28"/>
        <v>#REF!</v>
      </c>
      <c r="AF46" s="147" t="e">
        <f t="shared" si="28"/>
        <v>#REF!</v>
      </c>
      <c r="AG46" s="147" t="e">
        <f t="shared" si="28"/>
        <v>#REF!</v>
      </c>
      <c r="AH46" s="148" t="e">
        <f t="shared" si="25"/>
        <v>#REF!</v>
      </c>
    </row>
    <row r="47" spans="1:34" s="136" customFormat="1" x14ac:dyDescent="0.2">
      <c r="A47" s="155" t="s">
        <v>268</v>
      </c>
      <c r="B47" s="149"/>
      <c r="C47" s="138"/>
      <c r="D47" s="147">
        <f t="shared" si="27"/>
        <v>0</v>
      </c>
      <c r="E47" s="147">
        <f t="shared" si="27"/>
        <v>0</v>
      </c>
      <c r="F47" s="147">
        <f t="shared" si="27"/>
        <v>0</v>
      </c>
      <c r="G47" s="147">
        <f t="shared" si="27"/>
        <v>0</v>
      </c>
      <c r="H47" s="147">
        <f t="shared" si="27"/>
        <v>0</v>
      </c>
      <c r="I47" s="147">
        <f t="shared" si="27"/>
        <v>0</v>
      </c>
      <c r="J47" s="147">
        <f t="shared" si="27"/>
        <v>0</v>
      </c>
      <c r="K47" s="147">
        <f t="shared" si="27"/>
        <v>0</v>
      </c>
      <c r="L47" s="147">
        <f t="shared" si="27"/>
        <v>0</v>
      </c>
      <c r="M47" s="147">
        <f t="shared" si="27"/>
        <v>0</v>
      </c>
      <c r="N47" s="147">
        <f t="shared" si="27"/>
        <v>0</v>
      </c>
      <c r="O47" s="147">
        <f t="shared" si="27"/>
        <v>0</v>
      </c>
      <c r="P47" s="147">
        <f t="shared" si="23"/>
        <v>0</v>
      </c>
      <c r="Q47" s="150"/>
      <c r="S47" s="145" t="s">
        <v>269</v>
      </c>
      <c r="T47" s="136" t="str">
        <f t="shared" si="7"/>
        <v>0753</v>
      </c>
      <c r="U47" s="136" t="str">
        <f t="shared" si="8"/>
        <v>6910000753</v>
      </c>
      <c r="V47" s="147">
        <f t="shared" si="28"/>
        <v>0</v>
      </c>
      <c r="W47" s="147">
        <f t="shared" si="28"/>
        <v>0</v>
      </c>
      <c r="X47" s="147">
        <f t="shared" si="28"/>
        <v>0</v>
      </c>
      <c r="Y47" s="147">
        <f t="shared" si="28"/>
        <v>0</v>
      </c>
      <c r="Z47" s="147">
        <f t="shared" si="28"/>
        <v>0</v>
      </c>
      <c r="AA47" s="147">
        <f t="shared" si="28"/>
        <v>0</v>
      </c>
      <c r="AB47" s="147">
        <f t="shared" si="28"/>
        <v>0</v>
      </c>
      <c r="AC47" s="147">
        <f t="shared" si="28"/>
        <v>0</v>
      </c>
      <c r="AD47" s="147">
        <f t="shared" si="28"/>
        <v>0</v>
      </c>
      <c r="AE47" s="147">
        <f t="shared" si="28"/>
        <v>0</v>
      </c>
      <c r="AF47" s="147">
        <f t="shared" si="28"/>
        <v>0</v>
      </c>
      <c r="AG47" s="147">
        <f t="shared" si="28"/>
        <v>0</v>
      </c>
      <c r="AH47" s="148">
        <f t="shared" si="25"/>
        <v>0</v>
      </c>
    </row>
    <row r="48" spans="1:34" s="136" customFormat="1" x14ac:dyDescent="0.2">
      <c r="A48" s="155" t="s">
        <v>270</v>
      </c>
      <c r="B48" s="149"/>
      <c r="C48" s="138"/>
      <c r="D48" s="147">
        <f>($B48/$P$8)*D$8</f>
        <v>0</v>
      </c>
      <c r="E48" s="147">
        <f t="shared" si="27"/>
        <v>0</v>
      </c>
      <c r="F48" s="147">
        <f t="shared" si="27"/>
        <v>0</v>
      </c>
      <c r="G48" s="147">
        <f t="shared" si="27"/>
        <v>0</v>
      </c>
      <c r="H48" s="147">
        <f t="shared" si="27"/>
        <v>0</v>
      </c>
      <c r="I48" s="147">
        <f t="shared" si="27"/>
        <v>0</v>
      </c>
      <c r="J48" s="147">
        <f t="shared" si="27"/>
        <v>0</v>
      </c>
      <c r="K48" s="147">
        <f t="shared" si="27"/>
        <v>0</v>
      </c>
      <c r="L48" s="147">
        <f t="shared" si="27"/>
        <v>0</v>
      </c>
      <c r="M48" s="147">
        <f t="shared" si="27"/>
        <v>0</v>
      </c>
      <c r="N48" s="147">
        <f t="shared" si="27"/>
        <v>0</v>
      </c>
      <c r="O48" s="147">
        <f t="shared" si="27"/>
        <v>0</v>
      </c>
      <c r="P48" s="147">
        <f t="shared" si="23"/>
        <v>0</v>
      </c>
      <c r="Q48" s="150"/>
      <c r="S48" s="145" t="s">
        <v>271</v>
      </c>
      <c r="T48" s="136" t="str">
        <f t="shared" si="7"/>
        <v>0753</v>
      </c>
      <c r="U48" s="136" t="str">
        <f t="shared" si="8"/>
        <v>6440000753</v>
      </c>
      <c r="V48" s="147">
        <f t="shared" si="28"/>
        <v>0</v>
      </c>
      <c r="W48" s="147">
        <f t="shared" si="28"/>
        <v>0</v>
      </c>
      <c r="X48" s="147">
        <f t="shared" si="28"/>
        <v>0</v>
      </c>
      <c r="Y48" s="147">
        <f t="shared" si="28"/>
        <v>0</v>
      </c>
      <c r="Z48" s="147">
        <f t="shared" si="28"/>
        <v>0</v>
      </c>
      <c r="AA48" s="147">
        <f t="shared" si="28"/>
        <v>0</v>
      </c>
      <c r="AB48" s="147">
        <f t="shared" si="28"/>
        <v>0</v>
      </c>
      <c r="AC48" s="147">
        <f t="shared" si="28"/>
        <v>0</v>
      </c>
      <c r="AD48" s="147">
        <f t="shared" si="28"/>
        <v>0</v>
      </c>
      <c r="AE48" s="147">
        <f t="shared" si="28"/>
        <v>0</v>
      </c>
      <c r="AF48" s="147">
        <f t="shared" si="28"/>
        <v>0</v>
      </c>
      <c r="AG48" s="147">
        <f t="shared" si="28"/>
        <v>0</v>
      </c>
      <c r="AH48" s="148">
        <f t="shared" si="25"/>
        <v>0</v>
      </c>
    </row>
    <row r="49" spans="1:38" s="158" customFormat="1" x14ac:dyDescent="0.2">
      <c r="A49" s="155" t="s">
        <v>272</v>
      </c>
      <c r="B49" s="149"/>
      <c r="C49" s="138"/>
      <c r="D49" s="147">
        <f t="shared" si="27"/>
        <v>0</v>
      </c>
      <c r="E49" s="147">
        <f t="shared" si="27"/>
        <v>0</v>
      </c>
      <c r="F49" s="147">
        <f t="shared" si="27"/>
        <v>0</v>
      </c>
      <c r="G49" s="147">
        <f t="shared" si="27"/>
        <v>0</v>
      </c>
      <c r="H49" s="147">
        <f t="shared" si="27"/>
        <v>0</v>
      </c>
      <c r="I49" s="147">
        <f t="shared" si="27"/>
        <v>0</v>
      </c>
      <c r="J49" s="147">
        <f t="shared" si="27"/>
        <v>0</v>
      </c>
      <c r="K49" s="147">
        <f t="shared" si="27"/>
        <v>0</v>
      </c>
      <c r="L49" s="147">
        <f t="shared" si="27"/>
        <v>0</v>
      </c>
      <c r="M49" s="147">
        <f t="shared" si="27"/>
        <v>0</v>
      </c>
      <c r="N49" s="147">
        <f t="shared" si="27"/>
        <v>0</v>
      </c>
      <c r="O49" s="147">
        <f t="shared" si="27"/>
        <v>0</v>
      </c>
      <c r="P49" s="147">
        <f t="shared" si="23"/>
        <v>0</v>
      </c>
      <c r="Q49" s="150"/>
      <c r="R49" s="136"/>
      <c r="S49" s="145" t="s">
        <v>273</v>
      </c>
      <c r="T49" s="136" t="str">
        <f t="shared" si="7"/>
        <v>0753</v>
      </c>
      <c r="U49" s="136" t="str">
        <f t="shared" si="8"/>
        <v>6920000753</v>
      </c>
      <c r="V49" s="147">
        <f t="shared" ref="V49:AG51" si="29">D70</f>
        <v>1443.8356164383561</v>
      </c>
      <c r="W49" s="147">
        <f t="shared" si="29"/>
        <v>1397.2602739726026</v>
      </c>
      <c r="X49" s="147">
        <f t="shared" si="29"/>
        <v>1443.8356164383561</v>
      </c>
      <c r="Y49" s="147">
        <f t="shared" si="29"/>
        <v>1443.8356164383561</v>
      </c>
      <c r="Z49" s="147">
        <f t="shared" si="29"/>
        <v>1304.1095890410959</v>
      </c>
      <c r="AA49" s="147">
        <f t="shared" si="29"/>
        <v>1443.8356164383561</v>
      </c>
      <c r="AB49" s="147">
        <f t="shared" si="29"/>
        <v>1397.2602739726026</v>
      </c>
      <c r="AC49" s="147">
        <f t="shared" si="29"/>
        <v>1443.8356164383561</v>
      </c>
      <c r="AD49" s="147">
        <f t="shared" si="29"/>
        <v>1397.2602739726026</v>
      </c>
      <c r="AE49" s="147">
        <f t="shared" si="29"/>
        <v>1443.8356164383561</v>
      </c>
      <c r="AF49" s="147">
        <f t="shared" si="29"/>
        <v>1443.8356164383561</v>
      </c>
      <c r="AG49" s="147">
        <f t="shared" si="29"/>
        <v>1397.2602739726026</v>
      </c>
      <c r="AH49" s="148">
        <f t="shared" si="25"/>
        <v>17000</v>
      </c>
      <c r="AI49" s="136"/>
      <c r="AJ49" s="136"/>
      <c r="AK49" s="136"/>
      <c r="AL49" s="136"/>
    </row>
    <row r="50" spans="1:38" s="158" customFormat="1" x14ac:dyDescent="0.2">
      <c r="A50" s="159" t="s">
        <v>274</v>
      </c>
      <c r="B50" s="149"/>
      <c r="C50" s="138"/>
      <c r="D50" s="147">
        <f t="shared" si="27"/>
        <v>0</v>
      </c>
      <c r="E50" s="147">
        <f t="shared" si="27"/>
        <v>0</v>
      </c>
      <c r="F50" s="147">
        <f t="shared" si="27"/>
        <v>0</v>
      </c>
      <c r="G50" s="147">
        <f t="shared" si="27"/>
        <v>0</v>
      </c>
      <c r="H50" s="147">
        <f t="shared" si="27"/>
        <v>0</v>
      </c>
      <c r="I50" s="147">
        <f t="shared" si="27"/>
        <v>0</v>
      </c>
      <c r="J50" s="147">
        <f t="shared" si="27"/>
        <v>0</v>
      </c>
      <c r="K50" s="147">
        <f t="shared" si="27"/>
        <v>0</v>
      </c>
      <c r="L50" s="147">
        <f t="shared" si="27"/>
        <v>0</v>
      </c>
      <c r="M50" s="147">
        <f t="shared" si="27"/>
        <v>0</v>
      </c>
      <c r="N50" s="147">
        <f t="shared" si="27"/>
        <v>0</v>
      </c>
      <c r="O50" s="147">
        <f t="shared" si="27"/>
        <v>0</v>
      </c>
      <c r="P50" s="147">
        <f t="shared" si="23"/>
        <v>0</v>
      </c>
      <c r="Q50" s="160"/>
      <c r="S50" s="145" t="s">
        <v>275</v>
      </c>
      <c r="T50" s="136" t="str">
        <f t="shared" si="7"/>
        <v>0753</v>
      </c>
      <c r="U50" s="136" t="str">
        <f t="shared" si="8"/>
        <v>6950000753</v>
      </c>
      <c r="V50" s="147">
        <f t="shared" si="29"/>
        <v>84.93150684931507</v>
      </c>
      <c r="W50" s="147">
        <f t="shared" si="29"/>
        <v>82.191780821917803</v>
      </c>
      <c r="X50" s="147">
        <f t="shared" si="29"/>
        <v>84.93150684931507</v>
      </c>
      <c r="Y50" s="147">
        <f t="shared" si="29"/>
        <v>84.93150684931507</v>
      </c>
      <c r="Z50" s="147">
        <f t="shared" si="29"/>
        <v>76.712328767123282</v>
      </c>
      <c r="AA50" s="147">
        <f t="shared" si="29"/>
        <v>84.93150684931507</v>
      </c>
      <c r="AB50" s="147">
        <f t="shared" si="29"/>
        <v>82.191780821917803</v>
      </c>
      <c r="AC50" s="147">
        <f t="shared" si="29"/>
        <v>84.93150684931507</v>
      </c>
      <c r="AD50" s="147">
        <f t="shared" si="29"/>
        <v>82.191780821917803</v>
      </c>
      <c r="AE50" s="147">
        <f t="shared" si="29"/>
        <v>84.93150684931507</v>
      </c>
      <c r="AF50" s="147">
        <f t="shared" si="29"/>
        <v>84.93150684931507</v>
      </c>
      <c r="AG50" s="147">
        <f t="shared" si="29"/>
        <v>82.191780821917803</v>
      </c>
      <c r="AH50" s="148">
        <f t="shared" si="25"/>
        <v>999.99999999999977</v>
      </c>
      <c r="AI50" s="136"/>
      <c r="AJ50" s="136"/>
      <c r="AK50" s="136"/>
      <c r="AL50" s="136"/>
    </row>
    <row r="51" spans="1:38" s="136" customFormat="1" x14ac:dyDescent="0.2">
      <c r="A51" s="158"/>
      <c r="B51" s="161"/>
      <c r="C51" s="138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3"/>
      <c r="Q51" s="160"/>
      <c r="R51" s="158"/>
      <c r="S51" s="145" t="s">
        <v>276</v>
      </c>
      <c r="T51" s="136" t="str">
        <f t="shared" si="7"/>
        <v>0753</v>
      </c>
      <c r="U51" s="136" t="str">
        <f t="shared" si="8"/>
        <v>6940000753</v>
      </c>
      <c r="V51" s="147">
        <f t="shared" si="29"/>
        <v>0</v>
      </c>
      <c r="W51" s="147">
        <f t="shared" si="29"/>
        <v>0</v>
      </c>
      <c r="X51" s="147">
        <f t="shared" si="29"/>
        <v>0</v>
      </c>
      <c r="Y51" s="147">
        <f t="shared" si="29"/>
        <v>0</v>
      </c>
      <c r="Z51" s="147">
        <f t="shared" si="29"/>
        <v>0</v>
      </c>
      <c r="AA51" s="147">
        <f t="shared" si="29"/>
        <v>0</v>
      </c>
      <c r="AB51" s="147">
        <f t="shared" si="29"/>
        <v>0</v>
      </c>
      <c r="AC51" s="147">
        <f t="shared" si="29"/>
        <v>0</v>
      </c>
      <c r="AD51" s="147">
        <f t="shared" si="29"/>
        <v>0</v>
      </c>
      <c r="AE51" s="147">
        <f t="shared" si="29"/>
        <v>0</v>
      </c>
      <c r="AF51" s="147">
        <f t="shared" si="29"/>
        <v>0</v>
      </c>
      <c r="AG51" s="147">
        <f t="shared" si="29"/>
        <v>0</v>
      </c>
      <c r="AH51" s="148">
        <f t="shared" si="25"/>
        <v>0</v>
      </c>
      <c r="AI51" s="158"/>
      <c r="AJ51" s="158"/>
      <c r="AK51" s="158"/>
      <c r="AL51" s="158"/>
    </row>
    <row r="52" spans="1:38" s="136" customFormat="1" x14ac:dyDescent="0.2">
      <c r="A52" s="155" t="s">
        <v>277</v>
      </c>
      <c r="B52" s="149" t="e">
        <f>SUM(B28:B51)</f>
        <v>#REF!</v>
      </c>
      <c r="C52" s="138"/>
      <c r="D52" s="164" t="e">
        <f t="shared" ref="D52:P52" si="30">SUM(D28:D51)</f>
        <v>#REF!</v>
      </c>
      <c r="E52" s="164" t="e">
        <f t="shared" si="30"/>
        <v>#REF!</v>
      </c>
      <c r="F52" s="164" t="e">
        <f t="shared" si="30"/>
        <v>#REF!</v>
      </c>
      <c r="G52" s="164" t="e">
        <f t="shared" si="30"/>
        <v>#REF!</v>
      </c>
      <c r="H52" s="164" t="e">
        <f t="shared" si="30"/>
        <v>#REF!</v>
      </c>
      <c r="I52" s="164" t="e">
        <f t="shared" si="30"/>
        <v>#REF!</v>
      </c>
      <c r="J52" s="164" t="e">
        <f t="shared" si="30"/>
        <v>#REF!</v>
      </c>
      <c r="K52" s="164" t="e">
        <f t="shared" si="30"/>
        <v>#REF!</v>
      </c>
      <c r="L52" s="164" t="e">
        <f t="shared" si="30"/>
        <v>#REF!</v>
      </c>
      <c r="M52" s="164" t="e">
        <f t="shared" si="30"/>
        <v>#REF!</v>
      </c>
      <c r="N52" s="164" t="e">
        <f t="shared" si="30"/>
        <v>#REF!</v>
      </c>
      <c r="O52" s="164" t="e">
        <f t="shared" si="30"/>
        <v>#REF!</v>
      </c>
      <c r="P52" s="164" t="e">
        <f t="shared" si="30"/>
        <v>#REF!</v>
      </c>
      <c r="Q52" s="150"/>
      <c r="S52" s="145" t="s">
        <v>278</v>
      </c>
      <c r="T52" s="136" t="str">
        <f t="shared" si="7"/>
        <v>0753</v>
      </c>
      <c r="U52" s="136" t="str">
        <f t="shared" si="8"/>
        <v>6840000753</v>
      </c>
      <c r="V52" s="147">
        <f t="shared" ref="V52:AG53" si="31">D78</f>
        <v>4841.0958904109584</v>
      </c>
      <c r="W52" s="147">
        <f t="shared" si="31"/>
        <v>4684.9315068493152</v>
      </c>
      <c r="X52" s="147">
        <f t="shared" si="31"/>
        <v>4841.0958904109584</v>
      </c>
      <c r="Y52" s="147">
        <f t="shared" si="31"/>
        <v>4841.0958904109584</v>
      </c>
      <c r="Z52" s="147">
        <f t="shared" si="31"/>
        <v>4372.6027397260277</v>
      </c>
      <c r="AA52" s="147">
        <f t="shared" si="31"/>
        <v>4841.0958904109584</v>
      </c>
      <c r="AB52" s="147">
        <f t="shared" si="31"/>
        <v>4684.9315068493152</v>
      </c>
      <c r="AC52" s="147">
        <f t="shared" si="31"/>
        <v>4841.0958904109584</v>
      </c>
      <c r="AD52" s="147">
        <f t="shared" si="31"/>
        <v>4684.9315068493152</v>
      </c>
      <c r="AE52" s="147">
        <f t="shared" si="31"/>
        <v>4841.0958904109584</v>
      </c>
      <c r="AF52" s="147">
        <f t="shared" si="31"/>
        <v>4841.0958904109584</v>
      </c>
      <c r="AG52" s="147">
        <f t="shared" si="31"/>
        <v>4684.9315068493152</v>
      </c>
      <c r="AH52" s="148">
        <f t="shared" si="25"/>
        <v>56999.999999999993</v>
      </c>
      <c r="AI52" s="158"/>
      <c r="AJ52" s="158"/>
      <c r="AK52" s="158"/>
      <c r="AL52" s="158"/>
    </row>
    <row r="53" spans="1:38" s="136" customFormat="1" x14ac:dyDescent="0.2">
      <c r="B53" s="149"/>
      <c r="C53" s="13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50"/>
      <c r="S53" s="145" t="s">
        <v>279</v>
      </c>
      <c r="T53" s="136" t="str">
        <f t="shared" si="7"/>
        <v>0753</v>
      </c>
      <c r="U53" s="136" t="str">
        <f t="shared" si="8"/>
        <v>6850000753</v>
      </c>
      <c r="V53" s="147">
        <f t="shared" si="31"/>
        <v>1613.6986301369861</v>
      </c>
      <c r="W53" s="147">
        <f t="shared" si="31"/>
        <v>1561.6438356164383</v>
      </c>
      <c r="X53" s="147">
        <f t="shared" si="31"/>
        <v>1613.6986301369861</v>
      </c>
      <c r="Y53" s="147">
        <f t="shared" si="31"/>
        <v>1613.6986301369861</v>
      </c>
      <c r="Z53" s="147">
        <f t="shared" si="31"/>
        <v>1457.5342465753424</v>
      </c>
      <c r="AA53" s="147">
        <f t="shared" si="31"/>
        <v>1613.6986301369861</v>
      </c>
      <c r="AB53" s="147">
        <f t="shared" si="31"/>
        <v>1561.6438356164383</v>
      </c>
      <c r="AC53" s="147">
        <f t="shared" si="31"/>
        <v>1613.6986301369861</v>
      </c>
      <c r="AD53" s="147">
        <f t="shared" si="31"/>
        <v>1561.6438356164383</v>
      </c>
      <c r="AE53" s="147">
        <f t="shared" si="31"/>
        <v>1613.6986301369861</v>
      </c>
      <c r="AF53" s="147">
        <f t="shared" si="31"/>
        <v>1613.6986301369861</v>
      </c>
      <c r="AG53" s="147">
        <f t="shared" si="31"/>
        <v>1561.6438356164383</v>
      </c>
      <c r="AH53" s="148">
        <f t="shared" si="25"/>
        <v>19000</v>
      </c>
    </row>
    <row r="54" spans="1:38" s="136" customFormat="1" x14ac:dyDescent="0.2">
      <c r="A54" s="155" t="s">
        <v>280</v>
      </c>
      <c r="B54" s="149"/>
      <c r="C54" s="138"/>
      <c r="D54" s="147">
        <f t="shared" ref="D54:O54" si="32">($B54*12)*(D$8/$P$8)</f>
        <v>0</v>
      </c>
      <c r="E54" s="147">
        <f t="shared" si="32"/>
        <v>0</v>
      </c>
      <c r="F54" s="147">
        <f t="shared" si="32"/>
        <v>0</v>
      </c>
      <c r="G54" s="147">
        <f t="shared" si="32"/>
        <v>0</v>
      </c>
      <c r="H54" s="147">
        <f t="shared" si="32"/>
        <v>0</v>
      </c>
      <c r="I54" s="147">
        <f t="shared" si="32"/>
        <v>0</v>
      </c>
      <c r="J54" s="147">
        <f t="shared" si="32"/>
        <v>0</v>
      </c>
      <c r="K54" s="147">
        <f t="shared" si="32"/>
        <v>0</v>
      </c>
      <c r="L54" s="147">
        <f t="shared" si="32"/>
        <v>0</v>
      </c>
      <c r="M54" s="147">
        <f t="shared" si="32"/>
        <v>0</v>
      </c>
      <c r="N54" s="147">
        <f t="shared" si="32"/>
        <v>0</v>
      </c>
      <c r="O54" s="147">
        <f t="shared" si="32"/>
        <v>0</v>
      </c>
      <c r="P54" s="147">
        <f>SUM(D54:O54)</f>
        <v>0</v>
      </c>
      <c r="Q54" s="150"/>
      <c r="S54" s="145" t="s">
        <v>281</v>
      </c>
      <c r="T54" s="136" t="str">
        <f t="shared" si="7"/>
        <v>0753</v>
      </c>
      <c r="U54" s="136" t="str">
        <f t="shared" si="8"/>
        <v>6860000753</v>
      </c>
      <c r="V54" s="147">
        <f t="shared" ref="V54:AG58" si="33">D81</f>
        <v>0</v>
      </c>
      <c r="W54" s="147">
        <f t="shared" si="33"/>
        <v>0</v>
      </c>
      <c r="X54" s="147">
        <f t="shared" si="33"/>
        <v>0</v>
      </c>
      <c r="Y54" s="147">
        <f t="shared" si="33"/>
        <v>0</v>
      </c>
      <c r="Z54" s="147">
        <f t="shared" si="33"/>
        <v>0</v>
      </c>
      <c r="AA54" s="147">
        <f t="shared" si="33"/>
        <v>0</v>
      </c>
      <c r="AB54" s="147">
        <f t="shared" si="33"/>
        <v>0</v>
      </c>
      <c r="AC54" s="147">
        <f t="shared" si="33"/>
        <v>0</v>
      </c>
      <c r="AD54" s="147">
        <f t="shared" si="33"/>
        <v>0</v>
      </c>
      <c r="AE54" s="147">
        <f t="shared" si="33"/>
        <v>0</v>
      </c>
      <c r="AF54" s="147">
        <f t="shared" si="33"/>
        <v>0</v>
      </c>
      <c r="AG54" s="147">
        <f t="shared" si="33"/>
        <v>0</v>
      </c>
      <c r="AH54" s="148">
        <f t="shared" si="25"/>
        <v>0</v>
      </c>
    </row>
    <row r="55" spans="1:38" s="136" customFormat="1" x14ac:dyDescent="0.2">
      <c r="B55" s="149"/>
      <c r="C55" s="13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50"/>
      <c r="S55" s="145" t="s">
        <v>282</v>
      </c>
      <c r="T55" s="136" t="str">
        <f t="shared" si="7"/>
        <v>0753</v>
      </c>
      <c r="U55" s="136" t="str">
        <f t="shared" si="8"/>
        <v>6870000753</v>
      </c>
      <c r="V55" s="147">
        <f t="shared" si="33"/>
        <v>0</v>
      </c>
      <c r="W55" s="147">
        <f t="shared" si="33"/>
        <v>0</v>
      </c>
      <c r="X55" s="147">
        <f t="shared" si="33"/>
        <v>0</v>
      </c>
      <c r="Y55" s="147">
        <f t="shared" si="33"/>
        <v>0</v>
      </c>
      <c r="Z55" s="147">
        <f t="shared" si="33"/>
        <v>0</v>
      </c>
      <c r="AA55" s="147">
        <f t="shared" si="33"/>
        <v>0</v>
      </c>
      <c r="AB55" s="147">
        <f t="shared" si="33"/>
        <v>0</v>
      </c>
      <c r="AC55" s="147">
        <f t="shared" si="33"/>
        <v>0</v>
      </c>
      <c r="AD55" s="147">
        <f t="shared" si="33"/>
        <v>0</v>
      </c>
      <c r="AE55" s="147">
        <f t="shared" si="33"/>
        <v>0</v>
      </c>
      <c r="AF55" s="147">
        <f t="shared" si="33"/>
        <v>0</v>
      </c>
      <c r="AG55" s="147">
        <f t="shared" si="33"/>
        <v>0</v>
      </c>
      <c r="AH55" s="148">
        <f t="shared" si="25"/>
        <v>0</v>
      </c>
    </row>
    <row r="56" spans="1:38" s="136" customFormat="1" x14ac:dyDescent="0.2">
      <c r="A56" s="155" t="s">
        <v>283</v>
      </c>
      <c r="B56" s="166" t="e">
        <f>(B52*9.56%)</f>
        <v>#REF!</v>
      </c>
      <c r="C56" s="138"/>
      <c r="D56" s="147" t="e">
        <f>($B56/$P$8)*D$8+D229</f>
        <v>#REF!</v>
      </c>
      <c r="E56" s="147" t="e">
        <f t="shared" ref="E56:O56" si="34">($B56/$P$8)*E$8+E229</f>
        <v>#REF!</v>
      </c>
      <c r="F56" s="147" t="e">
        <f t="shared" si="34"/>
        <v>#REF!</v>
      </c>
      <c r="G56" s="147" t="e">
        <f>($B56/$P$8)*G$8+G229+3086.81</f>
        <v>#REF!</v>
      </c>
      <c r="H56" s="147" t="e">
        <f>($B56/$P$8)*H$8+H229+2821.86</f>
        <v>#REF!</v>
      </c>
      <c r="I56" s="147" t="e">
        <f t="shared" si="34"/>
        <v>#REF!</v>
      </c>
      <c r="J56" s="147" t="e">
        <f t="shared" si="34"/>
        <v>#REF!</v>
      </c>
      <c r="K56" s="147" t="e">
        <f t="shared" si="34"/>
        <v>#REF!</v>
      </c>
      <c r="L56" s="147" t="e">
        <f t="shared" si="34"/>
        <v>#REF!</v>
      </c>
      <c r="M56" s="147" t="e">
        <f t="shared" si="34"/>
        <v>#REF!</v>
      </c>
      <c r="N56" s="147" t="e">
        <f t="shared" si="34"/>
        <v>#REF!</v>
      </c>
      <c r="O56" s="147" t="e">
        <f t="shared" si="34"/>
        <v>#REF!</v>
      </c>
      <c r="P56" s="147" t="e">
        <f>SUM(D56:O56)</f>
        <v>#REF!</v>
      </c>
      <c r="Q56" s="163"/>
      <c r="S56" s="145" t="s">
        <v>284</v>
      </c>
      <c r="T56" s="136" t="str">
        <f t="shared" si="7"/>
        <v>0753</v>
      </c>
      <c r="U56" s="136" t="str">
        <f t="shared" si="8"/>
        <v>6820000753</v>
      </c>
      <c r="V56" s="147">
        <f t="shared" si="33"/>
        <v>93.424657534246577</v>
      </c>
      <c r="W56" s="147">
        <f t="shared" si="33"/>
        <v>90.410958904109592</v>
      </c>
      <c r="X56" s="147">
        <f t="shared" si="33"/>
        <v>93.424657534246577</v>
      </c>
      <c r="Y56" s="147">
        <f t="shared" si="33"/>
        <v>93.424657534246577</v>
      </c>
      <c r="Z56" s="147">
        <f t="shared" si="33"/>
        <v>84.38356164383562</v>
      </c>
      <c r="AA56" s="147">
        <f t="shared" si="33"/>
        <v>93.424657534246577</v>
      </c>
      <c r="AB56" s="147">
        <f t="shared" si="33"/>
        <v>90.410958904109592</v>
      </c>
      <c r="AC56" s="147">
        <f t="shared" si="33"/>
        <v>93.424657534246577</v>
      </c>
      <c r="AD56" s="147">
        <f t="shared" si="33"/>
        <v>90.410958904109592</v>
      </c>
      <c r="AE56" s="147">
        <f t="shared" si="33"/>
        <v>93.424657534246577</v>
      </c>
      <c r="AF56" s="147">
        <f t="shared" si="33"/>
        <v>93.424657534246577</v>
      </c>
      <c r="AG56" s="147">
        <f t="shared" si="33"/>
        <v>90.410958904109592</v>
      </c>
      <c r="AH56" s="148">
        <f t="shared" si="25"/>
        <v>1100</v>
      </c>
    </row>
    <row r="57" spans="1:38" s="136" customFormat="1" x14ac:dyDescent="0.2">
      <c r="A57" s="155" t="s">
        <v>285</v>
      </c>
      <c r="B57" s="166" t="e">
        <f>(B52*8.96%)</f>
        <v>#REF!</v>
      </c>
      <c r="C57" s="138"/>
      <c r="D57" s="147" t="e">
        <f>($B57/$P$8)*D$8</f>
        <v>#REF!</v>
      </c>
      <c r="E57" s="147" t="e">
        <f t="shared" ref="E57:O57" si="35">($B57/$P$8)*E$8</f>
        <v>#REF!</v>
      </c>
      <c r="F57" s="147" t="e">
        <f t="shared" si="35"/>
        <v>#REF!</v>
      </c>
      <c r="G57" s="147" t="e">
        <f t="shared" si="35"/>
        <v>#REF!</v>
      </c>
      <c r="H57" s="147" t="e">
        <f t="shared" si="35"/>
        <v>#REF!</v>
      </c>
      <c r="I57" s="147" t="e">
        <f t="shared" si="35"/>
        <v>#REF!</v>
      </c>
      <c r="J57" s="147" t="e">
        <f t="shared" si="35"/>
        <v>#REF!</v>
      </c>
      <c r="K57" s="147" t="e">
        <f t="shared" si="35"/>
        <v>#REF!</v>
      </c>
      <c r="L57" s="147" t="e">
        <f t="shared" si="35"/>
        <v>#REF!</v>
      </c>
      <c r="M57" s="147" t="e">
        <f t="shared" si="35"/>
        <v>#REF!</v>
      </c>
      <c r="N57" s="147" t="e">
        <f t="shared" si="35"/>
        <v>#REF!</v>
      </c>
      <c r="O57" s="147" t="e">
        <f t="shared" si="35"/>
        <v>#REF!</v>
      </c>
      <c r="P57" s="147" t="e">
        <f t="shared" ref="P57:P60" si="36">SUM(D57:O57)</f>
        <v>#REF!</v>
      </c>
      <c r="Q57" s="163"/>
      <c r="S57" s="145" t="s">
        <v>286</v>
      </c>
      <c r="T57" s="136" t="str">
        <f t="shared" si="7"/>
        <v>0753</v>
      </c>
      <c r="U57" s="136" t="str">
        <f t="shared" si="8"/>
        <v>6890000753</v>
      </c>
      <c r="V57" s="147">
        <f t="shared" si="33"/>
        <v>0</v>
      </c>
      <c r="W57" s="147">
        <f t="shared" si="33"/>
        <v>0</v>
      </c>
      <c r="X57" s="147">
        <f t="shared" si="33"/>
        <v>0</v>
      </c>
      <c r="Y57" s="147">
        <f t="shared" si="33"/>
        <v>0</v>
      </c>
      <c r="Z57" s="147">
        <f t="shared" si="33"/>
        <v>0</v>
      </c>
      <c r="AA57" s="147">
        <f t="shared" si="33"/>
        <v>0</v>
      </c>
      <c r="AB57" s="147">
        <f t="shared" si="33"/>
        <v>0</v>
      </c>
      <c r="AC57" s="147">
        <f t="shared" si="33"/>
        <v>0</v>
      </c>
      <c r="AD57" s="147">
        <f t="shared" si="33"/>
        <v>0</v>
      </c>
      <c r="AE57" s="147">
        <f t="shared" si="33"/>
        <v>0</v>
      </c>
      <c r="AF57" s="147">
        <f t="shared" si="33"/>
        <v>0</v>
      </c>
      <c r="AG57" s="147">
        <f t="shared" si="33"/>
        <v>0</v>
      </c>
      <c r="AH57" s="148">
        <f t="shared" si="25"/>
        <v>0</v>
      </c>
    </row>
    <row r="58" spans="1:38" s="136" customFormat="1" x14ac:dyDescent="0.2">
      <c r="A58" s="155" t="s">
        <v>287</v>
      </c>
      <c r="B58" s="166" t="e">
        <f>(B52*1.15%)</f>
        <v>#REF!</v>
      </c>
      <c r="C58" s="138"/>
      <c r="D58" s="147" t="e">
        <f t="shared" ref="D58:O60" si="37">($B58/$P$8)*D$8</f>
        <v>#REF!</v>
      </c>
      <c r="E58" s="147" t="e">
        <f t="shared" si="37"/>
        <v>#REF!</v>
      </c>
      <c r="F58" s="147" t="e">
        <f t="shared" si="37"/>
        <v>#REF!</v>
      </c>
      <c r="G58" s="147" t="e">
        <f t="shared" si="37"/>
        <v>#REF!</v>
      </c>
      <c r="H58" s="147" t="e">
        <f t="shared" si="37"/>
        <v>#REF!</v>
      </c>
      <c r="I58" s="147" t="e">
        <f t="shared" si="37"/>
        <v>#REF!</v>
      </c>
      <c r="J58" s="147" t="e">
        <f t="shared" si="37"/>
        <v>#REF!</v>
      </c>
      <c r="K58" s="147" t="e">
        <f t="shared" si="37"/>
        <v>#REF!</v>
      </c>
      <c r="L58" s="147" t="e">
        <f t="shared" si="37"/>
        <v>#REF!</v>
      </c>
      <c r="M58" s="147" t="e">
        <f t="shared" si="37"/>
        <v>#REF!</v>
      </c>
      <c r="N58" s="147" t="e">
        <f t="shared" si="37"/>
        <v>#REF!</v>
      </c>
      <c r="O58" s="147" t="e">
        <f t="shared" si="37"/>
        <v>#REF!</v>
      </c>
      <c r="P58" s="147" t="e">
        <f t="shared" si="36"/>
        <v>#REF!</v>
      </c>
      <c r="Q58" s="163"/>
      <c r="S58" s="145" t="s">
        <v>288</v>
      </c>
      <c r="T58" s="136" t="str">
        <f t="shared" si="7"/>
        <v>0753</v>
      </c>
      <c r="U58" s="136" t="str">
        <f t="shared" si="8"/>
        <v>6900000753</v>
      </c>
      <c r="V58" s="147">
        <f t="shared" si="33"/>
        <v>3142.4657534246576</v>
      </c>
      <c r="W58" s="147">
        <f t="shared" si="33"/>
        <v>3041.0958904109589</v>
      </c>
      <c r="X58" s="147">
        <f t="shared" si="33"/>
        <v>3142.4657534246576</v>
      </c>
      <c r="Y58" s="147">
        <f t="shared" si="33"/>
        <v>3142.4657534246576</v>
      </c>
      <c r="Z58" s="147">
        <f t="shared" si="33"/>
        <v>2838.3561643835619</v>
      </c>
      <c r="AA58" s="147">
        <f t="shared" si="33"/>
        <v>3142.4657534246576</v>
      </c>
      <c r="AB58" s="147">
        <f t="shared" si="33"/>
        <v>3041.0958904109589</v>
      </c>
      <c r="AC58" s="147">
        <f t="shared" si="33"/>
        <v>3142.4657534246576</v>
      </c>
      <c r="AD58" s="147">
        <f t="shared" si="33"/>
        <v>3041.0958904109589</v>
      </c>
      <c r="AE58" s="147">
        <f t="shared" si="33"/>
        <v>3142.4657534246576</v>
      </c>
      <c r="AF58" s="147">
        <f t="shared" si="33"/>
        <v>3142.4657534246576</v>
      </c>
      <c r="AG58" s="147">
        <f t="shared" si="33"/>
        <v>3041.0958904109589</v>
      </c>
      <c r="AH58" s="148">
        <f t="shared" si="25"/>
        <v>36999.999999999993</v>
      </c>
    </row>
    <row r="59" spans="1:38" s="136" customFormat="1" x14ac:dyDescent="0.2">
      <c r="A59" s="155" t="s">
        <v>289</v>
      </c>
      <c r="B59" s="149"/>
      <c r="C59" s="138"/>
      <c r="D59" s="147">
        <f t="shared" si="37"/>
        <v>0</v>
      </c>
      <c r="E59" s="147">
        <f t="shared" si="37"/>
        <v>0</v>
      </c>
      <c r="F59" s="147">
        <f t="shared" si="37"/>
        <v>0</v>
      </c>
      <c r="G59" s="147">
        <f t="shared" si="37"/>
        <v>0</v>
      </c>
      <c r="H59" s="147">
        <f t="shared" si="37"/>
        <v>0</v>
      </c>
      <c r="I59" s="147">
        <f t="shared" si="37"/>
        <v>0</v>
      </c>
      <c r="J59" s="147">
        <f t="shared" si="37"/>
        <v>0</v>
      </c>
      <c r="K59" s="147">
        <f t="shared" si="37"/>
        <v>0</v>
      </c>
      <c r="L59" s="147">
        <f t="shared" si="37"/>
        <v>0</v>
      </c>
      <c r="M59" s="147">
        <f t="shared" si="37"/>
        <v>0</v>
      </c>
      <c r="N59" s="147">
        <f t="shared" si="37"/>
        <v>0</v>
      </c>
      <c r="O59" s="147">
        <f t="shared" si="37"/>
        <v>0</v>
      </c>
      <c r="P59" s="147">
        <f t="shared" si="36"/>
        <v>0</v>
      </c>
      <c r="Q59" s="163"/>
      <c r="S59" s="145" t="s">
        <v>290</v>
      </c>
      <c r="T59" s="136" t="str">
        <f t="shared" si="7"/>
        <v>0753</v>
      </c>
      <c r="U59" s="136" t="str">
        <f t="shared" si="8"/>
        <v>7000000753</v>
      </c>
      <c r="V59" s="147" t="e">
        <f t="shared" ref="V59:AG62" si="38">D94</f>
        <v>#REF!</v>
      </c>
      <c r="W59" s="147" t="e">
        <f t="shared" si="38"/>
        <v>#REF!</v>
      </c>
      <c r="X59" s="147" t="e">
        <f t="shared" si="38"/>
        <v>#REF!</v>
      </c>
      <c r="Y59" s="147" t="e">
        <f t="shared" si="38"/>
        <v>#REF!</v>
      </c>
      <c r="Z59" s="147" t="e">
        <f t="shared" si="38"/>
        <v>#REF!</v>
      </c>
      <c r="AA59" s="147" t="e">
        <f t="shared" si="38"/>
        <v>#REF!</v>
      </c>
      <c r="AB59" s="147" t="e">
        <f t="shared" si="38"/>
        <v>#REF!</v>
      </c>
      <c r="AC59" s="147" t="e">
        <f t="shared" si="38"/>
        <v>#REF!</v>
      </c>
      <c r="AD59" s="147" t="e">
        <f t="shared" si="38"/>
        <v>#REF!</v>
      </c>
      <c r="AE59" s="147" t="e">
        <f t="shared" si="38"/>
        <v>#REF!</v>
      </c>
      <c r="AF59" s="147" t="e">
        <f t="shared" si="38"/>
        <v>#REF!</v>
      </c>
      <c r="AG59" s="147" t="e">
        <f t="shared" si="38"/>
        <v>#REF!</v>
      </c>
      <c r="AH59" s="148" t="e">
        <f t="shared" si="25"/>
        <v>#REF!</v>
      </c>
    </row>
    <row r="60" spans="1:38" s="136" customFormat="1" x14ac:dyDescent="0.2">
      <c r="A60" s="155" t="s">
        <v>291</v>
      </c>
      <c r="B60" s="149"/>
      <c r="C60" s="138"/>
      <c r="D60" s="147">
        <f t="shared" si="37"/>
        <v>0</v>
      </c>
      <c r="E60" s="147">
        <f t="shared" si="37"/>
        <v>0</v>
      </c>
      <c r="F60" s="147">
        <f t="shared" si="37"/>
        <v>0</v>
      </c>
      <c r="G60" s="147">
        <f t="shared" si="37"/>
        <v>0</v>
      </c>
      <c r="H60" s="147">
        <f t="shared" si="37"/>
        <v>0</v>
      </c>
      <c r="I60" s="147">
        <f t="shared" si="37"/>
        <v>0</v>
      </c>
      <c r="J60" s="147">
        <f t="shared" si="37"/>
        <v>0</v>
      </c>
      <c r="K60" s="147">
        <f t="shared" si="37"/>
        <v>0</v>
      </c>
      <c r="L60" s="147">
        <f t="shared" si="37"/>
        <v>0</v>
      </c>
      <c r="M60" s="147">
        <f t="shared" si="37"/>
        <v>0</v>
      </c>
      <c r="N60" s="147">
        <f t="shared" si="37"/>
        <v>0</v>
      </c>
      <c r="O60" s="147">
        <f t="shared" si="37"/>
        <v>0</v>
      </c>
      <c r="P60" s="147">
        <f t="shared" si="36"/>
        <v>0</v>
      </c>
      <c r="Q60" s="163"/>
      <c r="S60" s="145" t="s">
        <v>292</v>
      </c>
      <c r="T60" s="136" t="str">
        <f t="shared" si="7"/>
        <v>0753</v>
      </c>
      <c r="U60" s="136" t="str">
        <f t="shared" si="8"/>
        <v>7010000753</v>
      </c>
      <c r="V60" s="147" t="e">
        <f t="shared" si="38"/>
        <v>#REF!</v>
      </c>
      <c r="W60" s="147" t="e">
        <f t="shared" si="38"/>
        <v>#REF!</v>
      </c>
      <c r="X60" s="147" t="e">
        <f t="shared" si="38"/>
        <v>#REF!</v>
      </c>
      <c r="Y60" s="147" t="e">
        <f t="shared" si="38"/>
        <v>#REF!</v>
      </c>
      <c r="Z60" s="147" t="e">
        <f t="shared" si="38"/>
        <v>#REF!</v>
      </c>
      <c r="AA60" s="147" t="e">
        <f t="shared" si="38"/>
        <v>#REF!</v>
      </c>
      <c r="AB60" s="147" t="e">
        <f t="shared" si="38"/>
        <v>#REF!</v>
      </c>
      <c r="AC60" s="147" t="e">
        <f t="shared" si="38"/>
        <v>#REF!</v>
      </c>
      <c r="AD60" s="147" t="e">
        <f t="shared" si="38"/>
        <v>#REF!</v>
      </c>
      <c r="AE60" s="147" t="e">
        <f t="shared" si="38"/>
        <v>#REF!</v>
      </c>
      <c r="AF60" s="147" t="e">
        <f t="shared" si="38"/>
        <v>#REF!</v>
      </c>
      <c r="AG60" s="147" t="e">
        <f t="shared" si="38"/>
        <v>#REF!</v>
      </c>
      <c r="AH60" s="148" t="e">
        <f t="shared" si="25"/>
        <v>#REF!</v>
      </c>
    </row>
    <row r="61" spans="1:38" s="168" customFormat="1" x14ac:dyDescent="0.2">
      <c r="A61" s="136"/>
      <c r="B61" s="161"/>
      <c r="C61" s="138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62"/>
      <c r="R61" s="136"/>
      <c r="S61" s="145" t="s">
        <v>293</v>
      </c>
      <c r="T61" s="136" t="str">
        <f t="shared" si="7"/>
        <v>0753</v>
      </c>
      <c r="U61" s="136" t="str">
        <f t="shared" si="8"/>
        <v>7020000753</v>
      </c>
      <c r="V61" s="147" t="e">
        <f t="shared" si="38"/>
        <v>#REF!</v>
      </c>
      <c r="W61" s="147" t="e">
        <f t="shared" si="38"/>
        <v>#REF!</v>
      </c>
      <c r="X61" s="147" t="e">
        <f t="shared" si="38"/>
        <v>#REF!</v>
      </c>
      <c r="Y61" s="147" t="e">
        <f t="shared" si="38"/>
        <v>#REF!</v>
      </c>
      <c r="Z61" s="147" t="e">
        <f t="shared" si="38"/>
        <v>#REF!</v>
      </c>
      <c r="AA61" s="147" t="e">
        <f t="shared" si="38"/>
        <v>#REF!</v>
      </c>
      <c r="AB61" s="147" t="e">
        <f t="shared" si="38"/>
        <v>#REF!</v>
      </c>
      <c r="AC61" s="147" t="e">
        <f t="shared" si="38"/>
        <v>#REF!</v>
      </c>
      <c r="AD61" s="147" t="e">
        <f t="shared" si="38"/>
        <v>#REF!</v>
      </c>
      <c r="AE61" s="147" t="e">
        <f t="shared" si="38"/>
        <v>#REF!</v>
      </c>
      <c r="AF61" s="147" t="e">
        <f t="shared" si="38"/>
        <v>#REF!</v>
      </c>
      <c r="AG61" s="147" t="e">
        <f t="shared" si="38"/>
        <v>#REF!</v>
      </c>
      <c r="AH61" s="148" t="e">
        <f t="shared" si="25"/>
        <v>#REF!</v>
      </c>
      <c r="AI61" s="136"/>
      <c r="AJ61" s="136"/>
      <c r="AK61" s="136"/>
      <c r="AL61" s="136"/>
    </row>
    <row r="62" spans="1:38" s="136" customFormat="1" x14ac:dyDescent="0.2">
      <c r="A62" s="155" t="s">
        <v>294</v>
      </c>
      <c r="B62" s="149" t="e">
        <f>SUM(B56:B61)</f>
        <v>#REF!</v>
      </c>
      <c r="C62" s="138"/>
      <c r="D62" s="164" t="e">
        <f t="shared" ref="D62:P62" si="39">SUM(D56:D61)</f>
        <v>#REF!</v>
      </c>
      <c r="E62" s="164" t="e">
        <f t="shared" si="39"/>
        <v>#REF!</v>
      </c>
      <c r="F62" s="164" t="e">
        <f t="shared" si="39"/>
        <v>#REF!</v>
      </c>
      <c r="G62" s="164" t="e">
        <f t="shared" si="39"/>
        <v>#REF!</v>
      </c>
      <c r="H62" s="164" t="e">
        <f t="shared" si="39"/>
        <v>#REF!</v>
      </c>
      <c r="I62" s="164" t="e">
        <f t="shared" si="39"/>
        <v>#REF!</v>
      </c>
      <c r="J62" s="164" t="e">
        <f t="shared" si="39"/>
        <v>#REF!</v>
      </c>
      <c r="K62" s="164" t="e">
        <f t="shared" si="39"/>
        <v>#REF!</v>
      </c>
      <c r="L62" s="164" t="e">
        <f t="shared" si="39"/>
        <v>#REF!</v>
      </c>
      <c r="M62" s="164" t="e">
        <f t="shared" si="39"/>
        <v>#REF!</v>
      </c>
      <c r="N62" s="164" t="e">
        <f t="shared" si="39"/>
        <v>#REF!</v>
      </c>
      <c r="O62" s="164" t="e">
        <f t="shared" si="39"/>
        <v>#REF!</v>
      </c>
      <c r="P62" s="164" t="e">
        <f t="shared" si="39"/>
        <v>#REF!</v>
      </c>
      <c r="Q62" s="163"/>
      <c r="S62" s="145" t="s">
        <v>295</v>
      </c>
      <c r="T62" s="136" t="str">
        <f t="shared" si="7"/>
        <v>0753</v>
      </c>
      <c r="U62" s="136" t="str">
        <f t="shared" si="8"/>
        <v>7460000753</v>
      </c>
      <c r="V62" s="147">
        <f t="shared" si="38"/>
        <v>0</v>
      </c>
      <c r="W62" s="147">
        <f t="shared" si="38"/>
        <v>0</v>
      </c>
      <c r="X62" s="147">
        <f t="shared" si="38"/>
        <v>0</v>
      </c>
      <c r="Y62" s="147">
        <f t="shared" si="38"/>
        <v>0</v>
      </c>
      <c r="Z62" s="147">
        <f t="shared" si="38"/>
        <v>0</v>
      </c>
      <c r="AA62" s="147">
        <f t="shared" si="38"/>
        <v>0</v>
      </c>
      <c r="AB62" s="147">
        <f t="shared" si="38"/>
        <v>0</v>
      </c>
      <c r="AC62" s="147">
        <f t="shared" si="38"/>
        <v>0</v>
      </c>
      <c r="AD62" s="147">
        <f t="shared" si="38"/>
        <v>0</v>
      </c>
      <c r="AE62" s="147">
        <f t="shared" si="38"/>
        <v>0</v>
      </c>
      <c r="AF62" s="147">
        <f t="shared" si="38"/>
        <v>0</v>
      </c>
      <c r="AG62" s="147">
        <f t="shared" si="38"/>
        <v>0</v>
      </c>
      <c r="AH62" s="148">
        <f t="shared" si="25"/>
        <v>0</v>
      </c>
    </row>
    <row r="63" spans="1:38" s="136" customFormat="1" x14ac:dyDescent="0.2">
      <c r="A63" s="169" t="s">
        <v>296</v>
      </c>
      <c r="B63" s="170" t="e">
        <f>B62/B52</f>
        <v>#REF!</v>
      </c>
      <c r="C63" s="138"/>
      <c r="D63" s="171" t="e">
        <f t="shared" ref="D63:P63" si="40">D62/D52</f>
        <v>#REF!</v>
      </c>
      <c r="E63" s="171" t="e">
        <f t="shared" si="40"/>
        <v>#REF!</v>
      </c>
      <c r="F63" s="171" t="e">
        <f t="shared" si="40"/>
        <v>#REF!</v>
      </c>
      <c r="G63" s="171" t="e">
        <f t="shared" si="40"/>
        <v>#REF!</v>
      </c>
      <c r="H63" s="171" t="e">
        <f t="shared" si="40"/>
        <v>#REF!</v>
      </c>
      <c r="I63" s="171" t="e">
        <f t="shared" si="40"/>
        <v>#REF!</v>
      </c>
      <c r="J63" s="171" t="e">
        <f t="shared" si="40"/>
        <v>#REF!</v>
      </c>
      <c r="K63" s="171" t="e">
        <f t="shared" si="40"/>
        <v>#REF!</v>
      </c>
      <c r="L63" s="171" t="e">
        <f t="shared" si="40"/>
        <v>#REF!</v>
      </c>
      <c r="M63" s="171" t="e">
        <f t="shared" si="40"/>
        <v>#REF!</v>
      </c>
      <c r="N63" s="171" t="e">
        <f t="shared" si="40"/>
        <v>#REF!</v>
      </c>
      <c r="O63" s="171" t="e">
        <f t="shared" si="40"/>
        <v>#REF!</v>
      </c>
      <c r="P63" s="171" t="e">
        <f t="shared" si="40"/>
        <v>#REF!</v>
      </c>
      <c r="Q63" s="235"/>
      <c r="R63" s="168"/>
      <c r="S63" s="145" t="s">
        <v>297</v>
      </c>
      <c r="T63" s="136" t="str">
        <f t="shared" si="7"/>
        <v>0753</v>
      </c>
      <c r="U63" s="136" t="str">
        <f t="shared" si="8"/>
        <v>7400000753</v>
      </c>
      <c r="V63" s="147">
        <f t="shared" ref="V63:AG63" si="41">D102</f>
        <v>0</v>
      </c>
      <c r="W63" s="147">
        <f t="shared" si="41"/>
        <v>0</v>
      </c>
      <c r="X63" s="147">
        <f t="shared" si="41"/>
        <v>0</v>
      </c>
      <c r="Y63" s="147">
        <f t="shared" si="41"/>
        <v>0</v>
      </c>
      <c r="Z63" s="147">
        <f t="shared" si="41"/>
        <v>-3.1832314562052488E-12</v>
      </c>
      <c r="AA63" s="147">
        <f t="shared" si="41"/>
        <v>0</v>
      </c>
      <c r="AB63" s="147">
        <f t="shared" si="41"/>
        <v>0</v>
      </c>
      <c r="AC63" s="147">
        <f t="shared" si="41"/>
        <v>0</v>
      </c>
      <c r="AD63" s="147">
        <f t="shared" si="41"/>
        <v>0</v>
      </c>
      <c r="AE63" s="147">
        <f t="shared" si="41"/>
        <v>0</v>
      </c>
      <c r="AF63" s="147">
        <f t="shared" si="41"/>
        <v>0</v>
      </c>
      <c r="AG63" s="147">
        <f t="shared" si="41"/>
        <v>0</v>
      </c>
      <c r="AH63" s="148">
        <f t="shared" si="25"/>
        <v>-3.1832314562052488E-12</v>
      </c>
      <c r="AI63" s="168"/>
      <c r="AJ63" s="168"/>
      <c r="AK63" s="168"/>
      <c r="AL63" s="168"/>
    </row>
    <row r="64" spans="1:38" s="136" customFormat="1" x14ac:dyDescent="0.2">
      <c r="B64" s="149"/>
      <c r="C64" s="138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50"/>
      <c r="S64" s="145" t="s">
        <v>298</v>
      </c>
      <c r="T64" s="136" t="str">
        <f t="shared" si="7"/>
        <v>0753</v>
      </c>
      <c r="U64" s="136" t="str">
        <f t="shared" si="8"/>
        <v>7480000753</v>
      </c>
      <c r="V64" s="147">
        <f t="shared" ref="V64:AG65" si="42">D106</f>
        <v>509.58904109589048</v>
      </c>
      <c r="W64" s="147">
        <f t="shared" si="42"/>
        <v>493.15068493150693</v>
      </c>
      <c r="X64" s="147">
        <f t="shared" si="42"/>
        <v>509.58904109589048</v>
      </c>
      <c r="Y64" s="147">
        <f t="shared" si="42"/>
        <v>509.58904109589048</v>
      </c>
      <c r="Z64" s="147">
        <f t="shared" si="42"/>
        <v>460.27397260273978</v>
      </c>
      <c r="AA64" s="147">
        <f t="shared" si="42"/>
        <v>509.58904109589048</v>
      </c>
      <c r="AB64" s="147">
        <f t="shared" si="42"/>
        <v>493.15068493150693</v>
      </c>
      <c r="AC64" s="147">
        <f t="shared" si="42"/>
        <v>509.58904109589048</v>
      </c>
      <c r="AD64" s="147">
        <f t="shared" si="42"/>
        <v>493.15068493150693</v>
      </c>
      <c r="AE64" s="147">
        <f t="shared" si="42"/>
        <v>509.58904109589048</v>
      </c>
      <c r="AF64" s="147">
        <f t="shared" si="42"/>
        <v>509.58904109589048</v>
      </c>
      <c r="AG64" s="147">
        <f t="shared" si="42"/>
        <v>493.15068493150693</v>
      </c>
      <c r="AH64" s="148">
        <f t="shared" si="25"/>
        <v>6000.0000000000018</v>
      </c>
    </row>
    <row r="65" spans="1:38" s="168" customFormat="1" x14ac:dyDescent="0.2">
      <c r="A65" s="136"/>
      <c r="B65" s="149"/>
      <c r="C65" s="138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0"/>
      <c r="R65" s="136"/>
      <c r="S65" s="145" t="s">
        <v>299</v>
      </c>
      <c r="T65" s="136" t="str">
        <f t="shared" si="7"/>
        <v>0753</v>
      </c>
      <c r="U65" s="136" t="str">
        <f t="shared" si="8"/>
        <v>7410000753</v>
      </c>
      <c r="V65" s="147">
        <f t="shared" si="42"/>
        <v>-1528.7671232876712</v>
      </c>
      <c r="W65" s="147">
        <f t="shared" si="42"/>
        <v>-1479.4520547945206</v>
      </c>
      <c r="X65" s="147">
        <f t="shared" si="42"/>
        <v>-1528.7671232876712</v>
      </c>
      <c r="Y65" s="147">
        <f t="shared" si="42"/>
        <v>-1528.7671232876712</v>
      </c>
      <c r="Z65" s="147">
        <f t="shared" si="42"/>
        <v>-1380.821917808219</v>
      </c>
      <c r="AA65" s="147">
        <f t="shared" si="42"/>
        <v>-1528.7671232876712</v>
      </c>
      <c r="AB65" s="147">
        <f t="shared" si="42"/>
        <v>-1479.4520547945206</v>
      </c>
      <c r="AC65" s="147">
        <f t="shared" si="42"/>
        <v>-1528.7671232876712</v>
      </c>
      <c r="AD65" s="147">
        <f t="shared" si="42"/>
        <v>-1479.4520547945206</v>
      </c>
      <c r="AE65" s="147">
        <f t="shared" si="42"/>
        <v>-1528.7671232876712</v>
      </c>
      <c r="AF65" s="147">
        <f t="shared" si="42"/>
        <v>-1528.7671232876712</v>
      </c>
      <c r="AG65" s="147">
        <f t="shared" si="42"/>
        <v>-1479.4520547945206</v>
      </c>
      <c r="AH65" s="148">
        <f t="shared" si="25"/>
        <v>-18000.000000000004</v>
      </c>
      <c r="AI65" s="136"/>
      <c r="AJ65" s="136"/>
      <c r="AK65" s="136"/>
      <c r="AL65" s="136"/>
    </row>
    <row r="66" spans="1:38" s="136" customFormat="1" ht="13.5" thickBot="1" x14ac:dyDescent="0.25">
      <c r="A66" s="155" t="s">
        <v>300</v>
      </c>
      <c r="B66" s="172" t="e">
        <f>B52+B54+B62</f>
        <v>#REF!</v>
      </c>
      <c r="C66" s="138"/>
      <c r="D66" s="173" t="e">
        <f t="shared" ref="D66:P66" si="43">D52+D54+D62</f>
        <v>#REF!</v>
      </c>
      <c r="E66" s="173" t="e">
        <f t="shared" si="43"/>
        <v>#REF!</v>
      </c>
      <c r="F66" s="173" t="e">
        <f t="shared" si="43"/>
        <v>#REF!</v>
      </c>
      <c r="G66" s="173" t="e">
        <f t="shared" si="43"/>
        <v>#REF!</v>
      </c>
      <c r="H66" s="173" t="e">
        <f t="shared" si="43"/>
        <v>#REF!</v>
      </c>
      <c r="I66" s="173" t="e">
        <f t="shared" si="43"/>
        <v>#REF!</v>
      </c>
      <c r="J66" s="173" t="e">
        <f t="shared" si="43"/>
        <v>#REF!</v>
      </c>
      <c r="K66" s="173" t="e">
        <f t="shared" si="43"/>
        <v>#REF!</v>
      </c>
      <c r="L66" s="173" t="e">
        <f t="shared" si="43"/>
        <v>#REF!</v>
      </c>
      <c r="M66" s="173" t="e">
        <f t="shared" si="43"/>
        <v>#REF!</v>
      </c>
      <c r="N66" s="173" t="e">
        <f t="shared" si="43"/>
        <v>#REF!</v>
      </c>
      <c r="O66" s="173" t="e">
        <f t="shared" si="43"/>
        <v>#REF!</v>
      </c>
      <c r="P66" s="173" t="e">
        <f t="shared" si="43"/>
        <v>#REF!</v>
      </c>
      <c r="Q66" s="191" t="e">
        <f>P52+P62+P99</f>
        <v>#REF!</v>
      </c>
      <c r="S66" s="145" t="s">
        <v>301</v>
      </c>
      <c r="T66" s="136" t="str">
        <f t="shared" si="7"/>
        <v>0753</v>
      </c>
      <c r="U66" s="136" t="str">
        <f t="shared" si="8"/>
        <v>7430000753</v>
      </c>
      <c r="V66" s="147">
        <f t="shared" ref="V66:AG68" si="44">D103</f>
        <v>8493.1506849315065</v>
      </c>
      <c r="W66" s="147">
        <f t="shared" si="44"/>
        <v>8219.17808219178</v>
      </c>
      <c r="X66" s="147">
        <f t="shared" si="44"/>
        <v>8493.1506849315065</v>
      </c>
      <c r="Y66" s="147">
        <f t="shared" si="44"/>
        <v>8493.1506849315065</v>
      </c>
      <c r="Z66" s="147">
        <f t="shared" si="44"/>
        <v>7671.232876712329</v>
      </c>
      <c r="AA66" s="147">
        <f t="shared" si="44"/>
        <v>8493.1506849315065</v>
      </c>
      <c r="AB66" s="147">
        <f t="shared" si="44"/>
        <v>8219.17808219178</v>
      </c>
      <c r="AC66" s="147">
        <f t="shared" si="44"/>
        <v>8493.1506849315065</v>
      </c>
      <c r="AD66" s="147">
        <f t="shared" si="44"/>
        <v>8219.17808219178</v>
      </c>
      <c r="AE66" s="147">
        <f t="shared" si="44"/>
        <v>8493.1506849315065</v>
      </c>
      <c r="AF66" s="147">
        <f t="shared" si="44"/>
        <v>8493.1506849315065</v>
      </c>
      <c r="AG66" s="147">
        <f t="shared" si="44"/>
        <v>8219.17808219178</v>
      </c>
      <c r="AH66" s="148">
        <f t="shared" si="25"/>
        <v>99999.999999999985</v>
      </c>
    </row>
    <row r="67" spans="1:38" s="136" customFormat="1" ht="13.5" thickTop="1" x14ac:dyDescent="0.2">
      <c r="A67" s="193"/>
      <c r="B67" s="149"/>
      <c r="C67" s="138"/>
      <c r="D67" s="174" t="e">
        <f>D66/D$23</f>
        <v>#REF!</v>
      </c>
      <c r="E67" s="174" t="e">
        <f t="shared" ref="E67:P67" si="45">E66/E$23</f>
        <v>#REF!</v>
      </c>
      <c r="F67" s="174" t="e">
        <f t="shared" si="45"/>
        <v>#REF!</v>
      </c>
      <c r="G67" s="174" t="e">
        <f t="shared" si="45"/>
        <v>#REF!</v>
      </c>
      <c r="H67" s="174" t="e">
        <f t="shared" si="45"/>
        <v>#REF!</v>
      </c>
      <c r="I67" s="174" t="e">
        <f t="shared" si="45"/>
        <v>#REF!</v>
      </c>
      <c r="J67" s="174" t="e">
        <f t="shared" si="45"/>
        <v>#REF!</v>
      </c>
      <c r="K67" s="174" t="e">
        <f t="shared" si="45"/>
        <v>#REF!</v>
      </c>
      <c r="L67" s="174" t="e">
        <f t="shared" si="45"/>
        <v>#REF!</v>
      </c>
      <c r="M67" s="174" t="e">
        <f t="shared" si="45"/>
        <v>#REF!</v>
      </c>
      <c r="N67" s="174" t="e">
        <f t="shared" si="45"/>
        <v>#REF!</v>
      </c>
      <c r="O67" s="174" t="e">
        <f t="shared" si="45"/>
        <v>#REF!</v>
      </c>
      <c r="P67" s="174" t="e">
        <f t="shared" si="45"/>
        <v>#REF!</v>
      </c>
      <c r="Q67" s="191">
        <f>2154000+66308</f>
        <v>2220308</v>
      </c>
      <c r="R67" s="168"/>
      <c r="S67" s="145" t="s">
        <v>302</v>
      </c>
      <c r="T67" s="136" t="str">
        <f t="shared" si="7"/>
        <v>0753</v>
      </c>
      <c r="U67" s="136" t="str">
        <f t="shared" si="8"/>
        <v>7440000753</v>
      </c>
      <c r="V67" s="147">
        <f t="shared" si="44"/>
        <v>4671.232876712329</v>
      </c>
      <c r="W67" s="147">
        <f t="shared" si="44"/>
        <v>4520.5479452054797</v>
      </c>
      <c r="X67" s="147">
        <f t="shared" si="44"/>
        <v>4671.232876712329</v>
      </c>
      <c r="Y67" s="147">
        <f t="shared" si="44"/>
        <v>4671.232876712329</v>
      </c>
      <c r="Z67" s="147">
        <f t="shared" si="44"/>
        <v>4219.178082191781</v>
      </c>
      <c r="AA67" s="147">
        <f t="shared" si="44"/>
        <v>4671.232876712329</v>
      </c>
      <c r="AB67" s="147">
        <f t="shared" si="44"/>
        <v>4520.5479452054797</v>
      </c>
      <c r="AC67" s="147">
        <f t="shared" si="44"/>
        <v>4671.232876712329</v>
      </c>
      <c r="AD67" s="147">
        <f t="shared" si="44"/>
        <v>4520.5479452054797</v>
      </c>
      <c r="AE67" s="147">
        <f t="shared" si="44"/>
        <v>4671.232876712329</v>
      </c>
      <c r="AF67" s="147">
        <f t="shared" si="44"/>
        <v>4671.232876712329</v>
      </c>
      <c r="AG67" s="147">
        <f t="shared" si="44"/>
        <v>4520.5479452054797</v>
      </c>
      <c r="AH67" s="148">
        <f t="shared" si="25"/>
        <v>54999.999999999993</v>
      </c>
      <c r="AK67" s="168"/>
      <c r="AL67" s="168"/>
    </row>
    <row r="68" spans="1:38" s="136" customFormat="1" x14ac:dyDescent="0.2">
      <c r="B68" s="149"/>
      <c r="C68" s="138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 t="e">
        <f>Q66-Q67</f>
        <v>#REF!</v>
      </c>
      <c r="S68" s="145" t="s">
        <v>303</v>
      </c>
      <c r="T68" s="136" t="str">
        <f t="shared" si="7"/>
        <v>0753</v>
      </c>
      <c r="U68" s="136" t="str">
        <f t="shared" si="8"/>
        <v>7450000753</v>
      </c>
      <c r="V68" s="147">
        <f t="shared" si="44"/>
        <v>10191.780821917808</v>
      </c>
      <c r="W68" s="147">
        <f t="shared" si="44"/>
        <v>9863.0136986301368</v>
      </c>
      <c r="X68" s="147">
        <f t="shared" si="44"/>
        <v>10191.780821917808</v>
      </c>
      <c r="Y68" s="147">
        <f t="shared" si="44"/>
        <v>10191.780821917808</v>
      </c>
      <c r="Z68" s="147">
        <f t="shared" si="44"/>
        <v>9205.4794520547948</v>
      </c>
      <c r="AA68" s="147">
        <f t="shared" si="44"/>
        <v>10191.780821917808</v>
      </c>
      <c r="AB68" s="147">
        <f t="shared" si="44"/>
        <v>9863.0136986301368</v>
      </c>
      <c r="AC68" s="147">
        <f t="shared" si="44"/>
        <v>10191.780821917808</v>
      </c>
      <c r="AD68" s="147">
        <f t="shared" si="44"/>
        <v>9863.0136986301368</v>
      </c>
      <c r="AE68" s="147">
        <f t="shared" si="44"/>
        <v>10191.780821917808</v>
      </c>
      <c r="AF68" s="147">
        <f t="shared" si="44"/>
        <v>10191.780821917808</v>
      </c>
      <c r="AG68" s="147">
        <f t="shared" si="44"/>
        <v>9863.0136986301368</v>
      </c>
      <c r="AH68" s="148">
        <f t="shared" si="25"/>
        <v>120000</v>
      </c>
    </row>
    <row r="69" spans="1:38" s="136" customFormat="1" x14ac:dyDescent="0.2">
      <c r="A69" s="155" t="s">
        <v>304</v>
      </c>
      <c r="B69" s="149"/>
      <c r="C69" s="138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50"/>
      <c r="S69" s="145" t="s">
        <v>305</v>
      </c>
      <c r="T69" s="136" t="str">
        <f t="shared" si="7"/>
        <v>0753</v>
      </c>
      <c r="U69" s="136" t="str">
        <f t="shared" si="8"/>
        <v>7310000753</v>
      </c>
      <c r="V69" s="147">
        <f t="shared" ref="V69:AG71" si="46">D112</f>
        <v>3312.3287671232879</v>
      </c>
      <c r="W69" s="147">
        <f t="shared" si="46"/>
        <v>3205.4794520547948</v>
      </c>
      <c r="X69" s="147">
        <f t="shared" si="46"/>
        <v>3312.3287671232879</v>
      </c>
      <c r="Y69" s="147">
        <f t="shared" si="46"/>
        <v>3312.3287671232879</v>
      </c>
      <c r="Z69" s="147">
        <f t="shared" si="46"/>
        <v>2991.7808219178082</v>
      </c>
      <c r="AA69" s="147">
        <f t="shared" si="46"/>
        <v>3312.3287671232879</v>
      </c>
      <c r="AB69" s="147">
        <f t="shared" si="46"/>
        <v>3205.4794520547948</v>
      </c>
      <c r="AC69" s="147">
        <f t="shared" si="46"/>
        <v>3312.3287671232879</v>
      </c>
      <c r="AD69" s="147">
        <f t="shared" si="46"/>
        <v>3205.4794520547948</v>
      </c>
      <c r="AE69" s="147">
        <f t="shared" si="46"/>
        <v>3312.3287671232879</v>
      </c>
      <c r="AF69" s="147">
        <f t="shared" si="46"/>
        <v>3312.3287671232879</v>
      </c>
      <c r="AG69" s="147">
        <f t="shared" si="46"/>
        <v>3205.4794520547948</v>
      </c>
      <c r="AH69" s="148">
        <f t="shared" si="25"/>
        <v>39000</v>
      </c>
    </row>
    <row r="70" spans="1:38" s="136" customFormat="1" x14ac:dyDescent="0.2">
      <c r="A70" s="155" t="s">
        <v>5</v>
      </c>
      <c r="B70" s="149">
        <v>17000</v>
      </c>
      <c r="C70" s="138"/>
      <c r="D70" s="147">
        <f t="shared" ref="D70:O72" si="47">($B70/$P$8)*D$8</f>
        <v>1443.8356164383561</v>
      </c>
      <c r="E70" s="147">
        <f t="shared" si="47"/>
        <v>1397.2602739726026</v>
      </c>
      <c r="F70" s="147">
        <f t="shared" si="47"/>
        <v>1443.8356164383561</v>
      </c>
      <c r="G70" s="147">
        <f t="shared" si="47"/>
        <v>1443.8356164383561</v>
      </c>
      <c r="H70" s="147">
        <f t="shared" si="47"/>
        <v>1304.1095890410959</v>
      </c>
      <c r="I70" s="147">
        <f t="shared" si="47"/>
        <v>1443.8356164383561</v>
      </c>
      <c r="J70" s="147">
        <f t="shared" si="47"/>
        <v>1397.2602739726026</v>
      </c>
      <c r="K70" s="147">
        <f t="shared" si="47"/>
        <v>1443.8356164383561</v>
      </c>
      <c r="L70" s="147">
        <f t="shared" si="47"/>
        <v>1397.2602739726026</v>
      </c>
      <c r="M70" s="147">
        <f t="shared" si="47"/>
        <v>1443.8356164383561</v>
      </c>
      <c r="N70" s="147">
        <f t="shared" si="47"/>
        <v>1443.8356164383561</v>
      </c>
      <c r="O70" s="147">
        <f t="shared" si="47"/>
        <v>1397.2602739726026</v>
      </c>
      <c r="P70" s="147">
        <f>SUM(D70:O70)</f>
        <v>17000</v>
      </c>
      <c r="Q70" s="150"/>
      <c r="S70" s="145" t="s">
        <v>306</v>
      </c>
      <c r="T70" s="136" t="str">
        <f t="shared" si="7"/>
        <v>0753</v>
      </c>
      <c r="U70" s="136" t="str">
        <f t="shared" si="8"/>
        <v>7320000753</v>
      </c>
      <c r="V70" s="147">
        <f t="shared" si="46"/>
        <v>2080.821917808219</v>
      </c>
      <c r="W70" s="147">
        <f t="shared" si="46"/>
        <v>2013.6986301369861</v>
      </c>
      <c r="X70" s="147">
        <f t="shared" si="46"/>
        <v>2080.821917808219</v>
      </c>
      <c r="Y70" s="147">
        <f t="shared" si="46"/>
        <v>2080.821917808219</v>
      </c>
      <c r="Z70" s="147">
        <f t="shared" si="46"/>
        <v>1879.4520547945203</v>
      </c>
      <c r="AA70" s="147">
        <f t="shared" si="46"/>
        <v>2080.821917808219</v>
      </c>
      <c r="AB70" s="147">
        <f t="shared" si="46"/>
        <v>2013.6986301369861</v>
      </c>
      <c r="AC70" s="147">
        <f t="shared" si="46"/>
        <v>2080.821917808219</v>
      </c>
      <c r="AD70" s="147">
        <f t="shared" si="46"/>
        <v>2013.6986301369861</v>
      </c>
      <c r="AE70" s="147">
        <f t="shared" si="46"/>
        <v>2080.821917808219</v>
      </c>
      <c r="AF70" s="147">
        <f t="shared" si="46"/>
        <v>2080.821917808219</v>
      </c>
      <c r="AG70" s="147">
        <f t="shared" si="46"/>
        <v>2013.6986301369861</v>
      </c>
      <c r="AH70" s="148">
        <f t="shared" si="25"/>
        <v>24499.999999999996</v>
      </c>
      <c r="AI70" s="168"/>
      <c r="AJ70" s="168"/>
    </row>
    <row r="71" spans="1:38" s="136" customFormat="1" x14ac:dyDescent="0.2">
      <c r="A71" s="155" t="s">
        <v>307</v>
      </c>
      <c r="B71" s="149">
        <v>1000</v>
      </c>
      <c r="C71" s="138"/>
      <c r="D71" s="147">
        <f t="shared" si="47"/>
        <v>84.93150684931507</v>
      </c>
      <c r="E71" s="147">
        <f t="shared" si="47"/>
        <v>82.191780821917803</v>
      </c>
      <c r="F71" s="147">
        <f t="shared" si="47"/>
        <v>84.93150684931507</v>
      </c>
      <c r="G71" s="147">
        <f t="shared" si="47"/>
        <v>84.93150684931507</v>
      </c>
      <c r="H71" s="147">
        <f t="shared" si="47"/>
        <v>76.712328767123282</v>
      </c>
      <c r="I71" s="147">
        <f t="shared" si="47"/>
        <v>84.93150684931507</v>
      </c>
      <c r="J71" s="147">
        <f t="shared" si="47"/>
        <v>82.191780821917803</v>
      </c>
      <c r="K71" s="147">
        <f t="shared" si="47"/>
        <v>84.93150684931507</v>
      </c>
      <c r="L71" s="147">
        <f t="shared" si="47"/>
        <v>82.191780821917803</v>
      </c>
      <c r="M71" s="147">
        <f t="shared" si="47"/>
        <v>84.93150684931507</v>
      </c>
      <c r="N71" s="147">
        <f t="shared" si="47"/>
        <v>84.93150684931507</v>
      </c>
      <c r="O71" s="147">
        <f t="shared" si="47"/>
        <v>82.191780821917803</v>
      </c>
      <c r="P71" s="147">
        <f t="shared" ref="P71:P72" si="48">SUM(D71:O71)</f>
        <v>999.99999999999977</v>
      </c>
      <c r="Q71" s="150"/>
      <c r="S71" s="145" t="s">
        <v>308</v>
      </c>
      <c r="T71" s="136" t="str">
        <f t="shared" si="7"/>
        <v>0753</v>
      </c>
      <c r="U71" s="136" t="str">
        <f t="shared" si="8"/>
        <v>7210000753</v>
      </c>
      <c r="V71" s="147">
        <f t="shared" si="46"/>
        <v>1019.178082191781</v>
      </c>
      <c r="W71" s="147">
        <f t="shared" si="46"/>
        <v>986.30136986301386</v>
      </c>
      <c r="X71" s="147">
        <f t="shared" si="46"/>
        <v>1019.178082191781</v>
      </c>
      <c r="Y71" s="147">
        <f t="shared" si="46"/>
        <v>1019.178082191781</v>
      </c>
      <c r="Z71" s="147">
        <f t="shared" si="46"/>
        <v>920.54794520547955</v>
      </c>
      <c r="AA71" s="147">
        <f t="shared" si="46"/>
        <v>1019.178082191781</v>
      </c>
      <c r="AB71" s="147">
        <f t="shared" si="46"/>
        <v>986.30136986301386</v>
      </c>
      <c r="AC71" s="147">
        <f t="shared" si="46"/>
        <v>1019.178082191781</v>
      </c>
      <c r="AD71" s="147">
        <f t="shared" si="46"/>
        <v>986.30136986301386</v>
      </c>
      <c r="AE71" s="147">
        <f t="shared" si="46"/>
        <v>1019.178082191781</v>
      </c>
      <c r="AF71" s="147">
        <f t="shared" si="46"/>
        <v>1019.178082191781</v>
      </c>
      <c r="AG71" s="147">
        <f t="shared" si="46"/>
        <v>986.30136986301386</v>
      </c>
      <c r="AH71" s="148">
        <f t="shared" si="25"/>
        <v>12000.000000000004</v>
      </c>
    </row>
    <row r="72" spans="1:38" s="136" customFormat="1" x14ac:dyDescent="0.2">
      <c r="A72" s="155" t="s">
        <v>309</v>
      </c>
      <c r="B72" s="149"/>
      <c r="C72" s="138"/>
      <c r="D72" s="147">
        <f t="shared" si="47"/>
        <v>0</v>
      </c>
      <c r="E72" s="147">
        <f t="shared" si="47"/>
        <v>0</v>
      </c>
      <c r="F72" s="147">
        <f t="shared" si="47"/>
        <v>0</v>
      </c>
      <c r="G72" s="147">
        <f t="shared" si="47"/>
        <v>0</v>
      </c>
      <c r="H72" s="147">
        <f t="shared" si="47"/>
        <v>0</v>
      </c>
      <c r="I72" s="147">
        <f t="shared" si="47"/>
        <v>0</v>
      </c>
      <c r="J72" s="147">
        <f t="shared" si="47"/>
        <v>0</v>
      </c>
      <c r="K72" s="147">
        <f t="shared" si="47"/>
        <v>0</v>
      </c>
      <c r="L72" s="147">
        <f t="shared" si="47"/>
        <v>0</v>
      </c>
      <c r="M72" s="147">
        <f t="shared" si="47"/>
        <v>0</v>
      </c>
      <c r="N72" s="147">
        <f t="shared" si="47"/>
        <v>0</v>
      </c>
      <c r="O72" s="147">
        <f t="shared" si="47"/>
        <v>0</v>
      </c>
      <c r="P72" s="147">
        <f t="shared" si="48"/>
        <v>0</v>
      </c>
      <c r="Q72" s="150"/>
      <c r="S72" s="145" t="s">
        <v>310</v>
      </c>
      <c r="T72" s="136" t="str">
        <f t="shared" si="7"/>
        <v>0753</v>
      </c>
      <c r="U72" s="136" t="str">
        <f t="shared" si="8"/>
        <v>7500000753</v>
      </c>
      <c r="V72" s="147">
        <f t="shared" ref="V72:AG75" si="49">D119</f>
        <v>424.65753424657532</v>
      </c>
      <c r="W72" s="147">
        <f t="shared" si="49"/>
        <v>410.95890410958901</v>
      </c>
      <c r="X72" s="147">
        <f t="shared" si="49"/>
        <v>424.65753424657532</v>
      </c>
      <c r="Y72" s="147">
        <f t="shared" si="49"/>
        <v>424.65753424657532</v>
      </c>
      <c r="Z72" s="147">
        <f t="shared" si="49"/>
        <v>383.56164383561645</v>
      </c>
      <c r="AA72" s="147">
        <f t="shared" si="49"/>
        <v>424.65753424657532</v>
      </c>
      <c r="AB72" s="147">
        <f t="shared" si="49"/>
        <v>410.95890410958901</v>
      </c>
      <c r="AC72" s="147">
        <f t="shared" si="49"/>
        <v>424.65753424657532</v>
      </c>
      <c r="AD72" s="147">
        <f t="shared" si="49"/>
        <v>410.95890410958901</v>
      </c>
      <c r="AE72" s="147">
        <f t="shared" si="49"/>
        <v>424.65753424657532</v>
      </c>
      <c r="AF72" s="147">
        <f t="shared" si="49"/>
        <v>424.65753424657532</v>
      </c>
      <c r="AG72" s="147">
        <f t="shared" si="49"/>
        <v>410.95890410958901</v>
      </c>
      <c r="AH72" s="148">
        <f t="shared" si="25"/>
        <v>4999.9999999999991</v>
      </c>
    </row>
    <row r="73" spans="1:38" s="168" customFormat="1" x14ac:dyDescent="0.2">
      <c r="A73" s="136"/>
      <c r="B73" s="161"/>
      <c r="C73" s="138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0"/>
      <c r="R73" s="136"/>
      <c r="S73" s="145" t="s">
        <v>311</v>
      </c>
      <c r="T73" s="136" t="str">
        <f t="shared" si="7"/>
        <v>0753</v>
      </c>
      <c r="U73" s="136" t="str">
        <f t="shared" si="8"/>
        <v>7510000753</v>
      </c>
      <c r="V73" s="147">
        <f t="shared" si="49"/>
        <v>4076.7123287671238</v>
      </c>
      <c r="W73" s="147">
        <f t="shared" si="49"/>
        <v>3945.2054794520554</v>
      </c>
      <c r="X73" s="147">
        <f t="shared" si="49"/>
        <v>4076.7123287671238</v>
      </c>
      <c r="Y73" s="147">
        <f t="shared" si="49"/>
        <v>4076.7123287671238</v>
      </c>
      <c r="Z73" s="147">
        <f t="shared" si="49"/>
        <v>3682.1917808219182</v>
      </c>
      <c r="AA73" s="147">
        <f t="shared" si="49"/>
        <v>4076.7123287671238</v>
      </c>
      <c r="AB73" s="147">
        <f t="shared" si="49"/>
        <v>3945.2054794520554</v>
      </c>
      <c r="AC73" s="147">
        <f t="shared" si="49"/>
        <v>4076.7123287671238</v>
      </c>
      <c r="AD73" s="147">
        <f t="shared" si="49"/>
        <v>3945.2054794520554</v>
      </c>
      <c r="AE73" s="147">
        <f t="shared" si="49"/>
        <v>4076.7123287671238</v>
      </c>
      <c r="AF73" s="147">
        <f t="shared" si="49"/>
        <v>4076.7123287671238</v>
      </c>
      <c r="AG73" s="147">
        <f t="shared" si="49"/>
        <v>3945.2054794520554</v>
      </c>
      <c r="AH73" s="148">
        <f t="shared" si="25"/>
        <v>48000.000000000015</v>
      </c>
      <c r="AI73" s="136"/>
      <c r="AJ73" s="136"/>
      <c r="AK73" s="136"/>
      <c r="AL73" s="136"/>
    </row>
    <row r="74" spans="1:38" s="136" customFormat="1" x14ac:dyDescent="0.2">
      <c r="A74" s="155" t="s">
        <v>312</v>
      </c>
      <c r="B74" s="175">
        <f>SUM(B70:B73)</f>
        <v>18000</v>
      </c>
      <c r="C74" s="138"/>
      <c r="D74" s="164">
        <f t="shared" ref="D74:P74" si="50">SUM(D70:D73)</f>
        <v>1528.7671232876712</v>
      </c>
      <c r="E74" s="164">
        <f t="shared" si="50"/>
        <v>1479.4520547945203</v>
      </c>
      <c r="F74" s="164">
        <f t="shared" si="50"/>
        <v>1528.7671232876712</v>
      </c>
      <c r="G74" s="164">
        <f t="shared" si="50"/>
        <v>1528.7671232876712</v>
      </c>
      <c r="H74" s="164">
        <f t="shared" si="50"/>
        <v>1380.8219178082193</v>
      </c>
      <c r="I74" s="164">
        <f t="shared" si="50"/>
        <v>1528.7671232876712</v>
      </c>
      <c r="J74" s="164">
        <f t="shared" si="50"/>
        <v>1479.4520547945203</v>
      </c>
      <c r="K74" s="164">
        <f t="shared" si="50"/>
        <v>1528.7671232876712</v>
      </c>
      <c r="L74" s="164">
        <f t="shared" si="50"/>
        <v>1479.4520547945203</v>
      </c>
      <c r="M74" s="164">
        <f t="shared" si="50"/>
        <v>1528.7671232876712</v>
      </c>
      <c r="N74" s="164">
        <f t="shared" si="50"/>
        <v>1528.7671232876712</v>
      </c>
      <c r="O74" s="164">
        <f t="shared" si="50"/>
        <v>1479.4520547945203</v>
      </c>
      <c r="P74" s="164">
        <f t="shared" si="50"/>
        <v>18000</v>
      </c>
      <c r="Q74" s="150"/>
      <c r="S74" s="145" t="s">
        <v>313</v>
      </c>
      <c r="T74" s="136" t="str">
        <f t="shared" si="7"/>
        <v>0753</v>
      </c>
      <c r="U74" s="136" t="str">
        <f t="shared" si="8"/>
        <v>6640000753</v>
      </c>
      <c r="V74" s="147">
        <f t="shared" si="49"/>
        <v>0</v>
      </c>
      <c r="W74" s="147">
        <f t="shared" si="49"/>
        <v>0</v>
      </c>
      <c r="X74" s="147">
        <f t="shared" si="49"/>
        <v>0</v>
      </c>
      <c r="Y74" s="147">
        <f t="shared" si="49"/>
        <v>0</v>
      </c>
      <c r="Z74" s="147">
        <f t="shared" si="49"/>
        <v>0</v>
      </c>
      <c r="AA74" s="147">
        <f t="shared" si="49"/>
        <v>0</v>
      </c>
      <c r="AB74" s="147">
        <f t="shared" si="49"/>
        <v>0</v>
      </c>
      <c r="AC74" s="147">
        <f t="shared" si="49"/>
        <v>0</v>
      </c>
      <c r="AD74" s="147">
        <f t="shared" si="49"/>
        <v>0</v>
      </c>
      <c r="AE74" s="147">
        <f t="shared" si="49"/>
        <v>0</v>
      </c>
      <c r="AF74" s="147">
        <f t="shared" si="49"/>
        <v>0</v>
      </c>
      <c r="AG74" s="147">
        <f t="shared" si="49"/>
        <v>0</v>
      </c>
      <c r="AH74" s="148">
        <f t="shared" ref="AH74:AH105" si="51">SUM(V74:AG74)</f>
        <v>0</v>
      </c>
    </row>
    <row r="75" spans="1:38" s="136" customFormat="1" x14ac:dyDescent="0.2">
      <c r="A75" s="168"/>
      <c r="B75" s="176" t="e">
        <f>B74/B$23</f>
        <v>#DIV/0!</v>
      </c>
      <c r="C75" s="138"/>
      <c r="D75" s="174" t="e">
        <f t="shared" ref="D75:P75" si="52">D74/D$23</f>
        <v>#DIV/0!</v>
      </c>
      <c r="E75" s="174" t="e">
        <f t="shared" si="52"/>
        <v>#DIV/0!</v>
      </c>
      <c r="F75" s="174" t="e">
        <f t="shared" si="52"/>
        <v>#DIV/0!</v>
      </c>
      <c r="G75" s="174" t="e">
        <f t="shared" si="52"/>
        <v>#DIV/0!</v>
      </c>
      <c r="H75" s="174" t="e">
        <f t="shared" si="52"/>
        <v>#DIV/0!</v>
      </c>
      <c r="I75" s="174" t="e">
        <f t="shared" si="52"/>
        <v>#DIV/0!</v>
      </c>
      <c r="J75" s="174" t="e">
        <f t="shared" si="52"/>
        <v>#DIV/0!</v>
      </c>
      <c r="K75" s="174" t="e">
        <f t="shared" si="52"/>
        <v>#DIV/0!</v>
      </c>
      <c r="L75" s="174" t="e">
        <f t="shared" si="52"/>
        <v>#DIV/0!</v>
      </c>
      <c r="M75" s="174" t="e">
        <f t="shared" si="52"/>
        <v>#DIV/0!</v>
      </c>
      <c r="N75" s="174" t="e">
        <f t="shared" si="52"/>
        <v>#DIV/0!</v>
      </c>
      <c r="O75" s="174" t="e">
        <f t="shared" si="52"/>
        <v>#DIV/0!</v>
      </c>
      <c r="P75" s="174" t="e">
        <f t="shared" si="52"/>
        <v>#DIV/0!</v>
      </c>
      <c r="Q75" s="168"/>
      <c r="R75" s="168"/>
      <c r="S75" s="145" t="s">
        <v>314</v>
      </c>
      <c r="T75" s="136" t="str">
        <f t="shared" si="7"/>
        <v>0753</v>
      </c>
      <c r="U75" s="136" t="str">
        <f t="shared" si="8"/>
        <v>7520000753</v>
      </c>
      <c r="V75" s="147">
        <f t="shared" si="49"/>
        <v>0</v>
      </c>
      <c r="W75" s="147">
        <f t="shared" si="49"/>
        <v>0</v>
      </c>
      <c r="X75" s="147">
        <f t="shared" si="49"/>
        <v>0</v>
      </c>
      <c r="Y75" s="147">
        <f t="shared" si="49"/>
        <v>0</v>
      </c>
      <c r="Z75" s="147">
        <f t="shared" si="49"/>
        <v>0</v>
      </c>
      <c r="AA75" s="147">
        <f t="shared" si="49"/>
        <v>0</v>
      </c>
      <c r="AB75" s="147">
        <f t="shared" si="49"/>
        <v>0</v>
      </c>
      <c r="AC75" s="147">
        <f t="shared" si="49"/>
        <v>0</v>
      </c>
      <c r="AD75" s="147">
        <f t="shared" si="49"/>
        <v>0</v>
      </c>
      <c r="AE75" s="147">
        <f t="shared" si="49"/>
        <v>0</v>
      </c>
      <c r="AF75" s="147">
        <f t="shared" si="49"/>
        <v>0</v>
      </c>
      <c r="AG75" s="147">
        <f t="shared" si="49"/>
        <v>0</v>
      </c>
      <c r="AH75" s="148">
        <f t="shared" si="51"/>
        <v>0</v>
      </c>
      <c r="AK75" s="168"/>
      <c r="AL75" s="168"/>
    </row>
    <row r="76" spans="1:38" s="136" customFormat="1" x14ac:dyDescent="0.2">
      <c r="B76" s="149"/>
      <c r="C76" s="138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50"/>
      <c r="S76" s="145" t="s">
        <v>315</v>
      </c>
      <c r="T76" s="136" t="str">
        <f t="shared" si="7"/>
        <v>0753</v>
      </c>
      <c r="U76" s="136" t="str">
        <f t="shared" si="8"/>
        <v>7100000753</v>
      </c>
      <c r="V76" s="147">
        <f t="shared" ref="V76:AG79" si="53">D131</f>
        <v>15584.931506849314</v>
      </c>
      <c r="W76" s="147">
        <f t="shared" si="53"/>
        <v>15082.191780821917</v>
      </c>
      <c r="X76" s="147">
        <f t="shared" si="53"/>
        <v>15584.931506849314</v>
      </c>
      <c r="Y76" s="147">
        <f t="shared" si="53"/>
        <v>15584.931506849314</v>
      </c>
      <c r="Z76" s="147">
        <f t="shared" si="53"/>
        <v>14076.712328767122</v>
      </c>
      <c r="AA76" s="147">
        <f t="shared" si="53"/>
        <v>15584.931506849314</v>
      </c>
      <c r="AB76" s="147">
        <f t="shared" si="53"/>
        <v>15082.191780821917</v>
      </c>
      <c r="AC76" s="147">
        <f t="shared" si="53"/>
        <v>15584.931506849314</v>
      </c>
      <c r="AD76" s="147">
        <f t="shared" si="53"/>
        <v>15082.191780821917</v>
      </c>
      <c r="AE76" s="147">
        <f t="shared" si="53"/>
        <v>15584.931506849314</v>
      </c>
      <c r="AF76" s="147">
        <f t="shared" si="53"/>
        <v>15584.931506849314</v>
      </c>
      <c r="AG76" s="147">
        <f t="shared" si="53"/>
        <v>15082.191780821917</v>
      </c>
      <c r="AH76" s="148">
        <f t="shared" si="51"/>
        <v>183499.99999999997</v>
      </c>
    </row>
    <row r="77" spans="1:38" s="136" customFormat="1" x14ac:dyDescent="0.2">
      <c r="A77" s="155" t="s">
        <v>316</v>
      </c>
      <c r="B77" s="149"/>
      <c r="C77" s="138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50"/>
      <c r="S77" s="145" t="s">
        <v>317</v>
      </c>
      <c r="T77" s="136" t="str">
        <f t="shared" si="7"/>
        <v>0753</v>
      </c>
      <c r="U77" s="136" t="str">
        <f t="shared" si="8"/>
        <v>7150000753</v>
      </c>
      <c r="V77" s="147">
        <f t="shared" si="53"/>
        <v>0</v>
      </c>
      <c r="W77" s="147">
        <f t="shared" si="53"/>
        <v>0</v>
      </c>
      <c r="X77" s="147">
        <f t="shared" si="53"/>
        <v>0</v>
      </c>
      <c r="Y77" s="147">
        <f t="shared" si="53"/>
        <v>0</v>
      </c>
      <c r="Z77" s="147">
        <f t="shared" si="53"/>
        <v>0</v>
      </c>
      <c r="AA77" s="147">
        <f t="shared" si="53"/>
        <v>0</v>
      </c>
      <c r="AB77" s="147">
        <f t="shared" si="53"/>
        <v>0</v>
      </c>
      <c r="AC77" s="147">
        <f t="shared" si="53"/>
        <v>0</v>
      </c>
      <c r="AD77" s="147">
        <f t="shared" si="53"/>
        <v>0</v>
      </c>
      <c r="AE77" s="147">
        <f t="shared" si="53"/>
        <v>0</v>
      </c>
      <c r="AF77" s="147">
        <f t="shared" si="53"/>
        <v>0</v>
      </c>
      <c r="AG77" s="147">
        <f t="shared" si="53"/>
        <v>0</v>
      </c>
      <c r="AH77" s="148">
        <f t="shared" si="51"/>
        <v>0</v>
      </c>
    </row>
    <row r="78" spans="1:38" s="136" customFormat="1" x14ac:dyDescent="0.2">
      <c r="A78" s="155" t="s">
        <v>318</v>
      </c>
      <c r="B78" s="149">
        <v>57000</v>
      </c>
      <c r="C78" s="138"/>
      <c r="D78" s="147">
        <f>(($B78/$P$8)*D$8)</f>
        <v>4841.0958904109584</v>
      </c>
      <c r="E78" s="147">
        <f>(($B78/$P$8)*E$8)</f>
        <v>4684.9315068493152</v>
      </c>
      <c r="F78" s="147">
        <f>(($B78/$P$8)*F$8)</f>
        <v>4841.0958904109584</v>
      </c>
      <c r="G78" s="147">
        <f>(($B78/$P$8)*G$8)</f>
        <v>4841.0958904109584</v>
      </c>
      <c r="H78" s="147">
        <f t="shared" ref="H78:O79" si="54">($B78/$P$8)*H$8</f>
        <v>4372.6027397260277</v>
      </c>
      <c r="I78" s="147">
        <f t="shared" si="54"/>
        <v>4841.0958904109584</v>
      </c>
      <c r="J78" s="147">
        <f t="shared" si="54"/>
        <v>4684.9315068493152</v>
      </c>
      <c r="K78" s="147">
        <f t="shared" si="54"/>
        <v>4841.0958904109584</v>
      </c>
      <c r="L78" s="147">
        <f t="shared" si="54"/>
        <v>4684.9315068493152</v>
      </c>
      <c r="M78" s="147">
        <f t="shared" si="54"/>
        <v>4841.0958904109584</v>
      </c>
      <c r="N78" s="147">
        <f t="shared" si="54"/>
        <v>4841.0958904109584</v>
      </c>
      <c r="O78" s="147">
        <f t="shared" si="54"/>
        <v>4684.9315068493152</v>
      </c>
      <c r="P78" s="147">
        <f t="shared" ref="P78:P85" si="55">SUM(D78:O78)</f>
        <v>56999.999999999993</v>
      </c>
      <c r="Q78" s="150"/>
      <c r="S78" s="145" t="s">
        <v>319</v>
      </c>
      <c r="T78" s="136" t="str">
        <f t="shared" si="7"/>
        <v>0753</v>
      </c>
      <c r="U78" s="136" t="str">
        <f t="shared" si="8"/>
        <v>7110000753</v>
      </c>
      <c r="V78" s="147">
        <f t="shared" si="53"/>
        <v>12527.397260273972</v>
      </c>
      <c r="W78" s="147">
        <f t="shared" si="53"/>
        <v>12123.287671232876</v>
      </c>
      <c r="X78" s="147">
        <f t="shared" si="53"/>
        <v>12527.397260273972</v>
      </c>
      <c r="Y78" s="147">
        <f t="shared" si="53"/>
        <v>12527.397260273972</v>
      </c>
      <c r="Z78" s="147">
        <f t="shared" si="53"/>
        <v>11315.068493150684</v>
      </c>
      <c r="AA78" s="147">
        <f t="shared" si="53"/>
        <v>12527.397260273972</v>
      </c>
      <c r="AB78" s="147">
        <f t="shared" si="53"/>
        <v>12123.287671232876</v>
      </c>
      <c r="AC78" s="147">
        <f t="shared" si="53"/>
        <v>12527.397260273972</v>
      </c>
      <c r="AD78" s="147">
        <f t="shared" si="53"/>
        <v>12123.287671232876</v>
      </c>
      <c r="AE78" s="147">
        <f t="shared" si="53"/>
        <v>12527.397260273972</v>
      </c>
      <c r="AF78" s="147">
        <f t="shared" si="53"/>
        <v>12527.397260273972</v>
      </c>
      <c r="AG78" s="147">
        <f t="shared" si="53"/>
        <v>12123.287671232876</v>
      </c>
      <c r="AH78" s="148">
        <f t="shared" si="51"/>
        <v>147500</v>
      </c>
      <c r="AI78" s="168"/>
      <c r="AJ78" s="168"/>
    </row>
    <row r="79" spans="1:38" s="136" customFormat="1" x14ac:dyDescent="0.2">
      <c r="A79" s="155" t="s">
        <v>320</v>
      </c>
      <c r="B79" s="149">
        <v>19000</v>
      </c>
      <c r="C79" s="138"/>
      <c r="D79" s="147">
        <f>($B79/$P$8)*D$8</f>
        <v>1613.6986301369861</v>
      </c>
      <c r="E79" s="147">
        <f>($B79/$P$8)*E$8</f>
        <v>1561.6438356164383</v>
      </c>
      <c r="F79" s="147">
        <f>($B79/$P$8)*F$8</f>
        <v>1613.6986301369861</v>
      </c>
      <c r="G79" s="147">
        <f>($B79/$P$8)*G$8</f>
        <v>1613.6986301369861</v>
      </c>
      <c r="H79" s="147">
        <f t="shared" si="54"/>
        <v>1457.5342465753424</v>
      </c>
      <c r="I79" s="147">
        <f t="shared" si="54"/>
        <v>1613.6986301369861</v>
      </c>
      <c r="J79" s="147">
        <f t="shared" si="54"/>
        <v>1561.6438356164383</v>
      </c>
      <c r="K79" s="147">
        <f t="shared" si="54"/>
        <v>1613.6986301369861</v>
      </c>
      <c r="L79" s="147">
        <f t="shared" si="54"/>
        <v>1561.6438356164383</v>
      </c>
      <c r="M79" s="147">
        <f t="shared" si="54"/>
        <v>1613.6986301369861</v>
      </c>
      <c r="N79" s="147">
        <f t="shared" si="54"/>
        <v>1613.6986301369861</v>
      </c>
      <c r="O79" s="147">
        <f t="shared" si="54"/>
        <v>1561.6438356164383</v>
      </c>
      <c r="P79" s="147">
        <f t="shared" si="55"/>
        <v>19000</v>
      </c>
      <c r="Q79" s="150"/>
      <c r="S79" s="145" t="s">
        <v>321</v>
      </c>
      <c r="T79" s="136" t="str">
        <f t="shared" si="7"/>
        <v>0753</v>
      </c>
      <c r="U79" s="136" t="str">
        <f t="shared" si="8"/>
        <v>7160000753</v>
      </c>
      <c r="V79" s="147">
        <f t="shared" si="53"/>
        <v>0</v>
      </c>
      <c r="W79" s="147">
        <f t="shared" si="53"/>
        <v>0</v>
      </c>
      <c r="X79" s="147">
        <f t="shared" si="53"/>
        <v>0</v>
      </c>
      <c r="Y79" s="147">
        <f t="shared" si="53"/>
        <v>0</v>
      </c>
      <c r="Z79" s="147">
        <f t="shared" si="53"/>
        <v>0</v>
      </c>
      <c r="AA79" s="147">
        <f t="shared" si="53"/>
        <v>0</v>
      </c>
      <c r="AB79" s="147">
        <f t="shared" si="53"/>
        <v>0</v>
      </c>
      <c r="AC79" s="147">
        <f t="shared" si="53"/>
        <v>0</v>
      </c>
      <c r="AD79" s="147">
        <f t="shared" si="53"/>
        <v>0</v>
      </c>
      <c r="AE79" s="147">
        <f t="shared" si="53"/>
        <v>0</v>
      </c>
      <c r="AF79" s="147">
        <f t="shared" si="53"/>
        <v>0</v>
      </c>
      <c r="AG79" s="147">
        <f t="shared" si="53"/>
        <v>0</v>
      </c>
      <c r="AH79" s="148">
        <f t="shared" si="51"/>
        <v>0</v>
      </c>
    </row>
    <row r="80" spans="1:38" s="136" customFormat="1" x14ac:dyDescent="0.2">
      <c r="A80" s="155" t="s">
        <v>322</v>
      </c>
      <c r="B80" s="149">
        <v>0</v>
      </c>
      <c r="C80" s="138"/>
      <c r="D80" s="147">
        <f t="shared" ref="D80:O80" si="56">($B80/($P$8))*D$8</f>
        <v>0</v>
      </c>
      <c r="E80" s="147">
        <f t="shared" si="56"/>
        <v>0</v>
      </c>
      <c r="F80" s="147">
        <f t="shared" si="56"/>
        <v>0</v>
      </c>
      <c r="G80" s="147">
        <f t="shared" si="56"/>
        <v>0</v>
      </c>
      <c r="H80" s="147">
        <f t="shared" si="56"/>
        <v>0</v>
      </c>
      <c r="I80" s="147">
        <f t="shared" si="56"/>
        <v>0</v>
      </c>
      <c r="J80" s="147">
        <f t="shared" si="56"/>
        <v>0</v>
      </c>
      <c r="K80" s="147">
        <f t="shared" si="56"/>
        <v>0</v>
      </c>
      <c r="L80" s="147">
        <f t="shared" si="56"/>
        <v>0</v>
      </c>
      <c r="M80" s="147">
        <f t="shared" si="56"/>
        <v>0</v>
      </c>
      <c r="N80" s="147">
        <f t="shared" si="56"/>
        <v>0</v>
      </c>
      <c r="O80" s="147">
        <f t="shared" si="56"/>
        <v>0</v>
      </c>
      <c r="P80" s="147">
        <f t="shared" si="55"/>
        <v>0</v>
      </c>
      <c r="Q80" s="150"/>
      <c r="S80" s="145" t="s">
        <v>323</v>
      </c>
      <c r="T80" s="136" t="str">
        <f t="shared" si="7"/>
        <v>0753</v>
      </c>
      <c r="U80" s="136" t="str">
        <f t="shared" si="8"/>
        <v>7200000753</v>
      </c>
      <c r="V80" s="147">
        <f t="shared" ref="V80:AG81" si="57">D139</f>
        <v>424.65753424657532</v>
      </c>
      <c r="W80" s="147">
        <f t="shared" si="57"/>
        <v>410.95890410958901</v>
      </c>
      <c r="X80" s="147">
        <f t="shared" si="57"/>
        <v>424.65753424657532</v>
      </c>
      <c r="Y80" s="147">
        <f t="shared" si="57"/>
        <v>424.65753424657532</v>
      </c>
      <c r="Z80" s="147">
        <f t="shared" si="57"/>
        <v>383.56164383561645</v>
      </c>
      <c r="AA80" s="147">
        <f t="shared" si="57"/>
        <v>424.65753424657532</v>
      </c>
      <c r="AB80" s="147">
        <f t="shared" si="57"/>
        <v>410.95890410958901</v>
      </c>
      <c r="AC80" s="147">
        <f t="shared" si="57"/>
        <v>424.65753424657532</v>
      </c>
      <c r="AD80" s="147">
        <f t="shared" si="57"/>
        <v>410.95890410958901</v>
      </c>
      <c r="AE80" s="147">
        <f t="shared" si="57"/>
        <v>424.65753424657532</v>
      </c>
      <c r="AF80" s="147">
        <f t="shared" si="57"/>
        <v>424.65753424657532</v>
      </c>
      <c r="AG80" s="147">
        <f t="shared" si="57"/>
        <v>410.95890410958901</v>
      </c>
      <c r="AH80" s="148">
        <f t="shared" si="51"/>
        <v>4999.9999999999991</v>
      </c>
    </row>
    <row r="81" spans="1:38" s="136" customFormat="1" x14ac:dyDescent="0.2">
      <c r="A81" s="155" t="s">
        <v>324</v>
      </c>
      <c r="B81" s="149"/>
      <c r="C81" s="138"/>
      <c r="D81" s="147">
        <f t="shared" ref="D81:O84" si="58">($B81/$P$8)*D$8</f>
        <v>0</v>
      </c>
      <c r="E81" s="147">
        <f t="shared" si="58"/>
        <v>0</v>
      </c>
      <c r="F81" s="147">
        <f t="shared" si="58"/>
        <v>0</v>
      </c>
      <c r="G81" s="147">
        <f t="shared" si="58"/>
        <v>0</v>
      </c>
      <c r="H81" s="147">
        <f t="shared" si="58"/>
        <v>0</v>
      </c>
      <c r="I81" s="147">
        <f t="shared" si="58"/>
        <v>0</v>
      </c>
      <c r="J81" s="147">
        <f t="shared" si="58"/>
        <v>0</v>
      </c>
      <c r="K81" s="147">
        <f t="shared" si="58"/>
        <v>0</v>
      </c>
      <c r="L81" s="147">
        <f t="shared" si="58"/>
        <v>0</v>
      </c>
      <c r="M81" s="147">
        <f t="shared" si="58"/>
        <v>0</v>
      </c>
      <c r="N81" s="147">
        <f t="shared" si="58"/>
        <v>0</v>
      </c>
      <c r="O81" s="147">
        <f t="shared" si="58"/>
        <v>0</v>
      </c>
      <c r="P81" s="147">
        <f t="shared" si="55"/>
        <v>0</v>
      </c>
      <c r="Q81" s="150"/>
      <c r="S81" s="145" t="s">
        <v>325</v>
      </c>
      <c r="T81" s="136" t="str">
        <f t="shared" si="7"/>
        <v>0753</v>
      </c>
      <c r="U81" s="136" t="str">
        <f t="shared" si="8"/>
        <v>7250000753</v>
      </c>
      <c r="V81" s="147">
        <f t="shared" si="57"/>
        <v>0</v>
      </c>
      <c r="W81" s="147">
        <f t="shared" si="57"/>
        <v>0</v>
      </c>
      <c r="X81" s="147">
        <f t="shared" si="57"/>
        <v>0</v>
      </c>
      <c r="Y81" s="147">
        <f t="shared" si="57"/>
        <v>0</v>
      </c>
      <c r="Z81" s="147">
        <f t="shared" si="57"/>
        <v>0</v>
      </c>
      <c r="AA81" s="147">
        <f t="shared" si="57"/>
        <v>0</v>
      </c>
      <c r="AB81" s="147">
        <f t="shared" si="57"/>
        <v>0</v>
      </c>
      <c r="AC81" s="147">
        <f t="shared" si="57"/>
        <v>0</v>
      </c>
      <c r="AD81" s="147">
        <f t="shared" si="57"/>
        <v>0</v>
      </c>
      <c r="AE81" s="147">
        <f t="shared" si="57"/>
        <v>0</v>
      </c>
      <c r="AF81" s="147">
        <f t="shared" si="57"/>
        <v>0</v>
      </c>
      <c r="AG81" s="147">
        <f t="shared" si="57"/>
        <v>0</v>
      </c>
      <c r="AH81" s="148">
        <f t="shared" si="51"/>
        <v>0</v>
      </c>
    </row>
    <row r="82" spans="1:38" s="136" customFormat="1" x14ac:dyDescent="0.2">
      <c r="A82" s="155" t="s">
        <v>326</v>
      </c>
      <c r="B82" s="149"/>
      <c r="C82" s="138"/>
      <c r="D82" s="147">
        <f t="shared" si="58"/>
        <v>0</v>
      </c>
      <c r="E82" s="147">
        <f t="shared" si="58"/>
        <v>0</v>
      </c>
      <c r="F82" s="147">
        <f t="shared" si="58"/>
        <v>0</v>
      </c>
      <c r="G82" s="147">
        <f t="shared" si="58"/>
        <v>0</v>
      </c>
      <c r="H82" s="147">
        <f t="shared" si="58"/>
        <v>0</v>
      </c>
      <c r="I82" s="147">
        <f t="shared" si="58"/>
        <v>0</v>
      </c>
      <c r="J82" s="147">
        <f t="shared" si="58"/>
        <v>0</v>
      </c>
      <c r="K82" s="147">
        <f t="shared" si="58"/>
        <v>0</v>
      </c>
      <c r="L82" s="147">
        <f t="shared" si="58"/>
        <v>0</v>
      </c>
      <c r="M82" s="147">
        <f t="shared" si="58"/>
        <v>0</v>
      </c>
      <c r="N82" s="147">
        <f t="shared" si="58"/>
        <v>0</v>
      </c>
      <c r="O82" s="147">
        <f t="shared" si="58"/>
        <v>0</v>
      </c>
      <c r="P82" s="147">
        <f t="shared" si="55"/>
        <v>0</v>
      </c>
      <c r="Q82" s="150"/>
      <c r="S82" s="145" t="s">
        <v>327</v>
      </c>
      <c r="T82" s="136" t="str">
        <f t="shared" si="7"/>
        <v>0753</v>
      </c>
      <c r="U82" s="136" t="str">
        <f t="shared" si="8"/>
        <v>7220000753</v>
      </c>
      <c r="V82" s="147">
        <f t="shared" ref="V82:AG87" si="59">D145</f>
        <v>0</v>
      </c>
      <c r="W82" s="147">
        <f t="shared" si="59"/>
        <v>0</v>
      </c>
      <c r="X82" s="147">
        <f t="shared" si="59"/>
        <v>0</v>
      </c>
      <c r="Y82" s="147">
        <f t="shared" si="59"/>
        <v>0</v>
      </c>
      <c r="Z82" s="147">
        <f t="shared" si="59"/>
        <v>0</v>
      </c>
      <c r="AA82" s="147">
        <f t="shared" si="59"/>
        <v>0</v>
      </c>
      <c r="AB82" s="147">
        <f t="shared" si="59"/>
        <v>0</v>
      </c>
      <c r="AC82" s="147">
        <f t="shared" si="59"/>
        <v>0</v>
      </c>
      <c r="AD82" s="147">
        <f t="shared" si="59"/>
        <v>0</v>
      </c>
      <c r="AE82" s="147">
        <f t="shared" si="59"/>
        <v>0</v>
      </c>
      <c r="AF82" s="147">
        <f t="shared" si="59"/>
        <v>0</v>
      </c>
      <c r="AG82" s="147">
        <f t="shared" si="59"/>
        <v>0</v>
      </c>
      <c r="AH82" s="148">
        <f t="shared" si="51"/>
        <v>0</v>
      </c>
    </row>
    <row r="83" spans="1:38" s="136" customFormat="1" x14ac:dyDescent="0.2">
      <c r="A83" s="155" t="s">
        <v>328</v>
      </c>
      <c r="B83" s="149">
        <v>1100</v>
      </c>
      <c r="C83" s="138"/>
      <c r="D83" s="147">
        <f t="shared" si="58"/>
        <v>93.424657534246577</v>
      </c>
      <c r="E83" s="147">
        <f t="shared" si="58"/>
        <v>90.410958904109592</v>
      </c>
      <c r="F83" s="147">
        <f t="shared" si="58"/>
        <v>93.424657534246577</v>
      </c>
      <c r="G83" s="147">
        <f t="shared" si="58"/>
        <v>93.424657534246577</v>
      </c>
      <c r="H83" s="147">
        <f t="shared" si="58"/>
        <v>84.38356164383562</v>
      </c>
      <c r="I83" s="147">
        <f t="shared" si="58"/>
        <v>93.424657534246577</v>
      </c>
      <c r="J83" s="147">
        <f t="shared" si="58"/>
        <v>90.410958904109592</v>
      </c>
      <c r="K83" s="147">
        <f t="shared" si="58"/>
        <v>93.424657534246577</v>
      </c>
      <c r="L83" s="147">
        <f t="shared" si="58"/>
        <v>90.410958904109592</v>
      </c>
      <c r="M83" s="147">
        <f t="shared" si="58"/>
        <v>93.424657534246577</v>
      </c>
      <c r="N83" s="147">
        <f t="shared" si="58"/>
        <v>93.424657534246577</v>
      </c>
      <c r="O83" s="147">
        <f t="shared" si="58"/>
        <v>90.410958904109592</v>
      </c>
      <c r="P83" s="147">
        <f t="shared" si="55"/>
        <v>1100</v>
      </c>
      <c r="Q83" s="150"/>
      <c r="S83" s="145" t="s">
        <v>329</v>
      </c>
      <c r="T83" s="136" t="str">
        <f t="shared" si="7"/>
        <v>0753</v>
      </c>
      <c r="U83" s="136" t="str">
        <f t="shared" si="8"/>
        <v>7270000753</v>
      </c>
      <c r="V83" s="147">
        <f t="shared" si="59"/>
        <v>0</v>
      </c>
      <c r="W83" s="147">
        <f t="shared" si="59"/>
        <v>0</v>
      </c>
      <c r="X83" s="147">
        <f t="shared" si="59"/>
        <v>0</v>
      </c>
      <c r="Y83" s="147">
        <f t="shared" si="59"/>
        <v>0</v>
      </c>
      <c r="Z83" s="147">
        <f t="shared" si="59"/>
        <v>0</v>
      </c>
      <c r="AA83" s="147">
        <f t="shared" si="59"/>
        <v>0</v>
      </c>
      <c r="AB83" s="147">
        <f t="shared" si="59"/>
        <v>0</v>
      </c>
      <c r="AC83" s="147">
        <f t="shared" si="59"/>
        <v>0</v>
      </c>
      <c r="AD83" s="147">
        <f t="shared" si="59"/>
        <v>0</v>
      </c>
      <c r="AE83" s="147">
        <f t="shared" si="59"/>
        <v>0</v>
      </c>
      <c r="AF83" s="147">
        <f t="shared" si="59"/>
        <v>0</v>
      </c>
      <c r="AG83" s="147">
        <f t="shared" si="59"/>
        <v>0</v>
      </c>
      <c r="AH83" s="148">
        <f t="shared" si="51"/>
        <v>0</v>
      </c>
    </row>
    <row r="84" spans="1:38" s="136" customFormat="1" x14ac:dyDescent="0.2">
      <c r="A84" s="155" t="s">
        <v>330</v>
      </c>
      <c r="B84" s="149"/>
      <c r="C84" s="138"/>
      <c r="D84" s="147">
        <f t="shared" si="58"/>
        <v>0</v>
      </c>
      <c r="E84" s="147">
        <f t="shared" si="58"/>
        <v>0</v>
      </c>
      <c r="F84" s="147">
        <f t="shared" si="58"/>
        <v>0</v>
      </c>
      <c r="G84" s="147">
        <f t="shared" si="58"/>
        <v>0</v>
      </c>
      <c r="H84" s="147">
        <f t="shared" si="58"/>
        <v>0</v>
      </c>
      <c r="I84" s="147">
        <f t="shared" si="58"/>
        <v>0</v>
      </c>
      <c r="J84" s="147">
        <f t="shared" si="58"/>
        <v>0</v>
      </c>
      <c r="K84" s="147">
        <f t="shared" si="58"/>
        <v>0</v>
      </c>
      <c r="L84" s="147">
        <f t="shared" si="58"/>
        <v>0</v>
      </c>
      <c r="M84" s="147">
        <f t="shared" si="58"/>
        <v>0</v>
      </c>
      <c r="N84" s="147">
        <f t="shared" si="58"/>
        <v>0</v>
      </c>
      <c r="O84" s="147">
        <f t="shared" si="58"/>
        <v>0</v>
      </c>
      <c r="P84" s="147">
        <f t="shared" si="55"/>
        <v>0</v>
      </c>
      <c r="Q84" s="150"/>
      <c r="S84" s="145" t="s">
        <v>331</v>
      </c>
      <c r="T84" s="136" t="str">
        <f t="shared" ref="T84" si="60">+$T$10</f>
        <v>0753</v>
      </c>
      <c r="U84" s="136" t="str">
        <f t="shared" ref="U84" si="61">CONCATENATE(S84,T84)</f>
        <v>7230000753</v>
      </c>
      <c r="V84" s="147">
        <f t="shared" si="59"/>
        <v>0</v>
      </c>
      <c r="W84" s="147">
        <f t="shared" si="59"/>
        <v>0</v>
      </c>
      <c r="X84" s="147">
        <f t="shared" si="59"/>
        <v>0</v>
      </c>
      <c r="Y84" s="147">
        <f t="shared" si="59"/>
        <v>0</v>
      </c>
      <c r="Z84" s="147">
        <f t="shared" si="59"/>
        <v>0</v>
      </c>
      <c r="AA84" s="147">
        <f t="shared" si="59"/>
        <v>0</v>
      </c>
      <c r="AB84" s="147">
        <f t="shared" si="59"/>
        <v>0</v>
      </c>
      <c r="AC84" s="147">
        <f t="shared" si="59"/>
        <v>0</v>
      </c>
      <c r="AD84" s="147">
        <f t="shared" si="59"/>
        <v>0</v>
      </c>
      <c r="AE84" s="147">
        <f t="shared" si="59"/>
        <v>0</v>
      </c>
      <c r="AF84" s="147">
        <f t="shared" si="59"/>
        <v>0</v>
      </c>
      <c r="AG84" s="147">
        <f t="shared" si="59"/>
        <v>0</v>
      </c>
      <c r="AH84" s="148">
        <f t="shared" si="51"/>
        <v>0</v>
      </c>
    </row>
    <row r="85" spans="1:38" s="168" customFormat="1" x14ac:dyDescent="0.2">
      <c r="A85" s="155" t="s">
        <v>332</v>
      </c>
      <c r="B85" s="149">
        <v>37000</v>
      </c>
      <c r="C85" s="138"/>
      <c r="D85" s="147">
        <f>(($B85/$P$8)*D$8)</f>
        <v>3142.4657534246576</v>
      </c>
      <c r="E85" s="147">
        <f>(($B85/$P$8)*E$8)</f>
        <v>3041.0958904109589</v>
      </c>
      <c r="F85" s="147">
        <f>(($B85/$P$8)*F$8)</f>
        <v>3142.4657534246576</v>
      </c>
      <c r="G85" s="147">
        <f>(($B85/$P$8)*G$8)</f>
        <v>3142.4657534246576</v>
      </c>
      <c r="H85" s="147">
        <f t="shared" ref="H85:O85" si="62">($B85/$P$8)*H$8</f>
        <v>2838.3561643835619</v>
      </c>
      <c r="I85" s="147">
        <f t="shared" si="62"/>
        <v>3142.4657534246576</v>
      </c>
      <c r="J85" s="147">
        <f t="shared" si="62"/>
        <v>3041.0958904109589</v>
      </c>
      <c r="K85" s="147">
        <f t="shared" si="62"/>
        <v>3142.4657534246576</v>
      </c>
      <c r="L85" s="147">
        <f t="shared" si="62"/>
        <v>3041.0958904109589</v>
      </c>
      <c r="M85" s="147">
        <f t="shared" si="62"/>
        <v>3142.4657534246576</v>
      </c>
      <c r="N85" s="147">
        <f t="shared" si="62"/>
        <v>3142.4657534246576</v>
      </c>
      <c r="O85" s="147">
        <f t="shared" si="62"/>
        <v>3041.0958904109589</v>
      </c>
      <c r="P85" s="147">
        <f t="shared" si="55"/>
        <v>36999.999999999993</v>
      </c>
      <c r="Q85" s="150"/>
      <c r="R85" s="136"/>
      <c r="S85" s="145"/>
      <c r="T85" s="136"/>
      <c r="U85" s="136"/>
      <c r="V85" s="147">
        <f t="shared" si="59"/>
        <v>0</v>
      </c>
      <c r="W85" s="147">
        <f t="shared" si="59"/>
        <v>0</v>
      </c>
      <c r="X85" s="147">
        <f t="shared" si="59"/>
        <v>0</v>
      </c>
      <c r="Y85" s="147">
        <f t="shared" si="59"/>
        <v>0</v>
      </c>
      <c r="Z85" s="147">
        <f t="shared" si="59"/>
        <v>0</v>
      </c>
      <c r="AA85" s="147">
        <f t="shared" si="59"/>
        <v>0</v>
      </c>
      <c r="AB85" s="147">
        <f t="shared" si="59"/>
        <v>0</v>
      </c>
      <c r="AC85" s="147">
        <f t="shared" si="59"/>
        <v>0</v>
      </c>
      <c r="AD85" s="147">
        <f t="shared" si="59"/>
        <v>0</v>
      </c>
      <c r="AE85" s="147">
        <f t="shared" si="59"/>
        <v>0</v>
      </c>
      <c r="AF85" s="147">
        <f t="shared" si="59"/>
        <v>0</v>
      </c>
      <c r="AG85" s="147">
        <f t="shared" si="59"/>
        <v>0</v>
      </c>
      <c r="AH85" s="148">
        <f t="shared" si="51"/>
        <v>0</v>
      </c>
      <c r="AI85" s="136"/>
      <c r="AJ85" s="136"/>
      <c r="AK85" s="136"/>
      <c r="AL85" s="136"/>
    </row>
    <row r="86" spans="1:38" s="168" customFormat="1" x14ac:dyDescent="0.2">
      <c r="A86" s="136"/>
      <c r="B86" s="151"/>
      <c r="C86" s="138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0"/>
      <c r="R86" s="136"/>
      <c r="S86" s="145" t="s">
        <v>333</v>
      </c>
      <c r="T86" s="136" t="str">
        <f t="shared" ref="T86:T91" si="63">+$T$10</f>
        <v>0753</v>
      </c>
      <c r="U86" s="136" t="str">
        <f t="shared" ref="U86:U91" si="64">CONCATENATE(S86,T86)</f>
        <v>7300000753</v>
      </c>
      <c r="V86" s="147">
        <f t="shared" si="59"/>
        <v>212.32876712328766</v>
      </c>
      <c r="W86" s="147">
        <f t="shared" si="59"/>
        <v>205.47945205479451</v>
      </c>
      <c r="X86" s="147">
        <f t="shared" si="59"/>
        <v>212.32876712328766</v>
      </c>
      <c r="Y86" s="147">
        <f t="shared" si="59"/>
        <v>212.32876712328766</v>
      </c>
      <c r="Z86" s="147">
        <f t="shared" si="59"/>
        <v>191.78082191780823</v>
      </c>
      <c r="AA86" s="147">
        <f t="shared" si="59"/>
        <v>212.32876712328766</v>
      </c>
      <c r="AB86" s="147">
        <f t="shared" si="59"/>
        <v>205.47945205479451</v>
      </c>
      <c r="AC86" s="147">
        <f t="shared" si="59"/>
        <v>212.32876712328766</v>
      </c>
      <c r="AD86" s="147">
        <f t="shared" si="59"/>
        <v>205.47945205479451</v>
      </c>
      <c r="AE86" s="147">
        <f t="shared" si="59"/>
        <v>212.32876712328766</v>
      </c>
      <c r="AF86" s="147">
        <f t="shared" si="59"/>
        <v>212.32876712328766</v>
      </c>
      <c r="AG86" s="147">
        <f t="shared" si="59"/>
        <v>205.47945205479451</v>
      </c>
      <c r="AH86" s="148">
        <f t="shared" si="51"/>
        <v>2499.9999999999995</v>
      </c>
      <c r="AI86" s="136"/>
      <c r="AJ86" s="136"/>
      <c r="AK86" s="136"/>
      <c r="AL86" s="136"/>
    </row>
    <row r="87" spans="1:38" s="136" customFormat="1" x14ac:dyDescent="0.2">
      <c r="A87" s="155" t="s">
        <v>334</v>
      </c>
      <c r="B87" s="175">
        <f>SUM(B78:B86)</f>
        <v>114100</v>
      </c>
      <c r="C87" s="138"/>
      <c r="D87" s="164">
        <f t="shared" ref="D87:P87" si="65">SUM(D78:D86)</f>
        <v>9690.6849315068484</v>
      </c>
      <c r="E87" s="164">
        <f t="shared" si="65"/>
        <v>9378.0821917808225</v>
      </c>
      <c r="F87" s="164">
        <f t="shared" si="65"/>
        <v>9690.6849315068484</v>
      </c>
      <c r="G87" s="164">
        <f t="shared" si="65"/>
        <v>9690.6849315068484</v>
      </c>
      <c r="H87" s="164">
        <f t="shared" si="65"/>
        <v>8752.8767123287671</v>
      </c>
      <c r="I87" s="164">
        <f t="shared" si="65"/>
        <v>9690.6849315068484</v>
      </c>
      <c r="J87" s="164">
        <f t="shared" si="65"/>
        <v>9378.0821917808225</v>
      </c>
      <c r="K87" s="164">
        <f t="shared" si="65"/>
        <v>9690.6849315068484</v>
      </c>
      <c r="L87" s="164">
        <f t="shared" si="65"/>
        <v>9378.0821917808225</v>
      </c>
      <c r="M87" s="164">
        <f t="shared" si="65"/>
        <v>9690.6849315068484</v>
      </c>
      <c r="N87" s="164">
        <f t="shared" si="65"/>
        <v>9690.6849315068484</v>
      </c>
      <c r="O87" s="164">
        <f t="shared" si="65"/>
        <v>9378.0821917808225</v>
      </c>
      <c r="P87" s="164">
        <f t="shared" si="65"/>
        <v>114100</v>
      </c>
      <c r="Q87" s="150"/>
      <c r="R87" s="168"/>
      <c r="S87" s="145" t="s">
        <v>335</v>
      </c>
      <c r="T87" s="136" t="str">
        <f t="shared" si="63"/>
        <v>0753</v>
      </c>
      <c r="U87" s="136" t="str">
        <f t="shared" si="64"/>
        <v>7350000753</v>
      </c>
      <c r="V87" s="147">
        <f t="shared" si="59"/>
        <v>0</v>
      </c>
      <c r="W87" s="147">
        <f t="shared" si="59"/>
        <v>0</v>
      </c>
      <c r="X87" s="147">
        <f t="shared" si="59"/>
        <v>0</v>
      </c>
      <c r="Y87" s="147">
        <f t="shared" si="59"/>
        <v>0</v>
      </c>
      <c r="Z87" s="147">
        <f t="shared" si="59"/>
        <v>0</v>
      </c>
      <c r="AA87" s="147">
        <f t="shared" si="59"/>
        <v>0</v>
      </c>
      <c r="AB87" s="147">
        <f t="shared" si="59"/>
        <v>0</v>
      </c>
      <c r="AC87" s="147">
        <f t="shared" si="59"/>
        <v>0</v>
      </c>
      <c r="AD87" s="147">
        <f t="shared" si="59"/>
        <v>0</v>
      </c>
      <c r="AE87" s="147">
        <f t="shared" si="59"/>
        <v>0</v>
      </c>
      <c r="AF87" s="147">
        <f t="shared" si="59"/>
        <v>0</v>
      </c>
      <c r="AG87" s="147">
        <f t="shared" si="59"/>
        <v>0</v>
      </c>
      <c r="AH87" s="148">
        <f t="shared" si="51"/>
        <v>0</v>
      </c>
      <c r="AK87" s="168"/>
      <c r="AL87" s="168"/>
    </row>
    <row r="88" spans="1:38" s="136" customFormat="1" x14ac:dyDescent="0.2">
      <c r="A88" s="168"/>
      <c r="B88" s="176" t="e">
        <f>B87/B$23</f>
        <v>#DIV/0!</v>
      </c>
      <c r="C88" s="138"/>
      <c r="D88" s="174" t="e">
        <f t="shared" ref="D88:P88" si="66">D87/D$23</f>
        <v>#DIV/0!</v>
      </c>
      <c r="E88" s="174" t="e">
        <f t="shared" si="66"/>
        <v>#DIV/0!</v>
      </c>
      <c r="F88" s="174" t="e">
        <f t="shared" si="66"/>
        <v>#DIV/0!</v>
      </c>
      <c r="G88" s="174" t="e">
        <f t="shared" si="66"/>
        <v>#DIV/0!</v>
      </c>
      <c r="H88" s="174" t="e">
        <f t="shared" si="66"/>
        <v>#DIV/0!</v>
      </c>
      <c r="I88" s="174" t="e">
        <f t="shared" si="66"/>
        <v>#DIV/0!</v>
      </c>
      <c r="J88" s="174" t="e">
        <f t="shared" si="66"/>
        <v>#DIV/0!</v>
      </c>
      <c r="K88" s="174" t="e">
        <f t="shared" si="66"/>
        <v>#DIV/0!</v>
      </c>
      <c r="L88" s="174" t="e">
        <f t="shared" si="66"/>
        <v>#DIV/0!</v>
      </c>
      <c r="M88" s="174" t="e">
        <f t="shared" si="66"/>
        <v>#DIV/0!</v>
      </c>
      <c r="N88" s="174" t="e">
        <f t="shared" si="66"/>
        <v>#DIV/0!</v>
      </c>
      <c r="O88" s="174" t="e">
        <f t="shared" si="66"/>
        <v>#DIV/0!</v>
      </c>
      <c r="P88" s="174" t="e">
        <f t="shared" si="66"/>
        <v>#DIV/0!</v>
      </c>
      <c r="Q88" s="168"/>
      <c r="R88" s="168"/>
      <c r="S88" s="145" t="s">
        <v>336</v>
      </c>
      <c r="T88" s="136" t="str">
        <f t="shared" si="63"/>
        <v>0753</v>
      </c>
      <c r="U88" s="136" t="str">
        <f t="shared" si="64"/>
        <v>7530000753</v>
      </c>
      <c r="V88" s="147">
        <f t="shared" ref="V88:AG88" si="67">D161</f>
        <v>0</v>
      </c>
      <c r="W88" s="147">
        <f t="shared" si="67"/>
        <v>0</v>
      </c>
      <c r="X88" s="147">
        <f t="shared" si="67"/>
        <v>0</v>
      </c>
      <c r="Y88" s="147">
        <f t="shared" si="67"/>
        <v>0</v>
      </c>
      <c r="Z88" s="147">
        <f t="shared" si="67"/>
        <v>0</v>
      </c>
      <c r="AA88" s="147">
        <f t="shared" si="67"/>
        <v>0</v>
      </c>
      <c r="AB88" s="147">
        <f t="shared" si="67"/>
        <v>0</v>
      </c>
      <c r="AC88" s="147">
        <f t="shared" si="67"/>
        <v>0</v>
      </c>
      <c r="AD88" s="147">
        <f t="shared" si="67"/>
        <v>0</v>
      </c>
      <c r="AE88" s="147">
        <f t="shared" si="67"/>
        <v>0</v>
      </c>
      <c r="AF88" s="147">
        <f t="shared" si="67"/>
        <v>0</v>
      </c>
      <c r="AG88" s="147">
        <f t="shared" si="67"/>
        <v>0</v>
      </c>
      <c r="AH88" s="148">
        <f t="shared" si="51"/>
        <v>0</v>
      </c>
      <c r="AK88" s="168"/>
      <c r="AL88" s="168"/>
    </row>
    <row r="89" spans="1:38" s="136" customFormat="1" x14ac:dyDescent="0.2">
      <c r="A89" s="168"/>
      <c r="B89" s="149"/>
      <c r="C89" s="138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68"/>
      <c r="S89" s="145" t="s">
        <v>337</v>
      </c>
      <c r="T89" s="136" t="str">
        <f t="shared" si="63"/>
        <v>0753</v>
      </c>
      <c r="U89" s="136" t="str">
        <f t="shared" si="64"/>
        <v>6510000753</v>
      </c>
      <c r="V89" s="147">
        <f t="shared" ref="V89:V100" si="68">D166</f>
        <v>39.06849315068493</v>
      </c>
      <c r="W89" s="147">
        <f t="shared" ref="W89:W100" si="69">E166</f>
        <v>37.80821917808219</v>
      </c>
      <c r="X89" s="147">
        <f t="shared" ref="X89:X100" si="70">F166</f>
        <v>39.06849315068493</v>
      </c>
      <c r="Y89" s="147">
        <f t="shared" ref="Y89:Y100" si="71">G166</f>
        <v>39.06849315068493</v>
      </c>
      <c r="Z89" s="147">
        <f t="shared" ref="Z89:Z100" si="72">H166</f>
        <v>35.287671232876711</v>
      </c>
      <c r="AA89" s="147">
        <f t="shared" ref="AA89:AA100" si="73">I166</f>
        <v>39.06849315068493</v>
      </c>
      <c r="AB89" s="147">
        <f t="shared" ref="AB89:AB100" si="74">J166</f>
        <v>37.80821917808219</v>
      </c>
      <c r="AC89" s="147">
        <f t="shared" ref="AC89:AC100" si="75">K166</f>
        <v>39.06849315068493</v>
      </c>
      <c r="AD89" s="147">
        <f t="shared" ref="AD89:AD100" si="76">L166</f>
        <v>37.80821917808219</v>
      </c>
      <c r="AE89" s="147">
        <f t="shared" ref="AE89:AE100" si="77">M166</f>
        <v>39.06849315068493</v>
      </c>
      <c r="AF89" s="147">
        <f t="shared" ref="AF89:AF100" si="78">N166</f>
        <v>39.06849315068493</v>
      </c>
      <c r="AG89" s="147">
        <f t="shared" ref="AG89:AG100" si="79">O166</f>
        <v>37.80821917808219</v>
      </c>
      <c r="AH89" s="148">
        <f t="shared" si="51"/>
        <v>459.99999999999994</v>
      </c>
    </row>
    <row r="90" spans="1:38" s="136" customFormat="1" x14ac:dyDescent="0.2">
      <c r="A90" s="155" t="s">
        <v>338</v>
      </c>
      <c r="B90" s="149"/>
      <c r="C90" s="138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50"/>
      <c r="S90" s="145" t="s">
        <v>339</v>
      </c>
      <c r="T90" s="136" t="str">
        <f t="shared" si="63"/>
        <v>0753</v>
      </c>
      <c r="U90" s="136" t="str">
        <f t="shared" si="64"/>
        <v>6520000753</v>
      </c>
      <c r="V90" s="147">
        <f t="shared" si="68"/>
        <v>0</v>
      </c>
      <c r="W90" s="147">
        <f t="shared" si="69"/>
        <v>0</v>
      </c>
      <c r="X90" s="147">
        <f t="shared" si="70"/>
        <v>0</v>
      </c>
      <c r="Y90" s="147">
        <f t="shared" si="71"/>
        <v>0</v>
      </c>
      <c r="Z90" s="147">
        <f t="shared" si="72"/>
        <v>0</v>
      </c>
      <c r="AA90" s="147">
        <f t="shared" si="73"/>
        <v>0</v>
      </c>
      <c r="AB90" s="147">
        <f t="shared" si="74"/>
        <v>0</v>
      </c>
      <c r="AC90" s="147">
        <f t="shared" si="75"/>
        <v>0</v>
      </c>
      <c r="AD90" s="147">
        <f t="shared" si="76"/>
        <v>0</v>
      </c>
      <c r="AE90" s="147">
        <f t="shared" si="77"/>
        <v>0</v>
      </c>
      <c r="AF90" s="147">
        <f t="shared" si="78"/>
        <v>0</v>
      </c>
      <c r="AG90" s="147">
        <f t="shared" si="79"/>
        <v>0</v>
      </c>
      <c r="AH90" s="148">
        <f t="shared" si="51"/>
        <v>0</v>
      </c>
      <c r="AI90" s="168"/>
      <c r="AJ90" s="168"/>
    </row>
    <row r="91" spans="1:38" s="136" customFormat="1" x14ac:dyDescent="0.2">
      <c r="B91" s="149"/>
      <c r="C91" s="138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50"/>
      <c r="S91" s="145" t="s">
        <v>340</v>
      </c>
      <c r="T91" s="136" t="str">
        <f t="shared" si="63"/>
        <v>0753</v>
      </c>
      <c r="U91" s="136" t="str">
        <f t="shared" si="64"/>
        <v>6530000753</v>
      </c>
      <c r="V91" s="147">
        <f t="shared" si="68"/>
        <v>0</v>
      </c>
      <c r="W91" s="147">
        <f t="shared" si="69"/>
        <v>0</v>
      </c>
      <c r="X91" s="147">
        <f t="shared" si="70"/>
        <v>0</v>
      </c>
      <c r="Y91" s="147">
        <f t="shared" si="71"/>
        <v>0</v>
      </c>
      <c r="Z91" s="147">
        <f t="shared" si="72"/>
        <v>0</v>
      </c>
      <c r="AA91" s="147">
        <f t="shared" si="73"/>
        <v>0</v>
      </c>
      <c r="AB91" s="147">
        <f t="shared" si="74"/>
        <v>0</v>
      </c>
      <c r="AC91" s="147">
        <f t="shared" si="75"/>
        <v>0</v>
      </c>
      <c r="AD91" s="147">
        <f t="shared" si="76"/>
        <v>0</v>
      </c>
      <c r="AE91" s="147">
        <f t="shared" si="77"/>
        <v>0</v>
      </c>
      <c r="AF91" s="147">
        <f t="shared" si="78"/>
        <v>0</v>
      </c>
      <c r="AG91" s="147">
        <f t="shared" si="79"/>
        <v>0</v>
      </c>
      <c r="AH91" s="148">
        <f t="shared" si="51"/>
        <v>0</v>
      </c>
      <c r="AI91" s="168"/>
      <c r="AJ91" s="168"/>
    </row>
    <row r="92" spans="1:38" s="136" customFormat="1" x14ac:dyDescent="0.2">
      <c r="A92" s="155" t="s">
        <v>341</v>
      </c>
      <c r="B92" s="149"/>
      <c r="C92" s="138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50"/>
      <c r="S92" s="145"/>
      <c r="V92" s="147">
        <f t="shared" si="68"/>
        <v>0</v>
      </c>
      <c r="W92" s="147">
        <f t="shared" si="69"/>
        <v>0</v>
      </c>
      <c r="X92" s="147">
        <f t="shared" si="70"/>
        <v>0</v>
      </c>
      <c r="Y92" s="147">
        <f t="shared" si="71"/>
        <v>0</v>
      </c>
      <c r="Z92" s="147">
        <f t="shared" si="72"/>
        <v>0</v>
      </c>
      <c r="AA92" s="147">
        <f t="shared" si="73"/>
        <v>0</v>
      </c>
      <c r="AB92" s="147">
        <f t="shared" si="74"/>
        <v>0</v>
      </c>
      <c r="AC92" s="147">
        <f t="shared" si="75"/>
        <v>0</v>
      </c>
      <c r="AD92" s="147">
        <f t="shared" si="76"/>
        <v>0</v>
      </c>
      <c r="AE92" s="147">
        <f t="shared" si="77"/>
        <v>0</v>
      </c>
      <c r="AF92" s="147">
        <f t="shared" si="78"/>
        <v>0</v>
      </c>
      <c r="AG92" s="147">
        <f t="shared" si="79"/>
        <v>0</v>
      </c>
      <c r="AH92" s="148">
        <f t="shared" si="51"/>
        <v>0</v>
      </c>
    </row>
    <row r="93" spans="1:38" s="136" customFormat="1" x14ac:dyDescent="0.2">
      <c r="A93" s="155" t="s">
        <v>342</v>
      </c>
      <c r="B93" s="149"/>
      <c r="C93" s="138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50"/>
      <c r="S93" s="145" t="s">
        <v>343</v>
      </c>
      <c r="T93" s="136" t="str">
        <f t="shared" ref="T93:T109" si="80">+$T$10</f>
        <v>0753</v>
      </c>
      <c r="U93" s="136" t="str">
        <f t="shared" ref="U93:U109" si="81">CONCATENATE(S93,T93)</f>
        <v>6540000753</v>
      </c>
      <c r="V93" s="147">
        <f t="shared" si="68"/>
        <v>0</v>
      </c>
      <c r="W93" s="147">
        <f t="shared" si="69"/>
        <v>0</v>
      </c>
      <c r="X93" s="147">
        <f t="shared" si="70"/>
        <v>0</v>
      </c>
      <c r="Y93" s="147">
        <f t="shared" si="71"/>
        <v>0</v>
      </c>
      <c r="Z93" s="147">
        <f t="shared" si="72"/>
        <v>0</v>
      </c>
      <c r="AA93" s="147">
        <f t="shared" si="73"/>
        <v>0</v>
      </c>
      <c r="AB93" s="147">
        <f t="shared" si="74"/>
        <v>0</v>
      </c>
      <c r="AC93" s="147">
        <f t="shared" si="75"/>
        <v>0</v>
      </c>
      <c r="AD93" s="147">
        <f t="shared" si="76"/>
        <v>0</v>
      </c>
      <c r="AE93" s="147">
        <f t="shared" si="77"/>
        <v>0</v>
      </c>
      <c r="AF93" s="147">
        <f t="shared" si="78"/>
        <v>0</v>
      </c>
      <c r="AG93" s="147">
        <f t="shared" si="79"/>
        <v>0</v>
      </c>
      <c r="AH93" s="148">
        <f t="shared" si="51"/>
        <v>0</v>
      </c>
    </row>
    <row r="94" spans="1:38" s="136" customFormat="1" x14ac:dyDescent="0.2">
      <c r="A94" s="155" t="s">
        <v>344</v>
      </c>
      <c r="B94" s="149" t="e">
        <f>+#REF!</f>
        <v>#REF!</v>
      </c>
      <c r="C94" s="138"/>
      <c r="D94" s="147" t="e">
        <f t="shared" ref="D94:O97" si="82">($B94/$P$8)*D$8</f>
        <v>#REF!</v>
      </c>
      <c r="E94" s="147" t="e">
        <f t="shared" si="82"/>
        <v>#REF!</v>
      </c>
      <c r="F94" s="147" t="e">
        <f t="shared" si="82"/>
        <v>#REF!</v>
      </c>
      <c r="G94" s="147" t="e">
        <f t="shared" si="82"/>
        <v>#REF!</v>
      </c>
      <c r="H94" s="147" t="e">
        <f t="shared" si="82"/>
        <v>#REF!</v>
      </c>
      <c r="I94" s="147" t="e">
        <f t="shared" si="82"/>
        <v>#REF!</v>
      </c>
      <c r="J94" s="147" t="e">
        <f t="shared" si="82"/>
        <v>#REF!</v>
      </c>
      <c r="K94" s="147" t="e">
        <f t="shared" si="82"/>
        <v>#REF!</v>
      </c>
      <c r="L94" s="147" t="e">
        <f t="shared" si="82"/>
        <v>#REF!</v>
      </c>
      <c r="M94" s="147" t="e">
        <f t="shared" si="82"/>
        <v>#REF!</v>
      </c>
      <c r="N94" s="147" t="e">
        <f t="shared" si="82"/>
        <v>#REF!</v>
      </c>
      <c r="O94" s="147" t="e">
        <f t="shared" si="82"/>
        <v>#REF!</v>
      </c>
      <c r="P94" s="147" t="e">
        <f>SUM(D94:O94)</f>
        <v>#REF!</v>
      </c>
      <c r="Q94" s="150"/>
      <c r="S94" s="145" t="s">
        <v>345</v>
      </c>
      <c r="T94" s="136" t="str">
        <f t="shared" si="80"/>
        <v>0753</v>
      </c>
      <c r="U94" s="136" t="str">
        <f t="shared" si="81"/>
        <v>6550000753</v>
      </c>
      <c r="V94" s="147">
        <f t="shared" si="68"/>
        <v>0</v>
      </c>
      <c r="W94" s="147">
        <f t="shared" si="69"/>
        <v>0</v>
      </c>
      <c r="X94" s="147">
        <f t="shared" si="70"/>
        <v>0</v>
      </c>
      <c r="Y94" s="147">
        <f t="shared" si="71"/>
        <v>0</v>
      </c>
      <c r="Z94" s="147">
        <f t="shared" si="72"/>
        <v>0</v>
      </c>
      <c r="AA94" s="147">
        <f t="shared" si="73"/>
        <v>0</v>
      </c>
      <c r="AB94" s="147">
        <f t="shared" si="74"/>
        <v>0</v>
      </c>
      <c r="AC94" s="147">
        <f t="shared" si="75"/>
        <v>0</v>
      </c>
      <c r="AD94" s="147">
        <f t="shared" si="76"/>
        <v>0</v>
      </c>
      <c r="AE94" s="147">
        <f t="shared" si="77"/>
        <v>0</v>
      </c>
      <c r="AF94" s="147">
        <f t="shared" si="78"/>
        <v>0</v>
      </c>
      <c r="AG94" s="147">
        <f t="shared" si="79"/>
        <v>0</v>
      </c>
      <c r="AH94" s="148">
        <f t="shared" si="51"/>
        <v>0</v>
      </c>
    </row>
    <row r="95" spans="1:38" s="136" customFormat="1" x14ac:dyDescent="0.2">
      <c r="A95" s="155" t="s">
        <v>346</v>
      </c>
      <c r="B95" s="149" t="e">
        <f>+#REF!</f>
        <v>#REF!</v>
      </c>
      <c r="C95" s="138"/>
      <c r="D95" s="147" t="e">
        <f t="shared" si="82"/>
        <v>#REF!</v>
      </c>
      <c r="E95" s="147" t="e">
        <f t="shared" si="82"/>
        <v>#REF!</v>
      </c>
      <c r="F95" s="147" t="e">
        <f t="shared" si="82"/>
        <v>#REF!</v>
      </c>
      <c r="G95" s="147" t="e">
        <f t="shared" si="82"/>
        <v>#REF!</v>
      </c>
      <c r="H95" s="147" t="e">
        <f t="shared" si="82"/>
        <v>#REF!</v>
      </c>
      <c r="I95" s="147" t="e">
        <f t="shared" si="82"/>
        <v>#REF!</v>
      </c>
      <c r="J95" s="147" t="e">
        <f t="shared" si="82"/>
        <v>#REF!</v>
      </c>
      <c r="K95" s="147" t="e">
        <f t="shared" si="82"/>
        <v>#REF!</v>
      </c>
      <c r="L95" s="147" t="e">
        <f t="shared" si="82"/>
        <v>#REF!</v>
      </c>
      <c r="M95" s="147" t="e">
        <f t="shared" si="82"/>
        <v>#REF!</v>
      </c>
      <c r="N95" s="147" t="e">
        <f t="shared" si="82"/>
        <v>#REF!</v>
      </c>
      <c r="O95" s="147" t="e">
        <f t="shared" si="82"/>
        <v>#REF!</v>
      </c>
      <c r="P95" s="147" t="e">
        <f>SUM(D95:O95)</f>
        <v>#REF!</v>
      </c>
      <c r="Q95" s="150"/>
      <c r="S95" s="145" t="s">
        <v>347</v>
      </c>
      <c r="T95" s="136" t="str">
        <f t="shared" si="80"/>
        <v>0753</v>
      </c>
      <c r="U95" s="136" t="str">
        <f t="shared" si="81"/>
        <v>6560000753</v>
      </c>
      <c r="V95" s="147">
        <f t="shared" si="68"/>
        <v>93.424657534246577</v>
      </c>
      <c r="W95" s="147">
        <f t="shared" si="69"/>
        <v>90.410958904109592</v>
      </c>
      <c r="X95" s="147">
        <f t="shared" si="70"/>
        <v>93.424657534246577</v>
      </c>
      <c r="Y95" s="147">
        <f t="shared" si="71"/>
        <v>93.424657534246577</v>
      </c>
      <c r="Z95" s="147">
        <f t="shared" si="72"/>
        <v>84.38356164383562</v>
      </c>
      <c r="AA95" s="147">
        <f t="shared" si="73"/>
        <v>93.424657534246577</v>
      </c>
      <c r="AB95" s="147">
        <f t="shared" si="74"/>
        <v>90.410958904109592</v>
      </c>
      <c r="AC95" s="147">
        <f t="shared" si="75"/>
        <v>93.424657534246577</v>
      </c>
      <c r="AD95" s="147">
        <f t="shared" si="76"/>
        <v>90.410958904109592</v>
      </c>
      <c r="AE95" s="147">
        <f t="shared" si="77"/>
        <v>93.424657534246577</v>
      </c>
      <c r="AF95" s="147">
        <f t="shared" si="78"/>
        <v>93.424657534246577</v>
      </c>
      <c r="AG95" s="147">
        <f t="shared" si="79"/>
        <v>90.410958904109592</v>
      </c>
      <c r="AH95" s="148">
        <f t="shared" si="51"/>
        <v>1100</v>
      </c>
    </row>
    <row r="96" spans="1:38" s="136" customFormat="1" x14ac:dyDescent="0.2">
      <c r="A96" s="155" t="s">
        <v>348</v>
      </c>
      <c r="B96" s="149" t="e">
        <f>+#REF!</f>
        <v>#REF!</v>
      </c>
      <c r="C96" s="138"/>
      <c r="D96" s="147" t="e">
        <f t="shared" si="82"/>
        <v>#REF!</v>
      </c>
      <c r="E96" s="147" t="e">
        <f t="shared" si="82"/>
        <v>#REF!</v>
      </c>
      <c r="F96" s="147" t="e">
        <f t="shared" si="82"/>
        <v>#REF!</v>
      </c>
      <c r="G96" s="147" t="e">
        <f t="shared" si="82"/>
        <v>#REF!</v>
      </c>
      <c r="H96" s="147" t="e">
        <f t="shared" si="82"/>
        <v>#REF!</v>
      </c>
      <c r="I96" s="147" t="e">
        <f t="shared" si="82"/>
        <v>#REF!</v>
      </c>
      <c r="J96" s="147" t="e">
        <f t="shared" si="82"/>
        <v>#REF!</v>
      </c>
      <c r="K96" s="147" t="e">
        <f t="shared" si="82"/>
        <v>#REF!</v>
      </c>
      <c r="L96" s="147" t="e">
        <f t="shared" si="82"/>
        <v>#REF!</v>
      </c>
      <c r="M96" s="147" t="e">
        <f t="shared" si="82"/>
        <v>#REF!</v>
      </c>
      <c r="N96" s="147" t="e">
        <f t="shared" si="82"/>
        <v>#REF!</v>
      </c>
      <c r="O96" s="147" t="e">
        <f t="shared" si="82"/>
        <v>#REF!</v>
      </c>
      <c r="P96" s="147" t="e">
        <f>SUM(D96:O96)</f>
        <v>#REF!</v>
      </c>
      <c r="Q96" s="150"/>
      <c r="S96" s="145" t="s">
        <v>349</v>
      </c>
      <c r="T96" s="136" t="str">
        <f t="shared" si="80"/>
        <v>0753</v>
      </c>
      <c r="U96" s="136" t="str">
        <f t="shared" si="81"/>
        <v>6590000753</v>
      </c>
      <c r="V96" s="147">
        <f t="shared" si="68"/>
        <v>0</v>
      </c>
      <c r="W96" s="147">
        <f t="shared" si="69"/>
        <v>0</v>
      </c>
      <c r="X96" s="147">
        <f t="shared" si="70"/>
        <v>0</v>
      </c>
      <c r="Y96" s="147">
        <f t="shared" si="71"/>
        <v>0</v>
      </c>
      <c r="Z96" s="147">
        <f t="shared" si="72"/>
        <v>0</v>
      </c>
      <c r="AA96" s="147">
        <f t="shared" si="73"/>
        <v>0</v>
      </c>
      <c r="AB96" s="147">
        <f t="shared" si="74"/>
        <v>0</v>
      </c>
      <c r="AC96" s="147">
        <f t="shared" si="75"/>
        <v>0</v>
      </c>
      <c r="AD96" s="147">
        <f t="shared" si="76"/>
        <v>0</v>
      </c>
      <c r="AE96" s="147">
        <f t="shared" si="77"/>
        <v>0</v>
      </c>
      <c r="AF96" s="147">
        <f t="shared" si="78"/>
        <v>0</v>
      </c>
      <c r="AG96" s="147">
        <f t="shared" si="79"/>
        <v>0</v>
      </c>
      <c r="AH96" s="148">
        <f t="shared" si="51"/>
        <v>0</v>
      </c>
    </row>
    <row r="97" spans="1:34" s="136" customFormat="1" x14ac:dyDescent="0.2">
      <c r="A97" s="155" t="s">
        <v>350</v>
      </c>
      <c r="B97" s="149"/>
      <c r="C97" s="138"/>
      <c r="D97" s="147">
        <f t="shared" si="82"/>
        <v>0</v>
      </c>
      <c r="E97" s="147">
        <f t="shared" si="82"/>
        <v>0</v>
      </c>
      <c r="F97" s="147">
        <f t="shared" si="82"/>
        <v>0</v>
      </c>
      <c r="G97" s="147">
        <f t="shared" si="82"/>
        <v>0</v>
      </c>
      <c r="H97" s="147">
        <f t="shared" si="82"/>
        <v>0</v>
      </c>
      <c r="I97" s="147">
        <f t="shared" si="82"/>
        <v>0</v>
      </c>
      <c r="J97" s="147">
        <f t="shared" si="82"/>
        <v>0</v>
      </c>
      <c r="K97" s="147">
        <f t="shared" si="82"/>
        <v>0</v>
      </c>
      <c r="L97" s="147">
        <f t="shared" si="82"/>
        <v>0</v>
      </c>
      <c r="M97" s="147">
        <f t="shared" si="82"/>
        <v>0</v>
      </c>
      <c r="N97" s="147">
        <f t="shared" si="82"/>
        <v>0</v>
      </c>
      <c r="O97" s="147">
        <f t="shared" si="82"/>
        <v>0</v>
      </c>
      <c r="P97" s="147">
        <f>SUM(D97:O97)</f>
        <v>0</v>
      </c>
      <c r="Q97" s="150"/>
      <c r="S97" s="145" t="s">
        <v>351</v>
      </c>
      <c r="T97" s="136" t="str">
        <f t="shared" si="80"/>
        <v>0753</v>
      </c>
      <c r="U97" s="136" t="str">
        <f t="shared" si="81"/>
        <v>6600000753</v>
      </c>
      <c r="V97" s="147">
        <f t="shared" si="68"/>
        <v>0</v>
      </c>
      <c r="W97" s="147">
        <f t="shared" si="69"/>
        <v>0</v>
      </c>
      <c r="X97" s="147">
        <f t="shared" si="70"/>
        <v>0</v>
      </c>
      <c r="Y97" s="147">
        <f t="shared" si="71"/>
        <v>0</v>
      </c>
      <c r="Z97" s="147">
        <f t="shared" si="72"/>
        <v>0</v>
      </c>
      <c r="AA97" s="147">
        <f t="shared" si="73"/>
        <v>0</v>
      </c>
      <c r="AB97" s="147">
        <f t="shared" si="74"/>
        <v>0</v>
      </c>
      <c r="AC97" s="147">
        <f t="shared" si="75"/>
        <v>0</v>
      </c>
      <c r="AD97" s="147">
        <f t="shared" si="76"/>
        <v>0</v>
      </c>
      <c r="AE97" s="147">
        <f t="shared" si="77"/>
        <v>0</v>
      </c>
      <c r="AF97" s="147">
        <f t="shared" si="78"/>
        <v>0</v>
      </c>
      <c r="AG97" s="147">
        <f t="shared" si="79"/>
        <v>0</v>
      </c>
      <c r="AH97" s="148">
        <f t="shared" si="51"/>
        <v>0</v>
      </c>
    </row>
    <row r="98" spans="1:34" s="136" customFormat="1" x14ac:dyDescent="0.2">
      <c r="B98" s="151"/>
      <c r="C98" s="138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0"/>
      <c r="S98" s="145" t="s">
        <v>352</v>
      </c>
      <c r="T98" s="136" t="str">
        <f t="shared" si="80"/>
        <v>0753</v>
      </c>
      <c r="U98" s="136" t="str">
        <f t="shared" si="81"/>
        <v>6960000753</v>
      </c>
      <c r="V98" s="147">
        <f t="shared" si="68"/>
        <v>0</v>
      </c>
      <c r="W98" s="147">
        <f t="shared" si="69"/>
        <v>0</v>
      </c>
      <c r="X98" s="147">
        <f t="shared" si="70"/>
        <v>0</v>
      </c>
      <c r="Y98" s="147">
        <f t="shared" si="71"/>
        <v>0</v>
      </c>
      <c r="Z98" s="147">
        <f t="shared" si="72"/>
        <v>0</v>
      </c>
      <c r="AA98" s="147">
        <f t="shared" si="73"/>
        <v>0</v>
      </c>
      <c r="AB98" s="147">
        <f t="shared" si="74"/>
        <v>0</v>
      </c>
      <c r="AC98" s="147">
        <f t="shared" si="75"/>
        <v>0</v>
      </c>
      <c r="AD98" s="147">
        <f t="shared" si="76"/>
        <v>0</v>
      </c>
      <c r="AE98" s="147">
        <f t="shared" si="77"/>
        <v>0</v>
      </c>
      <c r="AF98" s="147">
        <f t="shared" si="78"/>
        <v>0</v>
      </c>
      <c r="AG98" s="147">
        <f t="shared" si="79"/>
        <v>0</v>
      </c>
      <c r="AH98" s="148">
        <f t="shared" si="51"/>
        <v>0</v>
      </c>
    </row>
    <row r="99" spans="1:34" s="136" customFormat="1" x14ac:dyDescent="0.2">
      <c r="A99" s="155" t="s">
        <v>353</v>
      </c>
      <c r="B99" s="175" t="e">
        <f>SUM(B94:B98)</f>
        <v>#REF!</v>
      </c>
      <c r="C99" s="138"/>
      <c r="D99" s="164" t="e">
        <f t="shared" ref="D99:P99" si="83">SUM(D94:D98)</f>
        <v>#REF!</v>
      </c>
      <c r="E99" s="164" t="e">
        <f t="shared" si="83"/>
        <v>#REF!</v>
      </c>
      <c r="F99" s="164" t="e">
        <f t="shared" si="83"/>
        <v>#REF!</v>
      </c>
      <c r="G99" s="164" t="e">
        <f t="shared" si="83"/>
        <v>#REF!</v>
      </c>
      <c r="H99" s="164" t="e">
        <f t="shared" si="83"/>
        <v>#REF!</v>
      </c>
      <c r="I99" s="164" t="e">
        <f t="shared" si="83"/>
        <v>#REF!</v>
      </c>
      <c r="J99" s="164" t="e">
        <f t="shared" si="83"/>
        <v>#REF!</v>
      </c>
      <c r="K99" s="164" t="e">
        <f t="shared" si="83"/>
        <v>#REF!</v>
      </c>
      <c r="L99" s="164" t="e">
        <f t="shared" si="83"/>
        <v>#REF!</v>
      </c>
      <c r="M99" s="164" t="e">
        <f t="shared" si="83"/>
        <v>#REF!</v>
      </c>
      <c r="N99" s="164" t="e">
        <f t="shared" si="83"/>
        <v>#REF!</v>
      </c>
      <c r="O99" s="164" t="e">
        <f t="shared" si="83"/>
        <v>#REF!</v>
      </c>
      <c r="P99" s="164" t="e">
        <f t="shared" si="83"/>
        <v>#REF!</v>
      </c>
      <c r="Q99" s="150"/>
      <c r="S99" s="145" t="s">
        <v>354</v>
      </c>
      <c r="T99" s="136" t="str">
        <f t="shared" si="80"/>
        <v>0753</v>
      </c>
      <c r="U99" s="136" t="str">
        <f t="shared" si="81"/>
        <v>6610000753</v>
      </c>
      <c r="V99" s="147">
        <f t="shared" si="68"/>
        <v>152.87671232876713</v>
      </c>
      <c r="W99" s="147">
        <f t="shared" si="69"/>
        <v>147.94520547945206</v>
      </c>
      <c r="X99" s="147">
        <f t="shared" si="70"/>
        <v>152.87671232876713</v>
      </c>
      <c r="Y99" s="147">
        <f t="shared" si="71"/>
        <v>152.87671232876713</v>
      </c>
      <c r="Z99" s="147">
        <f t="shared" si="72"/>
        <v>138.08219178082192</v>
      </c>
      <c r="AA99" s="147">
        <f t="shared" si="73"/>
        <v>152.87671232876713</v>
      </c>
      <c r="AB99" s="147">
        <f t="shared" si="74"/>
        <v>147.94520547945206</v>
      </c>
      <c r="AC99" s="147">
        <f t="shared" si="75"/>
        <v>152.87671232876713</v>
      </c>
      <c r="AD99" s="147">
        <f t="shared" si="76"/>
        <v>147.94520547945206</v>
      </c>
      <c r="AE99" s="147">
        <f t="shared" si="77"/>
        <v>152.87671232876713</v>
      </c>
      <c r="AF99" s="147">
        <f t="shared" si="78"/>
        <v>152.87671232876713</v>
      </c>
      <c r="AG99" s="147">
        <f t="shared" si="79"/>
        <v>147.94520547945206</v>
      </c>
      <c r="AH99" s="148">
        <f t="shared" si="51"/>
        <v>1799.9999999999995</v>
      </c>
    </row>
    <row r="100" spans="1:34" s="136" customFormat="1" x14ac:dyDescent="0.2">
      <c r="B100" s="149"/>
      <c r="C100" s="138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50"/>
      <c r="S100" s="145" t="s">
        <v>355</v>
      </c>
      <c r="T100" s="136" t="str">
        <f t="shared" si="80"/>
        <v>0753</v>
      </c>
      <c r="U100" s="136" t="str">
        <f t="shared" si="81"/>
        <v>6620000753</v>
      </c>
      <c r="V100" s="147">
        <f t="shared" si="68"/>
        <v>764.38356164383561</v>
      </c>
      <c r="W100" s="147">
        <f t="shared" si="69"/>
        <v>739.72602739726028</v>
      </c>
      <c r="X100" s="147">
        <f t="shared" si="70"/>
        <v>764.38356164383561</v>
      </c>
      <c r="Y100" s="147">
        <f t="shared" si="71"/>
        <v>764.38356164383561</v>
      </c>
      <c r="Z100" s="147">
        <f t="shared" si="72"/>
        <v>690.41095890410952</v>
      </c>
      <c r="AA100" s="147">
        <f t="shared" si="73"/>
        <v>764.38356164383561</v>
      </c>
      <c r="AB100" s="147">
        <f t="shared" si="74"/>
        <v>739.72602739726028</v>
      </c>
      <c r="AC100" s="147">
        <f t="shared" si="75"/>
        <v>764.38356164383561</v>
      </c>
      <c r="AD100" s="147">
        <f t="shared" si="76"/>
        <v>739.72602739726028</v>
      </c>
      <c r="AE100" s="147">
        <f t="shared" si="77"/>
        <v>764.38356164383561</v>
      </c>
      <c r="AF100" s="147">
        <f t="shared" si="78"/>
        <v>764.38356164383561</v>
      </c>
      <c r="AG100" s="147">
        <f t="shared" si="79"/>
        <v>739.72602739726028</v>
      </c>
      <c r="AH100" s="148">
        <f t="shared" si="51"/>
        <v>9000.0000000000018</v>
      </c>
    </row>
    <row r="101" spans="1:34" s="136" customFormat="1" x14ac:dyDescent="0.2">
      <c r="A101" s="155" t="s">
        <v>356</v>
      </c>
      <c r="B101" s="149"/>
      <c r="C101" s="138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50"/>
      <c r="S101" s="145" t="s">
        <v>357</v>
      </c>
      <c r="T101" s="136" t="str">
        <f t="shared" si="80"/>
        <v>0753</v>
      </c>
      <c r="U101" s="136" t="str">
        <f t="shared" si="81"/>
        <v>6650000753</v>
      </c>
      <c r="V101" s="147">
        <f t="shared" ref="V101:AG101" si="84">D80</f>
        <v>0</v>
      </c>
      <c r="W101" s="147">
        <f t="shared" si="84"/>
        <v>0</v>
      </c>
      <c r="X101" s="147">
        <f t="shared" si="84"/>
        <v>0</v>
      </c>
      <c r="Y101" s="147">
        <f t="shared" si="84"/>
        <v>0</v>
      </c>
      <c r="Z101" s="147">
        <f t="shared" si="84"/>
        <v>0</v>
      </c>
      <c r="AA101" s="147">
        <f t="shared" si="84"/>
        <v>0</v>
      </c>
      <c r="AB101" s="147">
        <f t="shared" si="84"/>
        <v>0</v>
      </c>
      <c r="AC101" s="147">
        <f t="shared" si="84"/>
        <v>0</v>
      </c>
      <c r="AD101" s="147">
        <f t="shared" si="84"/>
        <v>0</v>
      </c>
      <c r="AE101" s="147">
        <f t="shared" si="84"/>
        <v>0</v>
      </c>
      <c r="AF101" s="147">
        <f t="shared" si="84"/>
        <v>0</v>
      </c>
      <c r="AG101" s="147">
        <f t="shared" si="84"/>
        <v>0</v>
      </c>
      <c r="AH101" s="148">
        <f t="shared" si="51"/>
        <v>0</v>
      </c>
    </row>
    <row r="102" spans="1:34" s="136" customFormat="1" x14ac:dyDescent="0.2">
      <c r="A102" s="155" t="s">
        <v>358</v>
      </c>
      <c r="B102" s="166">
        <v>0</v>
      </c>
      <c r="C102" s="138"/>
      <c r="D102" s="165">
        <f t="shared" ref="D102:O102" si="85">($B109/$P$8)*D$8-D103-D104-D105-D106-D107</f>
        <v>0</v>
      </c>
      <c r="E102" s="165">
        <f t="shared" si="85"/>
        <v>0</v>
      </c>
      <c r="F102" s="165">
        <f t="shared" si="85"/>
        <v>0</v>
      </c>
      <c r="G102" s="165">
        <f t="shared" si="85"/>
        <v>0</v>
      </c>
      <c r="H102" s="165">
        <f t="shared" si="85"/>
        <v>-3.1832314562052488E-12</v>
      </c>
      <c r="I102" s="165">
        <f t="shared" si="85"/>
        <v>0</v>
      </c>
      <c r="J102" s="165">
        <f t="shared" si="85"/>
        <v>0</v>
      </c>
      <c r="K102" s="165">
        <f t="shared" si="85"/>
        <v>0</v>
      </c>
      <c r="L102" s="165">
        <f t="shared" si="85"/>
        <v>0</v>
      </c>
      <c r="M102" s="165">
        <f t="shared" si="85"/>
        <v>0</v>
      </c>
      <c r="N102" s="165">
        <f t="shared" si="85"/>
        <v>0</v>
      </c>
      <c r="O102" s="165">
        <f t="shared" si="85"/>
        <v>0</v>
      </c>
      <c r="P102" s="147">
        <f t="shared" ref="P102:P107" si="86">SUM(D102:O102)</f>
        <v>-3.1832314562052488E-12</v>
      </c>
      <c r="Q102" s="150"/>
      <c r="S102" s="145" t="s">
        <v>359</v>
      </c>
      <c r="T102" s="136" t="str">
        <f t="shared" si="80"/>
        <v>0753</v>
      </c>
      <c r="U102" s="136" t="str">
        <f t="shared" si="81"/>
        <v>6660000753</v>
      </c>
      <c r="V102" s="147">
        <f t="shared" ref="V102:V114" si="87">D179</f>
        <v>1528.7671232876712</v>
      </c>
      <c r="W102" s="147">
        <f t="shared" ref="W102:W114" si="88">E179</f>
        <v>1479.4520547945206</v>
      </c>
      <c r="X102" s="147">
        <f t="shared" ref="X102:X114" si="89">F179</f>
        <v>1528.7671232876712</v>
      </c>
      <c r="Y102" s="147">
        <f t="shared" ref="Y102:Y114" si="90">G179</f>
        <v>1528.7671232876712</v>
      </c>
      <c r="Z102" s="147">
        <f t="shared" ref="Z102:Z114" si="91">H179</f>
        <v>1380.821917808219</v>
      </c>
      <c r="AA102" s="147">
        <f t="shared" ref="AA102:AA114" si="92">I179</f>
        <v>1528.7671232876712</v>
      </c>
      <c r="AB102" s="147">
        <f t="shared" ref="AB102:AB114" si="93">J179</f>
        <v>1479.4520547945206</v>
      </c>
      <c r="AC102" s="147">
        <f t="shared" ref="AC102:AC114" si="94">K179</f>
        <v>1528.7671232876712</v>
      </c>
      <c r="AD102" s="147">
        <f t="shared" ref="AD102:AD114" si="95">L179</f>
        <v>1479.4520547945206</v>
      </c>
      <c r="AE102" s="147">
        <f t="shared" ref="AE102:AE114" si="96">M179</f>
        <v>1528.7671232876712</v>
      </c>
      <c r="AF102" s="147">
        <f t="shared" ref="AF102:AF114" si="97">N179</f>
        <v>1528.7671232876712</v>
      </c>
      <c r="AG102" s="147">
        <f t="shared" ref="AG102:AG114" si="98">O179</f>
        <v>1479.4520547945206</v>
      </c>
      <c r="AH102" s="148">
        <f t="shared" si="51"/>
        <v>18000.000000000004</v>
      </c>
    </row>
    <row r="103" spans="1:34" s="136" customFormat="1" x14ac:dyDescent="0.2">
      <c r="A103" s="155" t="s">
        <v>360</v>
      </c>
      <c r="B103" s="149">
        <f>100000</f>
        <v>100000</v>
      </c>
      <c r="C103" s="138"/>
      <c r="D103" s="147">
        <f t="shared" ref="D103:O106" si="99">($B103/$P$8)*D$8</f>
        <v>8493.1506849315065</v>
      </c>
      <c r="E103" s="147">
        <f t="shared" si="99"/>
        <v>8219.17808219178</v>
      </c>
      <c r="F103" s="147">
        <f t="shared" si="99"/>
        <v>8493.1506849315065</v>
      </c>
      <c r="G103" s="147">
        <f t="shared" si="99"/>
        <v>8493.1506849315065</v>
      </c>
      <c r="H103" s="147">
        <f t="shared" si="99"/>
        <v>7671.232876712329</v>
      </c>
      <c r="I103" s="147">
        <f t="shared" si="99"/>
        <v>8493.1506849315065</v>
      </c>
      <c r="J103" s="147">
        <f t="shared" si="99"/>
        <v>8219.17808219178</v>
      </c>
      <c r="K103" s="147">
        <f t="shared" si="99"/>
        <v>8493.1506849315065</v>
      </c>
      <c r="L103" s="147">
        <f t="shared" si="99"/>
        <v>8219.17808219178</v>
      </c>
      <c r="M103" s="147">
        <f t="shared" si="99"/>
        <v>8493.1506849315065</v>
      </c>
      <c r="N103" s="147">
        <f t="shared" si="99"/>
        <v>8493.1506849315065</v>
      </c>
      <c r="O103" s="147">
        <f t="shared" si="99"/>
        <v>8219.17808219178</v>
      </c>
      <c r="P103" s="147">
        <f t="shared" si="86"/>
        <v>99999.999999999985</v>
      </c>
      <c r="Q103" s="150"/>
      <c r="S103" s="145" t="s">
        <v>361</v>
      </c>
      <c r="T103" s="136" t="str">
        <f t="shared" si="80"/>
        <v>0753</v>
      </c>
      <c r="U103" s="136" t="str">
        <f t="shared" si="81"/>
        <v>6670000753</v>
      </c>
      <c r="V103" s="147">
        <f t="shared" si="87"/>
        <v>93.424657534246577</v>
      </c>
      <c r="W103" s="147">
        <f t="shared" si="88"/>
        <v>90.410958904109592</v>
      </c>
      <c r="X103" s="147">
        <f t="shared" si="89"/>
        <v>93.424657534246577</v>
      </c>
      <c r="Y103" s="147">
        <f t="shared" si="90"/>
        <v>93.424657534246577</v>
      </c>
      <c r="Z103" s="147">
        <f t="shared" si="91"/>
        <v>84.38356164383562</v>
      </c>
      <c r="AA103" s="147">
        <f t="shared" si="92"/>
        <v>93.424657534246577</v>
      </c>
      <c r="AB103" s="147">
        <f t="shared" si="93"/>
        <v>90.410958904109592</v>
      </c>
      <c r="AC103" s="147">
        <f t="shared" si="94"/>
        <v>93.424657534246577</v>
      </c>
      <c r="AD103" s="147">
        <f t="shared" si="95"/>
        <v>90.410958904109592</v>
      </c>
      <c r="AE103" s="147">
        <f t="shared" si="96"/>
        <v>93.424657534246577</v>
      </c>
      <c r="AF103" s="147">
        <f t="shared" si="97"/>
        <v>93.424657534246577</v>
      </c>
      <c r="AG103" s="147">
        <f t="shared" si="98"/>
        <v>90.410958904109592</v>
      </c>
      <c r="AH103" s="148">
        <f t="shared" si="51"/>
        <v>1100</v>
      </c>
    </row>
    <row r="104" spans="1:34" s="136" customFormat="1" x14ac:dyDescent="0.2">
      <c r="A104" s="155" t="s">
        <v>362</v>
      </c>
      <c r="B104" s="149">
        <f>55000</f>
        <v>55000</v>
      </c>
      <c r="C104" s="138"/>
      <c r="D104" s="147">
        <f t="shared" si="99"/>
        <v>4671.232876712329</v>
      </c>
      <c r="E104" s="147">
        <f t="shared" si="99"/>
        <v>4520.5479452054797</v>
      </c>
      <c r="F104" s="147">
        <f t="shared" si="99"/>
        <v>4671.232876712329</v>
      </c>
      <c r="G104" s="147">
        <f t="shared" si="99"/>
        <v>4671.232876712329</v>
      </c>
      <c r="H104" s="147">
        <f t="shared" si="99"/>
        <v>4219.178082191781</v>
      </c>
      <c r="I104" s="147">
        <f t="shared" si="99"/>
        <v>4671.232876712329</v>
      </c>
      <c r="J104" s="147">
        <f t="shared" si="99"/>
        <v>4520.5479452054797</v>
      </c>
      <c r="K104" s="147">
        <f t="shared" si="99"/>
        <v>4671.232876712329</v>
      </c>
      <c r="L104" s="147">
        <f t="shared" si="99"/>
        <v>4520.5479452054797</v>
      </c>
      <c r="M104" s="147">
        <f t="shared" si="99"/>
        <v>4671.232876712329</v>
      </c>
      <c r="N104" s="147">
        <f t="shared" si="99"/>
        <v>4671.232876712329</v>
      </c>
      <c r="O104" s="147">
        <f t="shared" si="99"/>
        <v>4520.5479452054797</v>
      </c>
      <c r="P104" s="147">
        <f t="shared" si="86"/>
        <v>54999.999999999993</v>
      </c>
      <c r="Q104" s="150"/>
      <c r="S104" s="145" t="s">
        <v>363</v>
      </c>
      <c r="T104" s="136" t="str">
        <f t="shared" si="80"/>
        <v>0753</v>
      </c>
      <c r="U104" s="136" t="str">
        <f t="shared" si="81"/>
        <v>6680000753</v>
      </c>
      <c r="V104" s="147">
        <f t="shared" si="87"/>
        <v>0</v>
      </c>
      <c r="W104" s="147">
        <f t="shared" si="88"/>
        <v>0</v>
      </c>
      <c r="X104" s="147">
        <f t="shared" si="89"/>
        <v>0</v>
      </c>
      <c r="Y104" s="147">
        <f t="shared" si="90"/>
        <v>0</v>
      </c>
      <c r="Z104" s="147">
        <f t="shared" si="91"/>
        <v>0</v>
      </c>
      <c r="AA104" s="147">
        <f t="shared" si="92"/>
        <v>0</v>
      </c>
      <c r="AB104" s="147">
        <f t="shared" si="93"/>
        <v>0</v>
      </c>
      <c r="AC104" s="147">
        <f t="shared" si="94"/>
        <v>0</v>
      </c>
      <c r="AD104" s="147">
        <f t="shared" si="95"/>
        <v>0</v>
      </c>
      <c r="AE104" s="147">
        <f t="shared" si="96"/>
        <v>0</v>
      </c>
      <c r="AF104" s="147">
        <f t="shared" si="97"/>
        <v>0</v>
      </c>
      <c r="AG104" s="147">
        <f t="shared" si="98"/>
        <v>0</v>
      </c>
      <c r="AH104" s="148">
        <f t="shared" si="51"/>
        <v>0</v>
      </c>
    </row>
    <row r="105" spans="1:34" s="136" customFormat="1" x14ac:dyDescent="0.2">
      <c r="A105" s="155" t="s">
        <v>364</v>
      </c>
      <c r="B105" s="149">
        <f>120000</f>
        <v>120000</v>
      </c>
      <c r="C105" s="138"/>
      <c r="D105" s="147">
        <f t="shared" si="99"/>
        <v>10191.780821917808</v>
      </c>
      <c r="E105" s="147">
        <f t="shared" si="99"/>
        <v>9863.0136986301368</v>
      </c>
      <c r="F105" s="147">
        <f t="shared" si="99"/>
        <v>10191.780821917808</v>
      </c>
      <c r="G105" s="147">
        <f t="shared" si="99"/>
        <v>10191.780821917808</v>
      </c>
      <c r="H105" s="147">
        <f t="shared" si="99"/>
        <v>9205.4794520547948</v>
      </c>
      <c r="I105" s="147">
        <f t="shared" si="99"/>
        <v>10191.780821917808</v>
      </c>
      <c r="J105" s="147">
        <f t="shared" si="99"/>
        <v>9863.0136986301368</v>
      </c>
      <c r="K105" s="147">
        <f t="shared" si="99"/>
        <v>10191.780821917808</v>
      </c>
      <c r="L105" s="147">
        <f t="shared" si="99"/>
        <v>9863.0136986301368</v>
      </c>
      <c r="M105" s="147">
        <f t="shared" si="99"/>
        <v>10191.780821917808</v>
      </c>
      <c r="N105" s="147">
        <f t="shared" si="99"/>
        <v>10191.780821917808</v>
      </c>
      <c r="O105" s="147">
        <f t="shared" si="99"/>
        <v>9863.0136986301368</v>
      </c>
      <c r="P105" s="147">
        <f t="shared" si="86"/>
        <v>120000</v>
      </c>
      <c r="Q105" s="150"/>
      <c r="S105" s="145" t="s">
        <v>365</v>
      </c>
      <c r="T105" s="136" t="str">
        <f t="shared" si="80"/>
        <v>0753</v>
      </c>
      <c r="U105" s="136" t="str">
        <f t="shared" si="81"/>
        <v>6700000753</v>
      </c>
      <c r="V105" s="147">
        <f t="shared" si="87"/>
        <v>722.85205479452054</v>
      </c>
      <c r="W105" s="147">
        <f t="shared" si="88"/>
        <v>699.53424657534254</v>
      </c>
      <c r="X105" s="147">
        <f t="shared" si="89"/>
        <v>722.85205479452054</v>
      </c>
      <c r="Y105" s="147">
        <f t="shared" si="90"/>
        <v>722.85205479452054</v>
      </c>
      <c r="Z105" s="147">
        <f t="shared" si="91"/>
        <v>652.8986301369863</v>
      </c>
      <c r="AA105" s="147">
        <f t="shared" si="92"/>
        <v>722.85205479452054</v>
      </c>
      <c r="AB105" s="147">
        <f t="shared" si="93"/>
        <v>699.53424657534254</v>
      </c>
      <c r="AC105" s="147">
        <f t="shared" si="94"/>
        <v>722.85205479452054</v>
      </c>
      <c r="AD105" s="147">
        <f t="shared" si="95"/>
        <v>699.53424657534254</v>
      </c>
      <c r="AE105" s="147">
        <f t="shared" si="96"/>
        <v>722.85205479452054</v>
      </c>
      <c r="AF105" s="147">
        <f t="shared" si="97"/>
        <v>722.85205479452054</v>
      </c>
      <c r="AG105" s="147">
        <f t="shared" si="98"/>
        <v>699.53424657534254</v>
      </c>
      <c r="AH105" s="148">
        <f t="shared" si="51"/>
        <v>8511.0000000000018</v>
      </c>
    </row>
    <row r="106" spans="1:34" s="136" customFormat="1" x14ac:dyDescent="0.2">
      <c r="A106" s="155" t="s">
        <v>366</v>
      </c>
      <c r="B106" s="166">
        <f>6000</f>
        <v>6000</v>
      </c>
      <c r="C106" s="138"/>
      <c r="D106" s="147">
        <f t="shared" si="99"/>
        <v>509.58904109589048</v>
      </c>
      <c r="E106" s="147">
        <f t="shared" si="99"/>
        <v>493.15068493150693</v>
      </c>
      <c r="F106" s="147">
        <f t="shared" si="99"/>
        <v>509.58904109589048</v>
      </c>
      <c r="G106" s="147">
        <f t="shared" si="99"/>
        <v>509.58904109589048</v>
      </c>
      <c r="H106" s="147">
        <f t="shared" si="99"/>
        <v>460.27397260273978</v>
      </c>
      <c r="I106" s="147">
        <f t="shared" si="99"/>
        <v>509.58904109589048</v>
      </c>
      <c r="J106" s="147">
        <f t="shared" si="99"/>
        <v>493.15068493150693</v>
      </c>
      <c r="K106" s="147">
        <f t="shared" si="99"/>
        <v>509.58904109589048</v>
      </c>
      <c r="L106" s="147">
        <f t="shared" si="99"/>
        <v>493.15068493150693</v>
      </c>
      <c r="M106" s="147">
        <f t="shared" si="99"/>
        <v>509.58904109589048</v>
      </c>
      <c r="N106" s="147">
        <f t="shared" si="99"/>
        <v>509.58904109589048</v>
      </c>
      <c r="O106" s="147">
        <f t="shared" si="99"/>
        <v>493.15068493150693</v>
      </c>
      <c r="P106" s="147">
        <f t="shared" si="86"/>
        <v>6000.0000000000018</v>
      </c>
      <c r="Q106" s="150"/>
      <c r="S106" s="145" t="s">
        <v>367</v>
      </c>
      <c r="T106" s="136" t="str">
        <f t="shared" si="80"/>
        <v>0753</v>
      </c>
      <c r="U106" s="136" t="str">
        <f t="shared" si="81"/>
        <v>6710000753</v>
      </c>
      <c r="V106" s="147">
        <f t="shared" si="87"/>
        <v>424.65753424657532</v>
      </c>
      <c r="W106" s="147">
        <f t="shared" si="88"/>
        <v>410.95890410958901</v>
      </c>
      <c r="X106" s="147">
        <f t="shared" si="89"/>
        <v>424.65753424657532</v>
      </c>
      <c r="Y106" s="147">
        <f t="shared" si="90"/>
        <v>424.65753424657532</v>
      </c>
      <c r="Z106" s="147">
        <f t="shared" si="91"/>
        <v>383.56164383561645</v>
      </c>
      <c r="AA106" s="147">
        <f t="shared" si="92"/>
        <v>424.65753424657532</v>
      </c>
      <c r="AB106" s="147">
        <f t="shared" si="93"/>
        <v>410.95890410958901</v>
      </c>
      <c r="AC106" s="147">
        <f t="shared" si="94"/>
        <v>424.65753424657532</v>
      </c>
      <c r="AD106" s="147">
        <f t="shared" si="95"/>
        <v>410.95890410958901</v>
      </c>
      <c r="AE106" s="147">
        <f t="shared" si="96"/>
        <v>424.65753424657532</v>
      </c>
      <c r="AF106" s="147">
        <f t="shared" si="97"/>
        <v>424.65753424657532</v>
      </c>
      <c r="AG106" s="147">
        <f t="shared" si="98"/>
        <v>410.95890410958901</v>
      </c>
      <c r="AH106" s="148">
        <f t="shared" ref="AH106:AH124" si="100">SUM(V106:AG106)</f>
        <v>4999.9999999999991</v>
      </c>
    </row>
    <row r="107" spans="1:34" s="136" customFormat="1" x14ac:dyDescent="0.2">
      <c r="A107" s="155" t="s">
        <v>368</v>
      </c>
      <c r="B107" s="149">
        <v>-18000</v>
      </c>
      <c r="C107" s="138"/>
      <c r="D107" s="147">
        <f t="shared" ref="D107:O107" si="101">($B107/($P$8))*D$8</f>
        <v>-1528.7671232876712</v>
      </c>
      <c r="E107" s="147">
        <f t="shared" si="101"/>
        <v>-1479.4520547945206</v>
      </c>
      <c r="F107" s="147">
        <f t="shared" si="101"/>
        <v>-1528.7671232876712</v>
      </c>
      <c r="G107" s="147">
        <f t="shared" si="101"/>
        <v>-1528.7671232876712</v>
      </c>
      <c r="H107" s="147">
        <f t="shared" si="101"/>
        <v>-1380.821917808219</v>
      </c>
      <c r="I107" s="147">
        <f t="shared" si="101"/>
        <v>-1528.7671232876712</v>
      </c>
      <c r="J107" s="147">
        <f t="shared" si="101"/>
        <v>-1479.4520547945206</v>
      </c>
      <c r="K107" s="147">
        <f t="shared" si="101"/>
        <v>-1528.7671232876712</v>
      </c>
      <c r="L107" s="147">
        <f t="shared" si="101"/>
        <v>-1479.4520547945206</v>
      </c>
      <c r="M107" s="147">
        <f t="shared" si="101"/>
        <v>-1528.7671232876712</v>
      </c>
      <c r="N107" s="147">
        <f t="shared" si="101"/>
        <v>-1528.7671232876712</v>
      </c>
      <c r="O107" s="147">
        <f t="shared" si="101"/>
        <v>-1479.4520547945206</v>
      </c>
      <c r="P107" s="147">
        <f t="shared" si="86"/>
        <v>-18000.000000000004</v>
      </c>
      <c r="Q107" s="150"/>
      <c r="S107" s="145" t="s">
        <v>369</v>
      </c>
      <c r="T107" s="136" t="str">
        <f t="shared" si="80"/>
        <v>0753</v>
      </c>
      <c r="U107" s="136" t="str">
        <f t="shared" si="81"/>
        <v>6720000753</v>
      </c>
      <c r="V107" s="147">
        <f t="shared" si="87"/>
        <v>297.2602739726027</v>
      </c>
      <c r="W107" s="147">
        <f t="shared" si="88"/>
        <v>287.67123287671228</v>
      </c>
      <c r="X107" s="147">
        <f t="shared" si="89"/>
        <v>297.2602739726027</v>
      </c>
      <c r="Y107" s="147">
        <f t="shared" si="90"/>
        <v>297.2602739726027</v>
      </c>
      <c r="Z107" s="147">
        <f t="shared" si="91"/>
        <v>268.49315068493149</v>
      </c>
      <c r="AA107" s="147">
        <f t="shared" si="92"/>
        <v>297.2602739726027</v>
      </c>
      <c r="AB107" s="147">
        <f t="shared" si="93"/>
        <v>287.67123287671228</v>
      </c>
      <c r="AC107" s="147">
        <f t="shared" si="94"/>
        <v>297.2602739726027</v>
      </c>
      <c r="AD107" s="147">
        <f t="shared" si="95"/>
        <v>287.67123287671228</v>
      </c>
      <c r="AE107" s="147">
        <f t="shared" si="96"/>
        <v>297.2602739726027</v>
      </c>
      <c r="AF107" s="147">
        <f t="shared" si="97"/>
        <v>297.2602739726027</v>
      </c>
      <c r="AG107" s="147">
        <f t="shared" si="98"/>
        <v>287.67123287671228</v>
      </c>
      <c r="AH107" s="148">
        <f t="shared" si="100"/>
        <v>3499.9999999999991</v>
      </c>
    </row>
    <row r="108" spans="1:34" s="136" customFormat="1" x14ac:dyDescent="0.2">
      <c r="B108" s="151"/>
      <c r="C108" s="138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0"/>
      <c r="S108" s="145" t="s">
        <v>370</v>
      </c>
      <c r="T108" s="136" t="str">
        <f t="shared" si="80"/>
        <v>0753</v>
      </c>
      <c r="U108" s="136" t="str">
        <f t="shared" si="81"/>
        <v>6730000753</v>
      </c>
      <c r="V108" s="147">
        <f t="shared" si="87"/>
        <v>42.465753424657535</v>
      </c>
      <c r="W108" s="147">
        <f t="shared" si="88"/>
        <v>41.095890410958901</v>
      </c>
      <c r="X108" s="147">
        <f t="shared" si="89"/>
        <v>42.465753424657535</v>
      </c>
      <c r="Y108" s="147">
        <f t="shared" si="90"/>
        <v>42.465753424657535</v>
      </c>
      <c r="Z108" s="147">
        <f t="shared" si="91"/>
        <v>38.356164383561641</v>
      </c>
      <c r="AA108" s="147">
        <f t="shared" si="92"/>
        <v>42.465753424657535</v>
      </c>
      <c r="AB108" s="147">
        <f t="shared" si="93"/>
        <v>41.095890410958901</v>
      </c>
      <c r="AC108" s="147">
        <f t="shared" si="94"/>
        <v>42.465753424657535</v>
      </c>
      <c r="AD108" s="147">
        <f t="shared" si="95"/>
        <v>41.095890410958901</v>
      </c>
      <c r="AE108" s="147">
        <f t="shared" si="96"/>
        <v>42.465753424657535</v>
      </c>
      <c r="AF108" s="147">
        <f t="shared" si="97"/>
        <v>42.465753424657535</v>
      </c>
      <c r="AG108" s="147">
        <f t="shared" si="98"/>
        <v>41.095890410958901</v>
      </c>
      <c r="AH108" s="148">
        <f t="shared" si="100"/>
        <v>499.99999999999989</v>
      </c>
    </row>
    <row r="109" spans="1:34" s="136" customFormat="1" x14ac:dyDescent="0.2">
      <c r="A109" s="155" t="s">
        <v>371</v>
      </c>
      <c r="B109" s="175">
        <f>SUM(B102:B108)</f>
        <v>263000</v>
      </c>
      <c r="C109" s="138"/>
      <c r="D109" s="164">
        <f t="shared" ref="D109:P109" si="102">SUM(D102:D108)</f>
        <v>22336.98630136986</v>
      </c>
      <c r="E109" s="164">
        <f t="shared" si="102"/>
        <v>21616.438356164384</v>
      </c>
      <c r="F109" s="164">
        <f t="shared" si="102"/>
        <v>22336.98630136986</v>
      </c>
      <c r="G109" s="164">
        <f t="shared" si="102"/>
        <v>22336.98630136986</v>
      </c>
      <c r="H109" s="164">
        <f t="shared" si="102"/>
        <v>20175.342465753423</v>
      </c>
      <c r="I109" s="164">
        <f t="shared" si="102"/>
        <v>22336.98630136986</v>
      </c>
      <c r="J109" s="164">
        <f t="shared" si="102"/>
        <v>21616.438356164384</v>
      </c>
      <c r="K109" s="164">
        <f t="shared" si="102"/>
        <v>22336.98630136986</v>
      </c>
      <c r="L109" s="164">
        <f t="shared" si="102"/>
        <v>21616.438356164384</v>
      </c>
      <c r="M109" s="164">
        <f t="shared" si="102"/>
        <v>22336.98630136986</v>
      </c>
      <c r="N109" s="164">
        <f t="shared" si="102"/>
        <v>22336.98630136986</v>
      </c>
      <c r="O109" s="164">
        <f t="shared" si="102"/>
        <v>21616.438356164384</v>
      </c>
      <c r="P109" s="164">
        <f t="shared" si="102"/>
        <v>263000</v>
      </c>
      <c r="Q109" s="150"/>
      <c r="S109" s="145" t="s">
        <v>372</v>
      </c>
      <c r="T109" s="136" t="str">
        <f t="shared" si="80"/>
        <v>0753</v>
      </c>
      <c r="U109" s="136" t="str">
        <f t="shared" si="81"/>
        <v>6740000753</v>
      </c>
      <c r="V109" s="147">
        <f t="shared" si="87"/>
        <v>0</v>
      </c>
      <c r="W109" s="147">
        <f t="shared" si="88"/>
        <v>0</v>
      </c>
      <c r="X109" s="147">
        <f t="shared" si="89"/>
        <v>0</v>
      </c>
      <c r="Y109" s="147">
        <f t="shared" si="90"/>
        <v>0</v>
      </c>
      <c r="Z109" s="147">
        <f t="shared" si="91"/>
        <v>0</v>
      </c>
      <c r="AA109" s="147">
        <f t="shared" si="92"/>
        <v>0</v>
      </c>
      <c r="AB109" s="147">
        <f t="shared" si="93"/>
        <v>0</v>
      </c>
      <c r="AC109" s="147">
        <f t="shared" si="94"/>
        <v>0</v>
      </c>
      <c r="AD109" s="147">
        <f t="shared" si="95"/>
        <v>0</v>
      </c>
      <c r="AE109" s="147">
        <f t="shared" si="96"/>
        <v>0</v>
      </c>
      <c r="AF109" s="147">
        <f t="shared" si="97"/>
        <v>0</v>
      </c>
      <c r="AG109" s="147">
        <f t="shared" si="98"/>
        <v>0</v>
      </c>
      <c r="AH109" s="148">
        <f t="shared" si="100"/>
        <v>0</v>
      </c>
    </row>
    <row r="110" spans="1:34" s="136" customFormat="1" x14ac:dyDescent="0.2">
      <c r="B110" s="149"/>
      <c r="C110" s="138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50"/>
      <c r="S110" s="145"/>
      <c r="V110" s="147">
        <f t="shared" si="87"/>
        <v>0</v>
      </c>
      <c r="W110" s="147">
        <f t="shared" si="88"/>
        <v>0</v>
      </c>
      <c r="X110" s="147">
        <f t="shared" si="89"/>
        <v>0</v>
      </c>
      <c r="Y110" s="147">
        <f t="shared" si="90"/>
        <v>0</v>
      </c>
      <c r="Z110" s="147">
        <f t="shared" si="91"/>
        <v>0</v>
      </c>
      <c r="AA110" s="147">
        <f t="shared" si="92"/>
        <v>0</v>
      </c>
      <c r="AB110" s="147">
        <f t="shared" si="93"/>
        <v>0</v>
      </c>
      <c r="AC110" s="147">
        <f t="shared" si="94"/>
        <v>0</v>
      </c>
      <c r="AD110" s="147">
        <f t="shared" si="95"/>
        <v>0</v>
      </c>
      <c r="AE110" s="147">
        <f t="shared" si="96"/>
        <v>0</v>
      </c>
      <c r="AF110" s="147">
        <f t="shared" si="97"/>
        <v>0</v>
      </c>
      <c r="AG110" s="147">
        <f t="shared" si="98"/>
        <v>0</v>
      </c>
      <c r="AH110" s="148">
        <f t="shared" si="100"/>
        <v>0</v>
      </c>
    </row>
    <row r="111" spans="1:34" s="136" customFormat="1" x14ac:dyDescent="0.2">
      <c r="A111" s="155" t="s">
        <v>46</v>
      </c>
      <c r="B111" s="149"/>
      <c r="C111" s="138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50"/>
      <c r="S111" s="145" t="s">
        <v>373</v>
      </c>
      <c r="T111" s="136" t="str">
        <f t="shared" ref="T111:T124" si="103">+$T$10</f>
        <v>0753</v>
      </c>
      <c r="U111" s="136" t="str">
        <f t="shared" ref="U111:U124" si="104">CONCATENATE(S111,T111)</f>
        <v>6750000753</v>
      </c>
      <c r="V111" s="147">
        <f t="shared" si="87"/>
        <v>450.13698630136986</v>
      </c>
      <c r="W111" s="147">
        <f t="shared" si="88"/>
        <v>435.61643835616439</v>
      </c>
      <c r="X111" s="147">
        <f t="shared" si="89"/>
        <v>450.13698630136986</v>
      </c>
      <c r="Y111" s="147">
        <f t="shared" si="90"/>
        <v>450.13698630136986</v>
      </c>
      <c r="Z111" s="147">
        <f t="shared" si="91"/>
        <v>406.57534246575341</v>
      </c>
      <c r="AA111" s="147">
        <f t="shared" si="92"/>
        <v>450.13698630136986</v>
      </c>
      <c r="AB111" s="147">
        <f t="shared" si="93"/>
        <v>435.61643835616439</v>
      </c>
      <c r="AC111" s="147">
        <f t="shared" si="94"/>
        <v>450.13698630136986</v>
      </c>
      <c r="AD111" s="147">
        <f t="shared" si="95"/>
        <v>435.61643835616439</v>
      </c>
      <c r="AE111" s="147">
        <f t="shared" si="96"/>
        <v>450.13698630136986</v>
      </c>
      <c r="AF111" s="147">
        <f t="shared" si="97"/>
        <v>450.13698630136986</v>
      </c>
      <c r="AG111" s="147">
        <f t="shared" si="98"/>
        <v>435.61643835616439</v>
      </c>
      <c r="AH111" s="148">
        <f t="shared" si="100"/>
        <v>5300</v>
      </c>
    </row>
    <row r="112" spans="1:34" s="136" customFormat="1" x14ac:dyDescent="0.2">
      <c r="A112" s="155" t="s">
        <v>7</v>
      </c>
      <c r="B112" s="149">
        <v>39000</v>
      </c>
      <c r="C112" s="138"/>
      <c r="D112" s="147">
        <f t="shared" ref="D112:O114" si="105">($B112/$P$8)*D$8</f>
        <v>3312.3287671232879</v>
      </c>
      <c r="E112" s="147">
        <f t="shared" si="105"/>
        <v>3205.4794520547948</v>
      </c>
      <c r="F112" s="147">
        <f t="shared" si="105"/>
        <v>3312.3287671232879</v>
      </c>
      <c r="G112" s="147">
        <f t="shared" si="105"/>
        <v>3312.3287671232879</v>
      </c>
      <c r="H112" s="147">
        <f t="shared" si="105"/>
        <v>2991.7808219178082</v>
      </c>
      <c r="I112" s="147">
        <f t="shared" si="105"/>
        <v>3312.3287671232879</v>
      </c>
      <c r="J112" s="147">
        <f t="shared" si="105"/>
        <v>3205.4794520547948</v>
      </c>
      <c r="K112" s="147">
        <f t="shared" si="105"/>
        <v>3312.3287671232879</v>
      </c>
      <c r="L112" s="147">
        <f t="shared" si="105"/>
        <v>3205.4794520547948</v>
      </c>
      <c r="M112" s="147">
        <f t="shared" si="105"/>
        <v>3312.3287671232879</v>
      </c>
      <c r="N112" s="147">
        <f t="shared" si="105"/>
        <v>3312.3287671232879</v>
      </c>
      <c r="O112" s="147">
        <f t="shared" si="105"/>
        <v>3205.4794520547948</v>
      </c>
      <c r="P112" s="147">
        <f>SUM(D112:O112)</f>
        <v>39000</v>
      </c>
      <c r="Q112" s="150"/>
      <c r="S112" s="145" t="s">
        <v>374</v>
      </c>
      <c r="T112" s="136" t="str">
        <f t="shared" si="103"/>
        <v>0753</v>
      </c>
      <c r="U112" s="136" t="str">
        <f t="shared" si="104"/>
        <v>6760000753</v>
      </c>
      <c r="V112" s="147">
        <f t="shared" si="87"/>
        <v>0</v>
      </c>
      <c r="W112" s="147">
        <f t="shared" si="88"/>
        <v>0</v>
      </c>
      <c r="X112" s="147">
        <f t="shared" si="89"/>
        <v>0</v>
      </c>
      <c r="Y112" s="147">
        <f t="shared" si="90"/>
        <v>0</v>
      </c>
      <c r="Z112" s="147">
        <f t="shared" si="91"/>
        <v>0</v>
      </c>
      <c r="AA112" s="147">
        <f t="shared" si="92"/>
        <v>0</v>
      </c>
      <c r="AB112" s="147">
        <f t="shared" si="93"/>
        <v>0</v>
      </c>
      <c r="AC112" s="147">
        <f t="shared" si="94"/>
        <v>0</v>
      </c>
      <c r="AD112" s="147">
        <f t="shared" si="95"/>
        <v>0</v>
      </c>
      <c r="AE112" s="147">
        <f t="shared" si="96"/>
        <v>0</v>
      </c>
      <c r="AF112" s="147">
        <f t="shared" si="97"/>
        <v>0</v>
      </c>
      <c r="AG112" s="147">
        <f t="shared" si="98"/>
        <v>0</v>
      </c>
      <c r="AH112" s="148">
        <f t="shared" si="100"/>
        <v>0</v>
      </c>
    </row>
    <row r="113" spans="1:38" s="136" customFormat="1" x14ac:dyDescent="0.2">
      <c r="A113" s="155" t="s">
        <v>375</v>
      </c>
      <c r="B113" s="149">
        <v>24500</v>
      </c>
      <c r="C113" s="138"/>
      <c r="D113" s="147">
        <f t="shared" si="105"/>
        <v>2080.821917808219</v>
      </c>
      <c r="E113" s="147">
        <f t="shared" si="105"/>
        <v>2013.6986301369861</v>
      </c>
      <c r="F113" s="147">
        <f t="shared" si="105"/>
        <v>2080.821917808219</v>
      </c>
      <c r="G113" s="147">
        <f t="shared" si="105"/>
        <v>2080.821917808219</v>
      </c>
      <c r="H113" s="147">
        <f t="shared" si="105"/>
        <v>1879.4520547945203</v>
      </c>
      <c r="I113" s="147">
        <f t="shared" si="105"/>
        <v>2080.821917808219</v>
      </c>
      <c r="J113" s="147">
        <f t="shared" si="105"/>
        <v>2013.6986301369861</v>
      </c>
      <c r="K113" s="147">
        <f t="shared" si="105"/>
        <v>2080.821917808219</v>
      </c>
      <c r="L113" s="147">
        <f t="shared" si="105"/>
        <v>2013.6986301369861</v>
      </c>
      <c r="M113" s="147">
        <f t="shared" si="105"/>
        <v>2080.821917808219</v>
      </c>
      <c r="N113" s="147">
        <f t="shared" si="105"/>
        <v>2080.821917808219</v>
      </c>
      <c r="O113" s="147">
        <f t="shared" si="105"/>
        <v>2013.6986301369861</v>
      </c>
      <c r="P113" s="147">
        <f t="shared" ref="P113:P114" si="106">SUM(D113:O113)</f>
        <v>24499.999999999996</v>
      </c>
      <c r="Q113" s="150"/>
      <c r="S113" s="145" t="s">
        <v>376</v>
      </c>
      <c r="T113" s="136" t="str">
        <f t="shared" si="103"/>
        <v>0753</v>
      </c>
      <c r="U113" s="136" t="str">
        <f t="shared" si="104"/>
        <v>6770000753</v>
      </c>
      <c r="V113" s="147">
        <f t="shared" si="87"/>
        <v>161.36986301369865</v>
      </c>
      <c r="W113" s="147">
        <f t="shared" si="88"/>
        <v>156.16438356164386</v>
      </c>
      <c r="X113" s="147">
        <f t="shared" si="89"/>
        <v>161.36986301369865</v>
      </c>
      <c r="Y113" s="147">
        <f t="shared" si="90"/>
        <v>161.36986301369865</v>
      </c>
      <c r="Z113" s="147">
        <f t="shared" si="91"/>
        <v>145.75342465753425</v>
      </c>
      <c r="AA113" s="147">
        <f t="shared" si="92"/>
        <v>161.36986301369865</v>
      </c>
      <c r="AB113" s="147">
        <f t="shared" si="93"/>
        <v>156.16438356164386</v>
      </c>
      <c r="AC113" s="147">
        <f t="shared" si="94"/>
        <v>161.36986301369865</v>
      </c>
      <c r="AD113" s="147">
        <f t="shared" si="95"/>
        <v>156.16438356164386</v>
      </c>
      <c r="AE113" s="147">
        <f t="shared" si="96"/>
        <v>161.36986301369865</v>
      </c>
      <c r="AF113" s="147">
        <f t="shared" si="97"/>
        <v>161.36986301369865</v>
      </c>
      <c r="AG113" s="147">
        <f t="shared" si="98"/>
        <v>156.16438356164386</v>
      </c>
      <c r="AH113" s="148">
        <f t="shared" si="100"/>
        <v>1900.0000000000007</v>
      </c>
    </row>
    <row r="114" spans="1:38" s="136" customFormat="1" x14ac:dyDescent="0.2">
      <c r="A114" s="155" t="s">
        <v>54</v>
      </c>
      <c r="B114" s="149">
        <v>12000</v>
      </c>
      <c r="C114" s="138"/>
      <c r="D114" s="147">
        <f t="shared" si="105"/>
        <v>1019.178082191781</v>
      </c>
      <c r="E114" s="147">
        <f t="shared" si="105"/>
        <v>986.30136986301386</v>
      </c>
      <c r="F114" s="147">
        <f t="shared" si="105"/>
        <v>1019.178082191781</v>
      </c>
      <c r="G114" s="147">
        <f t="shared" si="105"/>
        <v>1019.178082191781</v>
      </c>
      <c r="H114" s="147">
        <f t="shared" si="105"/>
        <v>920.54794520547955</v>
      </c>
      <c r="I114" s="147">
        <f t="shared" si="105"/>
        <v>1019.178082191781</v>
      </c>
      <c r="J114" s="147">
        <f t="shared" si="105"/>
        <v>986.30136986301386</v>
      </c>
      <c r="K114" s="147">
        <f t="shared" si="105"/>
        <v>1019.178082191781</v>
      </c>
      <c r="L114" s="147">
        <f t="shared" si="105"/>
        <v>986.30136986301386</v>
      </c>
      <c r="M114" s="147">
        <f t="shared" si="105"/>
        <v>1019.178082191781</v>
      </c>
      <c r="N114" s="147">
        <f t="shared" si="105"/>
        <v>1019.178082191781</v>
      </c>
      <c r="O114" s="147">
        <f t="shared" si="105"/>
        <v>986.30136986301386</v>
      </c>
      <c r="P114" s="147">
        <f t="shared" si="106"/>
        <v>12000.000000000004</v>
      </c>
      <c r="Q114" s="150"/>
      <c r="S114" s="145" t="s">
        <v>377</v>
      </c>
      <c r="T114" s="136" t="str">
        <f t="shared" si="103"/>
        <v>0753</v>
      </c>
      <c r="U114" s="136" t="str">
        <f t="shared" si="104"/>
        <v>6780000753</v>
      </c>
      <c r="V114" s="147">
        <f t="shared" si="87"/>
        <v>339.72602739726028</v>
      </c>
      <c r="W114" s="147">
        <f t="shared" si="88"/>
        <v>328.76712328767121</v>
      </c>
      <c r="X114" s="147">
        <f t="shared" si="89"/>
        <v>339.72602739726028</v>
      </c>
      <c r="Y114" s="147">
        <f t="shared" si="90"/>
        <v>339.72602739726028</v>
      </c>
      <c r="Z114" s="147">
        <f t="shared" si="91"/>
        <v>306.84931506849313</v>
      </c>
      <c r="AA114" s="147">
        <f t="shared" si="92"/>
        <v>339.72602739726028</v>
      </c>
      <c r="AB114" s="147">
        <f t="shared" si="93"/>
        <v>328.76712328767121</v>
      </c>
      <c r="AC114" s="147">
        <f t="shared" si="94"/>
        <v>339.72602739726028</v>
      </c>
      <c r="AD114" s="147">
        <f t="shared" si="95"/>
        <v>328.76712328767121</v>
      </c>
      <c r="AE114" s="147">
        <f t="shared" si="96"/>
        <v>339.72602739726028</v>
      </c>
      <c r="AF114" s="147">
        <f t="shared" si="97"/>
        <v>339.72602739726028</v>
      </c>
      <c r="AG114" s="147">
        <f t="shared" si="98"/>
        <v>328.76712328767121</v>
      </c>
      <c r="AH114" s="148">
        <f t="shared" si="100"/>
        <v>3999.9999999999991</v>
      </c>
    </row>
    <row r="115" spans="1:38" s="136" customFormat="1" x14ac:dyDescent="0.2">
      <c r="B115" s="151"/>
      <c r="C115" s="138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0"/>
      <c r="S115" s="145" t="s">
        <v>378</v>
      </c>
      <c r="T115" s="136" t="str">
        <f t="shared" si="103"/>
        <v>0753</v>
      </c>
      <c r="U115" s="136" t="str">
        <f t="shared" si="104"/>
        <v>4050000753</v>
      </c>
      <c r="V115" s="147">
        <f t="shared" ref="V115:AG122" si="107">+D202</f>
        <v>0</v>
      </c>
      <c r="W115" s="147">
        <f t="shared" si="107"/>
        <v>0</v>
      </c>
      <c r="X115" s="147">
        <f t="shared" si="107"/>
        <v>0</v>
      </c>
      <c r="Y115" s="147">
        <f t="shared" si="107"/>
        <v>0</v>
      </c>
      <c r="Z115" s="147">
        <f t="shared" si="107"/>
        <v>0</v>
      </c>
      <c r="AA115" s="147">
        <f t="shared" si="107"/>
        <v>0</v>
      </c>
      <c r="AB115" s="147">
        <f t="shared" si="107"/>
        <v>0</v>
      </c>
      <c r="AC115" s="147">
        <f t="shared" si="107"/>
        <v>0</v>
      </c>
      <c r="AD115" s="147">
        <f t="shared" si="107"/>
        <v>0</v>
      </c>
      <c r="AE115" s="147">
        <f t="shared" si="107"/>
        <v>0</v>
      </c>
      <c r="AF115" s="147">
        <f t="shared" si="107"/>
        <v>0</v>
      </c>
      <c r="AG115" s="147">
        <f t="shared" si="107"/>
        <v>0</v>
      </c>
      <c r="AH115" s="148">
        <f t="shared" si="100"/>
        <v>0</v>
      </c>
    </row>
    <row r="116" spans="1:38" s="136" customFormat="1" x14ac:dyDescent="0.2">
      <c r="A116" s="155" t="s">
        <v>379</v>
      </c>
      <c r="B116" s="177">
        <f>SUM(B112:B115)</f>
        <v>75500</v>
      </c>
      <c r="C116" s="138"/>
      <c r="D116" s="178">
        <f t="shared" ref="D116:P116" si="108">SUM(D112:D115)</f>
        <v>6412.3287671232874</v>
      </c>
      <c r="E116" s="178">
        <f t="shared" si="108"/>
        <v>6205.4794520547948</v>
      </c>
      <c r="F116" s="178">
        <f t="shared" si="108"/>
        <v>6412.3287671232874</v>
      </c>
      <c r="G116" s="178">
        <f t="shared" si="108"/>
        <v>6412.3287671232874</v>
      </c>
      <c r="H116" s="178">
        <f t="shared" si="108"/>
        <v>5791.7808219178087</v>
      </c>
      <c r="I116" s="178">
        <f t="shared" si="108"/>
        <v>6412.3287671232874</v>
      </c>
      <c r="J116" s="178">
        <f t="shared" si="108"/>
        <v>6205.4794520547948</v>
      </c>
      <c r="K116" s="178">
        <f t="shared" si="108"/>
        <v>6412.3287671232874</v>
      </c>
      <c r="L116" s="178">
        <f t="shared" si="108"/>
        <v>6205.4794520547948</v>
      </c>
      <c r="M116" s="178">
        <f t="shared" si="108"/>
        <v>6412.3287671232874</v>
      </c>
      <c r="N116" s="178">
        <f t="shared" si="108"/>
        <v>6412.3287671232874</v>
      </c>
      <c r="O116" s="178">
        <f t="shared" si="108"/>
        <v>6205.4794520547948</v>
      </c>
      <c r="P116" s="178">
        <f t="shared" si="108"/>
        <v>75500</v>
      </c>
      <c r="Q116" s="150"/>
      <c r="S116" s="145" t="s">
        <v>380</v>
      </c>
      <c r="T116" s="136" t="str">
        <f t="shared" si="103"/>
        <v>0753</v>
      </c>
      <c r="U116" s="136" t="str">
        <f t="shared" si="104"/>
        <v>9500000753</v>
      </c>
      <c r="V116" s="147">
        <f t="shared" si="107"/>
        <v>0</v>
      </c>
      <c r="W116" s="147">
        <f t="shared" si="107"/>
        <v>0</v>
      </c>
      <c r="X116" s="147">
        <f t="shared" si="107"/>
        <v>0</v>
      </c>
      <c r="Y116" s="147">
        <f t="shared" si="107"/>
        <v>0</v>
      </c>
      <c r="Z116" s="147">
        <f t="shared" si="107"/>
        <v>0</v>
      </c>
      <c r="AA116" s="147">
        <f t="shared" si="107"/>
        <v>0</v>
      </c>
      <c r="AB116" s="147">
        <f t="shared" si="107"/>
        <v>0</v>
      </c>
      <c r="AC116" s="147">
        <f t="shared" si="107"/>
        <v>0</v>
      </c>
      <c r="AD116" s="147">
        <f t="shared" si="107"/>
        <v>0</v>
      </c>
      <c r="AE116" s="147">
        <f t="shared" si="107"/>
        <v>0</v>
      </c>
      <c r="AF116" s="147">
        <f t="shared" si="107"/>
        <v>0</v>
      </c>
      <c r="AG116" s="147">
        <f t="shared" si="107"/>
        <v>0</v>
      </c>
      <c r="AH116" s="148">
        <f t="shared" si="100"/>
        <v>0</v>
      </c>
    </row>
    <row r="117" spans="1:38" s="136" customFormat="1" x14ac:dyDescent="0.2">
      <c r="B117" s="149"/>
      <c r="C117" s="138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50"/>
      <c r="S117" s="145" t="s">
        <v>381</v>
      </c>
      <c r="T117" s="136" t="str">
        <f t="shared" si="103"/>
        <v>0753</v>
      </c>
      <c r="U117" s="136" t="str">
        <f t="shared" si="104"/>
        <v>6580000753</v>
      </c>
      <c r="V117" s="147">
        <f t="shared" si="107"/>
        <v>424.65753424657532</v>
      </c>
      <c r="W117" s="147">
        <f t="shared" si="107"/>
        <v>410.95890410958901</v>
      </c>
      <c r="X117" s="147">
        <f t="shared" si="107"/>
        <v>424.65753424657532</v>
      </c>
      <c r="Y117" s="147">
        <f t="shared" si="107"/>
        <v>424.65753424657532</v>
      </c>
      <c r="Z117" s="147">
        <f t="shared" si="107"/>
        <v>383.56164383561645</v>
      </c>
      <c r="AA117" s="147">
        <f t="shared" si="107"/>
        <v>424.65753424657532</v>
      </c>
      <c r="AB117" s="147">
        <f t="shared" si="107"/>
        <v>410.95890410958901</v>
      </c>
      <c r="AC117" s="147">
        <f t="shared" si="107"/>
        <v>424.65753424657532</v>
      </c>
      <c r="AD117" s="147">
        <f t="shared" si="107"/>
        <v>410.95890410958901</v>
      </c>
      <c r="AE117" s="147">
        <f t="shared" si="107"/>
        <v>424.65753424657532</v>
      </c>
      <c r="AF117" s="147">
        <f t="shared" si="107"/>
        <v>424.65753424657532</v>
      </c>
      <c r="AG117" s="147">
        <f t="shared" si="107"/>
        <v>410.95890410958901</v>
      </c>
      <c r="AH117" s="148">
        <f t="shared" si="100"/>
        <v>4999.9999999999991</v>
      </c>
    </row>
    <row r="118" spans="1:38" s="136" customFormat="1" x14ac:dyDescent="0.2">
      <c r="A118" s="155" t="s">
        <v>382</v>
      </c>
      <c r="B118" s="149"/>
      <c r="C118" s="138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50"/>
      <c r="S118" s="145" t="s">
        <v>383</v>
      </c>
      <c r="T118" s="136" t="str">
        <f t="shared" si="103"/>
        <v>0753</v>
      </c>
      <c r="U118" s="136" t="str">
        <f t="shared" si="104"/>
        <v>7580000753</v>
      </c>
      <c r="V118" s="147">
        <f t="shared" si="107"/>
        <v>0</v>
      </c>
      <c r="W118" s="147">
        <f t="shared" si="107"/>
        <v>0</v>
      </c>
      <c r="X118" s="147">
        <f t="shared" si="107"/>
        <v>0</v>
      </c>
      <c r="Y118" s="147">
        <f t="shared" si="107"/>
        <v>0</v>
      </c>
      <c r="Z118" s="147">
        <f t="shared" si="107"/>
        <v>0</v>
      </c>
      <c r="AA118" s="147">
        <f t="shared" si="107"/>
        <v>0</v>
      </c>
      <c r="AB118" s="147">
        <f t="shared" si="107"/>
        <v>0</v>
      </c>
      <c r="AC118" s="147">
        <f t="shared" si="107"/>
        <v>0</v>
      </c>
      <c r="AD118" s="147">
        <f t="shared" si="107"/>
        <v>0</v>
      </c>
      <c r="AE118" s="147">
        <f t="shared" si="107"/>
        <v>0</v>
      </c>
      <c r="AF118" s="147">
        <f t="shared" si="107"/>
        <v>0</v>
      </c>
      <c r="AG118" s="147">
        <f t="shared" si="107"/>
        <v>0</v>
      </c>
      <c r="AH118" s="148">
        <f t="shared" si="100"/>
        <v>0</v>
      </c>
    </row>
    <row r="119" spans="1:38" s="136" customFormat="1" x14ac:dyDescent="0.2">
      <c r="A119" s="155" t="s">
        <v>110</v>
      </c>
      <c r="B119" s="149">
        <v>5000</v>
      </c>
      <c r="C119" s="138"/>
      <c r="D119" s="147">
        <f t="shared" ref="D119:O122" si="109">($B119/$P$8)*D$8</f>
        <v>424.65753424657532</v>
      </c>
      <c r="E119" s="147">
        <f t="shared" si="109"/>
        <v>410.95890410958901</v>
      </c>
      <c r="F119" s="147">
        <f t="shared" si="109"/>
        <v>424.65753424657532</v>
      </c>
      <c r="G119" s="147">
        <f t="shared" si="109"/>
        <v>424.65753424657532</v>
      </c>
      <c r="H119" s="147">
        <f t="shared" si="109"/>
        <v>383.56164383561645</v>
      </c>
      <c r="I119" s="147">
        <f t="shared" si="109"/>
        <v>424.65753424657532</v>
      </c>
      <c r="J119" s="147">
        <f t="shared" si="109"/>
        <v>410.95890410958901</v>
      </c>
      <c r="K119" s="147">
        <f t="shared" si="109"/>
        <v>424.65753424657532</v>
      </c>
      <c r="L119" s="147">
        <f t="shared" si="109"/>
        <v>410.95890410958901</v>
      </c>
      <c r="M119" s="147">
        <f t="shared" si="109"/>
        <v>424.65753424657532</v>
      </c>
      <c r="N119" s="147">
        <f t="shared" si="109"/>
        <v>424.65753424657532</v>
      </c>
      <c r="O119" s="147">
        <f t="shared" si="109"/>
        <v>410.95890410958901</v>
      </c>
      <c r="P119" s="147">
        <f>SUM(D119:O119)</f>
        <v>4999.9999999999991</v>
      </c>
      <c r="Q119" s="150"/>
      <c r="S119" s="145" t="s">
        <v>384</v>
      </c>
      <c r="T119" s="136" t="str">
        <f t="shared" si="103"/>
        <v>0753</v>
      </c>
      <c r="U119" s="136" t="str">
        <f t="shared" si="104"/>
        <v>8090000753</v>
      </c>
      <c r="V119" s="147">
        <f t="shared" si="107"/>
        <v>0</v>
      </c>
      <c r="W119" s="147">
        <f t="shared" si="107"/>
        <v>0</v>
      </c>
      <c r="X119" s="147">
        <f t="shared" si="107"/>
        <v>0</v>
      </c>
      <c r="Y119" s="147">
        <f t="shared" si="107"/>
        <v>0</v>
      </c>
      <c r="Z119" s="147">
        <f t="shared" si="107"/>
        <v>0</v>
      </c>
      <c r="AA119" s="147">
        <f t="shared" si="107"/>
        <v>0</v>
      </c>
      <c r="AB119" s="147">
        <f t="shared" si="107"/>
        <v>0</v>
      </c>
      <c r="AC119" s="147">
        <f t="shared" si="107"/>
        <v>0</v>
      </c>
      <c r="AD119" s="147">
        <f t="shared" si="107"/>
        <v>0</v>
      </c>
      <c r="AE119" s="147">
        <f t="shared" si="107"/>
        <v>0</v>
      </c>
      <c r="AF119" s="147">
        <f t="shared" si="107"/>
        <v>0</v>
      </c>
      <c r="AG119" s="147">
        <f t="shared" si="107"/>
        <v>0</v>
      </c>
      <c r="AH119" s="148">
        <f t="shared" si="100"/>
        <v>0</v>
      </c>
    </row>
    <row r="120" spans="1:38" s="136" customFormat="1" x14ac:dyDescent="0.2">
      <c r="A120" s="155" t="s">
        <v>111</v>
      </c>
      <c r="B120" s="149">
        <v>48000</v>
      </c>
      <c r="C120" s="138"/>
      <c r="D120" s="147">
        <f t="shared" si="109"/>
        <v>4076.7123287671238</v>
      </c>
      <c r="E120" s="147">
        <f t="shared" si="109"/>
        <v>3945.2054794520554</v>
      </c>
      <c r="F120" s="147">
        <f t="shared" si="109"/>
        <v>4076.7123287671238</v>
      </c>
      <c r="G120" s="147">
        <f t="shared" si="109"/>
        <v>4076.7123287671238</v>
      </c>
      <c r="H120" s="147">
        <f t="shared" si="109"/>
        <v>3682.1917808219182</v>
      </c>
      <c r="I120" s="147">
        <f t="shared" si="109"/>
        <v>4076.7123287671238</v>
      </c>
      <c r="J120" s="147">
        <f t="shared" si="109"/>
        <v>3945.2054794520554</v>
      </c>
      <c r="K120" s="147">
        <f t="shared" si="109"/>
        <v>4076.7123287671238</v>
      </c>
      <c r="L120" s="147">
        <f t="shared" si="109"/>
        <v>3945.2054794520554</v>
      </c>
      <c r="M120" s="147">
        <f t="shared" si="109"/>
        <v>4076.7123287671238</v>
      </c>
      <c r="N120" s="147">
        <f t="shared" si="109"/>
        <v>4076.7123287671238</v>
      </c>
      <c r="O120" s="147">
        <f t="shared" si="109"/>
        <v>3945.2054794520554</v>
      </c>
      <c r="P120" s="147">
        <f t="shared" ref="P120:P122" si="110">SUM(D120:O120)</f>
        <v>48000.000000000015</v>
      </c>
      <c r="Q120" s="150"/>
      <c r="S120" s="145" t="s">
        <v>385</v>
      </c>
      <c r="T120" s="136" t="str">
        <f t="shared" si="103"/>
        <v>0753</v>
      </c>
      <c r="U120" s="136" t="str">
        <f t="shared" si="104"/>
        <v>8010000753</v>
      </c>
      <c r="V120" s="147">
        <f t="shared" si="107"/>
        <v>0</v>
      </c>
      <c r="W120" s="147">
        <f t="shared" si="107"/>
        <v>0</v>
      </c>
      <c r="X120" s="147">
        <f t="shared" si="107"/>
        <v>0</v>
      </c>
      <c r="Y120" s="147">
        <f t="shared" si="107"/>
        <v>0</v>
      </c>
      <c r="Z120" s="147">
        <f t="shared" si="107"/>
        <v>0</v>
      </c>
      <c r="AA120" s="147">
        <f t="shared" si="107"/>
        <v>0</v>
      </c>
      <c r="AB120" s="147">
        <f t="shared" si="107"/>
        <v>0</v>
      </c>
      <c r="AC120" s="147">
        <f t="shared" si="107"/>
        <v>0</v>
      </c>
      <c r="AD120" s="147">
        <f t="shared" si="107"/>
        <v>0</v>
      </c>
      <c r="AE120" s="147">
        <f t="shared" si="107"/>
        <v>0</v>
      </c>
      <c r="AF120" s="147">
        <f t="shared" si="107"/>
        <v>0</v>
      </c>
      <c r="AG120" s="147">
        <f t="shared" si="107"/>
        <v>0</v>
      </c>
      <c r="AH120" s="148">
        <f t="shared" si="100"/>
        <v>0</v>
      </c>
    </row>
    <row r="121" spans="1:38" s="168" customFormat="1" x14ac:dyDescent="0.2">
      <c r="A121" s="155" t="s">
        <v>386</v>
      </c>
      <c r="B121" s="149"/>
      <c r="C121" s="138"/>
      <c r="D121" s="147">
        <f t="shared" si="109"/>
        <v>0</v>
      </c>
      <c r="E121" s="147">
        <f t="shared" si="109"/>
        <v>0</v>
      </c>
      <c r="F121" s="147">
        <f t="shared" si="109"/>
        <v>0</v>
      </c>
      <c r="G121" s="147">
        <f t="shared" si="109"/>
        <v>0</v>
      </c>
      <c r="H121" s="147">
        <f t="shared" si="109"/>
        <v>0</v>
      </c>
      <c r="I121" s="147">
        <f t="shared" si="109"/>
        <v>0</v>
      </c>
      <c r="J121" s="147">
        <f t="shared" si="109"/>
        <v>0</v>
      </c>
      <c r="K121" s="147">
        <f t="shared" si="109"/>
        <v>0</v>
      </c>
      <c r="L121" s="147">
        <f t="shared" si="109"/>
        <v>0</v>
      </c>
      <c r="M121" s="147">
        <f t="shared" si="109"/>
        <v>0</v>
      </c>
      <c r="N121" s="147">
        <f t="shared" si="109"/>
        <v>0</v>
      </c>
      <c r="O121" s="147">
        <f t="shared" si="109"/>
        <v>0</v>
      </c>
      <c r="P121" s="147">
        <f t="shared" si="110"/>
        <v>0</v>
      </c>
      <c r="Q121" s="150"/>
      <c r="R121" s="136"/>
      <c r="S121" s="145" t="s">
        <v>387</v>
      </c>
      <c r="T121" s="136" t="str">
        <f t="shared" si="103"/>
        <v>0753</v>
      </c>
      <c r="U121" s="136" t="str">
        <f t="shared" si="104"/>
        <v>8050000753</v>
      </c>
      <c r="V121" s="147">
        <f t="shared" si="107"/>
        <v>0</v>
      </c>
      <c r="W121" s="147">
        <f t="shared" si="107"/>
        <v>0</v>
      </c>
      <c r="X121" s="147">
        <f t="shared" si="107"/>
        <v>0</v>
      </c>
      <c r="Y121" s="147">
        <f t="shared" si="107"/>
        <v>0</v>
      </c>
      <c r="Z121" s="147">
        <f t="shared" si="107"/>
        <v>0</v>
      </c>
      <c r="AA121" s="147">
        <f t="shared" si="107"/>
        <v>0</v>
      </c>
      <c r="AB121" s="147">
        <f t="shared" si="107"/>
        <v>0</v>
      </c>
      <c r="AC121" s="147">
        <f t="shared" si="107"/>
        <v>0</v>
      </c>
      <c r="AD121" s="147">
        <f t="shared" si="107"/>
        <v>0</v>
      </c>
      <c r="AE121" s="147">
        <f t="shared" si="107"/>
        <v>0</v>
      </c>
      <c r="AF121" s="147">
        <f t="shared" si="107"/>
        <v>0</v>
      </c>
      <c r="AG121" s="147">
        <f t="shared" si="107"/>
        <v>0</v>
      </c>
      <c r="AH121" s="148">
        <f t="shared" si="100"/>
        <v>0</v>
      </c>
      <c r="AI121" s="136"/>
      <c r="AJ121" s="136"/>
      <c r="AK121" s="136"/>
      <c r="AL121" s="136"/>
    </row>
    <row r="122" spans="1:38" s="168" customFormat="1" x14ac:dyDescent="0.2">
      <c r="A122" s="155" t="s">
        <v>388</v>
      </c>
      <c r="B122" s="149"/>
      <c r="C122" s="138"/>
      <c r="D122" s="147">
        <f t="shared" si="109"/>
        <v>0</v>
      </c>
      <c r="E122" s="147">
        <f t="shared" si="109"/>
        <v>0</v>
      </c>
      <c r="F122" s="147">
        <f t="shared" si="109"/>
        <v>0</v>
      </c>
      <c r="G122" s="147">
        <f t="shared" si="109"/>
        <v>0</v>
      </c>
      <c r="H122" s="147">
        <f t="shared" si="109"/>
        <v>0</v>
      </c>
      <c r="I122" s="147">
        <f t="shared" si="109"/>
        <v>0</v>
      </c>
      <c r="J122" s="147">
        <f t="shared" si="109"/>
        <v>0</v>
      </c>
      <c r="K122" s="147">
        <f t="shared" si="109"/>
        <v>0</v>
      </c>
      <c r="L122" s="147">
        <f t="shared" si="109"/>
        <v>0</v>
      </c>
      <c r="M122" s="147">
        <f t="shared" si="109"/>
        <v>0</v>
      </c>
      <c r="N122" s="147">
        <f t="shared" si="109"/>
        <v>0</v>
      </c>
      <c r="O122" s="147">
        <f t="shared" si="109"/>
        <v>0</v>
      </c>
      <c r="P122" s="147">
        <f t="shared" si="110"/>
        <v>0</v>
      </c>
      <c r="Q122" s="150"/>
      <c r="R122" s="136"/>
      <c r="S122" s="145" t="s">
        <v>389</v>
      </c>
      <c r="T122" s="136" t="str">
        <f t="shared" si="103"/>
        <v>0753</v>
      </c>
      <c r="U122" s="136" t="str">
        <f t="shared" si="104"/>
        <v>8100000753</v>
      </c>
      <c r="V122" s="147">
        <f t="shared" si="107"/>
        <v>0</v>
      </c>
      <c r="W122" s="147">
        <f t="shared" si="107"/>
        <v>0</v>
      </c>
      <c r="X122" s="147">
        <f t="shared" si="107"/>
        <v>0</v>
      </c>
      <c r="Y122" s="147">
        <f t="shared" si="107"/>
        <v>0</v>
      </c>
      <c r="Z122" s="147">
        <f t="shared" si="107"/>
        <v>0</v>
      </c>
      <c r="AA122" s="147">
        <f t="shared" si="107"/>
        <v>0</v>
      </c>
      <c r="AB122" s="147">
        <f t="shared" si="107"/>
        <v>0</v>
      </c>
      <c r="AC122" s="147">
        <f t="shared" si="107"/>
        <v>0</v>
      </c>
      <c r="AD122" s="147">
        <f t="shared" si="107"/>
        <v>0</v>
      </c>
      <c r="AE122" s="147">
        <f t="shared" si="107"/>
        <v>0</v>
      </c>
      <c r="AF122" s="147">
        <f t="shared" si="107"/>
        <v>0</v>
      </c>
      <c r="AG122" s="147">
        <f t="shared" si="107"/>
        <v>0</v>
      </c>
      <c r="AH122" s="148">
        <f t="shared" si="100"/>
        <v>0</v>
      </c>
      <c r="AI122" s="136"/>
      <c r="AJ122" s="136"/>
      <c r="AK122" s="136"/>
      <c r="AL122" s="136"/>
    </row>
    <row r="123" spans="1:38" s="136" customFormat="1" x14ac:dyDescent="0.2">
      <c r="B123" s="151"/>
      <c r="C123" s="138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0"/>
      <c r="R123" s="168"/>
      <c r="S123" s="145" t="s">
        <v>390</v>
      </c>
      <c r="T123" s="136" t="str">
        <f t="shared" si="103"/>
        <v>0753</v>
      </c>
      <c r="U123" s="136" t="str">
        <f t="shared" si="104"/>
        <v>9620000753</v>
      </c>
      <c r="V123" s="147">
        <f t="shared" ref="V123:AG124" si="111">+D214</f>
        <v>0</v>
      </c>
      <c r="W123" s="147">
        <f t="shared" si="111"/>
        <v>0</v>
      </c>
      <c r="X123" s="147">
        <f t="shared" si="111"/>
        <v>0</v>
      </c>
      <c r="Y123" s="147">
        <f t="shared" si="111"/>
        <v>0</v>
      </c>
      <c r="Z123" s="147">
        <f t="shared" si="111"/>
        <v>0</v>
      </c>
      <c r="AA123" s="147">
        <f t="shared" si="111"/>
        <v>0</v>
      </c>
      <c r="AB123" s="147">
        <f t="shared" si="111"/>
        <v>0</v>
      </c>
      <c r="AC123" s="147">
        <f t="shared" si="111"/>
        <v>0</v>
      </c>
      <c r="AD123" s="147">
        <f t="shared" si="111"/>
        <v>0</v>
      </c>
      <c r="AE123" s="147">
        <f t="shared" si="111"/>
        <v>0</v>
      </c>
      <c r="AF123" s="147">
        <f t="shared" si="111"/>
        <v>0</v>
      </c>
      <c r="AG123" s="147">
        <f t="shared" si="111"/>
        <v>0</v>
      </c>
      <c r="AH123" s="148">
        <f t="shared" si="100"/>
        <v>0</v>
      </c>
      <c r="AK123" s="168"/>
      <c r="AL123" s="168"/>
    </row>
    <row r="124" spans="1:38" s="136" customFormat="1" x14ac:dyDescent="0.2">
      <c r="A124" s="155" t="s">
        <v>391</v>
      </c>
      <c r="B124" s="175">
        <f>SUM(B119:B123)</f>
        <v>53000</v>
      </c>
      <c r="C124" s="138"/>
      <c r="D124" s="164">
        <f t="shared" ref="D124:P124" si="112">SUM(D119:D123)</f>
        <v>4501.3698630136987</v>
      </c>
      <c r="E124" s="164">
        <f t="shared" si="112"/>
        <v>4356.1643835616442</v>
      </c>
      <c r="F124" s="164">
        <f t="shared" si="112"/>
        <v>4501.3698630136987</v>
      </c>
      <c r="G124" s="164">
        <f t="shared" si="112"/>
        <v>4501.3698630136987</v>
      </c>
      <c r="H124" s="164">
        <f t="shared" si="112"/>
        <v>4065.7534246575347</v>
      </c>
      <c r="I124" s="164">
        <f t="shared" si="112"/>
        <v>4501.3698630136987</v>
      </c>
      <c r="J124" s="164">
        <f t="shared" si="112"/>
        <v>4356.1643835616442</v>
      </c>
      <c r="K124" s="164">
        <f t="shared" si="112"/>
        <v>4501.3698630136987</v>
      </c>
      <c r="L124" s="164">
        <f t="shared" si="112"/>
        <v>4356.1643835616442</v>
      </c>
      <c r="M124" s="164">
        <f t="shared" si="112"/>
        <v>4501.3698630136987</v>
      </c>
      <c r="N124" s="164">
        <f t="shared" si="112"/>
        <v>4501.3698630136987</v>
      </c>
      <c r="O124" s="164">
        <f t="shared" si="112"/>
        <v>4356.1643835616442</v>
      </c>
      <c r="P124" s="164">
        <f t="shared" si="112"/>
        <v>53000.000000000015</v>
      </c>
      <c r="Q124" s="150"/>
      <c r="R124" s="168"/>
      <c r="S124" s="145" t="s">
        <v>392</v>
      </c>
      <c r="T124" s="136" t="str">
        <f t="shared" si="103"/>
        <v>0753</v>
      </c>
      <c r="U124" s="136" t="str">
        <f t="shared" si="104"/>
        <v>9520000753</v>
      </c>
      <c r="V124" s="147">
        <f t="shared" si="111"/>
        <v>0</v>
      </c>
      <c r="W124" s="147">
        <f t="shared" si="111"/>
        <v>0</v>
      </c>
      <c r="X124" s="147">
        <f t="shared" si="111"/>
        <v>0</v>
      </c>
      <c r="Y124" s="147">
        <f t="shared" si="111"/>
        <v>0</v>
      </c>
      <c r="Z124" s="147">
        <f t="shared" si="111"/>
        <v>0</v>
      </c>
      <c r="AA124" s="147">
        <f t="shared" si="111"/>
        <v>0</v>
      </c>
      <c r="AB124" s="147">
        <f t="shared" si="111"/>
        <v>0</v>
      </c>
      <c r="AC124" s="147">
        <f t="shared" si="111"/>
        <v>0</v>
      </c>
      <c r="AD124" s="147">
        <f t="shared" si="111"/>
        <v>0</v>
      </c>
      <c r="AE124" s="147">
        <f t="shared" si="111"/>
        <v>0</v>
      </c>
      <c r="AF124" s="147">
        <f t="shared" si="111"/>
        <v>0</v>
      </c>
      <c r="AG124" s="147">
        <f t="shared" si="111"/>
        <v>0</v>
      </c>
      <c r="AH124" s="148">
        <f t="shared" si="100"/>
        <v>0</v>
      </c>
      <c r="AK124" s="168"/>
      <c r="AL124" s="168"/>
    </row>
    <row r="125" spans="1:38" s="136" customFormat="1" x14ac:dyDescent="0.2">
      <c r="B125" s="179"/>
      <c r="C125" s="138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50"/>
    </row>
    <row r="126" spans="1:38" s="136" customFormat="1" ht="13.5" thickBot="1" x14ac:dyDescent="0.25">
      <c r="A126" s="155" t="s">
        <v>393</v>
      </c>
      <c r="B126" s="172" t="e">
        <f>B99+B109+B116+B124</f>
        <v>#REF!</v>
      </c>
      <c r="C126" s="138"/>
      <c r="D126" s="173" t="e">
        <f t="shared" ref="D126:P126" si="113">D99+D109+D116+D124</f>
        <v>#REF!</v>
      </c>
      <c r="E126" s="173" t="e">
        <f t="shared" si="113"/>
        <v>#REF!</v>
      </c>
      <c r="F126" s="173" t="e">
        <f t="shared" si="113"/>
        <v>#REF!</v>
      </c>
      <c r="G126" s="173" t="e">
        <f t="shared" si="113"/>
        <v>#REF!</v>
      </c>
      <c r="H126" s="173" t="e">
        <f t="shared" si="113"/>
        <v>#REF!</v>
      </c>
      <c r="I126" s="173" t="e">
        <f t="shared" si="113"/>
        <v>#REF!</v>
      </c>
      <c r="J126" s="173" t="e">
        <f t="shared" si="113"/>
        <v>#REF!</v>
      </c>
      <c r="K126" s="173" t="e">
        <f t="shared" si="113"/>
        <v>#REF!</v>
      </c>
      <c r="L126" s="173" t="e">
        <f t="shared" si="113"/>
        <v>#REF!</v>
      </c>
      <c r="M126" s="173" t="e">
        <f t="shared" si="113"/>
        <v>#REF!</v>
      </c>
      <c r="N126" s="173" t="e">
        <f t="shared" si="113"/>
        <v>#REF!</v>
      </c>
      <c r="O126" s="173" t="e">
        <f t="shared" si="113"/>
        <v>#REF!</v>
      </c>
      <c r="P126" s="173" t="e">
        <f t="shared" si="113"/>
        <v>#REF!</v>
      </c>
      <c r="Q126" s="150"/>
      <c r="AH126" s="147"/>
      <c r="AJ126" s="168"/>
    </row>
    <row r="127" spans="1:38" s="136" customFormat="1" ht="13.5" thickTop="1" x14ac:dyDescent="0.2">
      <c r="A127" s="168"/>
      <c r="B127" s="176" t="e">
        <f>B126/B$23</f>
        <v>#REF!</v>
      </c>
      <c r="C127" s="138"/>
      <c r="D127" s="174" t="e">
        <f t="shared" ref="D127:P127" si="114">D126/D$23</f>
        <v>#REF!</v>
      </c>
      <c r="E127" s="174" t="e">
        <f t="shared" si="114"/>
        <v>#REF!</v>
      </c>
      <c r="F127" s="174" t="e">
        <f t="shared" si="114"/>
        <v>#REF!</v>
      </c>
      <c r="G127" s="174" t="e">
        <f t="shared" si="114"/>
        <v>#REF!</v>
      </c>
      <c r="H127" s="174" t="e">
        <f t="shared" si="114"/>
        <v>#REF!</v>
      </c>
      <c r="I127" s="174" t="e">
        <f t="shared" si="114"/>
        <v>#REF!</v>
      </c>
      <c r="J127" s="174" t="e">
        <f t="shared" si="114"/>
        <v>#REF!</v>
      </c>
      <c r="K127" s="174" t="e">
        <f t="shared" si="114"/>
        <v>#REF!</v>
      </c>
      <c r="L127" s="174" t="e">
        <f t="shared" si="114"/>
        <v>#REF!</v>
      </c>
      <c r="M127" s="174" t="e">
        <f t="shared" si="114"/>
        <v>#REF!</v>
      </c>
      <c r="N127" s="174" t="e">
        <f t="shared" si="114"/>
        <v>#REF!</v>
      </c>
      <c r="O127" s="174" t="e">
        <f t="shared" si="114"/>
        <v>#REF!</v>
      </c>
      <c r="P127" s="174" t="e">
        <f t="shared" si="114"/>
        <v>#REF!</v>
      </c>
      <c r="Q127" s="168"/>
      <c r="V127" s="147" t="e">
        <f>SUM(V10:V126)</f>
        <v>#REF!</v>
      </c>
      <c r="W127" s="147" t="e">
        <f t="shared" ref="W127:AG127" si="115">SUM(W10:W126)</f>
        <v>#REF!</v>
      </c>
      <c r="X127" s="147" t="e">
        <f t="shared" si="115"/>
        <v>#REF!</v>
      </c>
      <c r="Y127" s="147" t="e">
        <f t="shared" si="115"/>
        <v>#REF!</v>
      </c>
      <c r="Z127" s="147" t="e">
        <f t="shared" si="115"/>
        <v>#REF!</v>
      </c>
      <c r="AA127" s="147" t="e">
        <f t="shared" si="115"/>
        <v>#REF!</v>
      </c>
      <c r="AB127" s="147" t="e">
        <f t="shared" si="115"/>
        <v>#REF!</v>
      </c>
      <c r="AC127" s="147" t="e">
        <f t="shared" si="115"/>
        <v>#REF!</v>
      </c>
      <c r="AD127" s="147" t="e">
        <f t="shared" si="115"/>
        <v>#REF!</v>
      </c>
      <c r="AE127" s="147" t="e">
        <f t="shared" si="115"/>
        <v>#REF!</v>
      </c>
      <c r="AF127" s="147" t="e">
        <f t="shared" si="115"/>
        <v>#REF!</v>
      </c>
      <c r="AG127" s="147" t="e">
        <f t="shared" si="115"/>
        <v>#REF!</v>
      </c>
      <c r="AH127" s="147" t="e">
        <f>SUM(V127:AG127)</f>
        <v>#REF!</v>
      </c>
      <c r="AJ127" s="168"/>
    </row>
    <row r="128" spans="1:38" s="136" customFormat="1" x14ac:dyDescent="0.2">
      <c r="A128" s="168"/>
      <c r="B128" s="149"/>
      <c r="C128" s="138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50"/>
      <c r="S128" s="145"/>
      <c r="V128" s="147" t="e">
        <f t="shared" ref="V128:AH128" si="116">+V127+D217</f>
        <v>#REF!</v>
      </c>
      <c r="W128" s="147" t="e">
        <f t="shared" si="116"/>
        <v>#REF!</v>
      </c>
      <c r="X128" s="147" t="e">
        <f t="shared" si="116"/>
        <v>#REF!</v>
      </c>
      <c r="Y128" s="147" t="e">
        <f t="shared" si="116"/>
        <v>#REF!</v>
      </c>
      <c r="Z128" s="147" t="e">
        <f t="shared" si="116"/>
        <v>#REF!</v>
      </c>
      <c r="AA128" s="147" t="e">
        <f t="shared" si="116"/>
        <v>#REF!</v>
      </c>
      <c r="AB128" s="147" t="e">
        <f t="shared" si="116"/>
        <v>#REF!</v>
      </c>
      <c r="AC128" s="147" t="e">
        <f t="shared" si="116"/>
        <v>#REF!</v>
      </c>
      <c r="AD128" s="147" t="e">
        <f t="shared" si="116"/>
        <v>#REF!</v>
      </c>
      <c r="AE128" s="147" t="e">
        <f t="shared" si="116"/>
        <v>#REF!</v>
      </c>
      <c r="AF128" s="147" t="e">
        <f t="shared" si="116"/>
        <v>#REF!</v>
      </c>
      <c r="AG128" s="147" t="e">
        <f t="shared" si="116"/>
        <v>#REF!</v>
      </c>
      <c r="AH128" s="147" t="e">
        <f t="shared" si="116"/>
        <v>#REF!</v>
      </c>
      <c r="AI128" s="168"/>
    </row>
    <row r="129" spans="1:35" s="136" customFormat="1" x14ac:dyDescent="0.2">
      <c r="A129" s="155" t="s">
        <v>394</v>
      </c>
      <c r="B129" s="149"/>
      <c r="C129" s="138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50"/>
      <c r="S129" s="145"/>
      <c r="AI129" s="168"/>
    </row>
    <row r="130" spans="1:35" s="136" customFormat="1" x14ac:dyDescent="0.2">
      <c r="A130" s="155" t="s">
        <v>395</v>
      </c>
      <c r="B130" s="149"/>
      <c r="C130" s="138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50"/>
      <c r="S130" s="145"/>
      <c r="AH130" s="147" t="e">
        <f>AH127+P217</f>
        <v>#REF!</v>
      </c>
    </row>
    <row r="131" spans="1:35" s="136" customFormat="1" x14ac:dyDescent="0.2">
      <c r="A131" s="155" t="s">
        <v>396</v>
      </c>
      <c r="B131" s="149">
        <f>146000+35000+5000-2500</f>
        <v>183500</v>
      </c>
      <c r="C131" s="138"/>
      <c r="D131" s="147">
        <f t="shared" ref="D131:O134" si="117">($B131/$P$8)*D$8</f>
        <v>15584.931506849314</v>
      </c>
      <c r="E131" s="147">
        <f t="shared" si="117"/>
        <v>15082.191780821917</v>
      </c>
      <c r="F131" s="147">
        <f t="shared" si="117"/>
        <v>15584.931506849314</v>
      </c>
      <c r="G131" s="147">
        <f t="shared" si="117"/>
        <v>15584.931506849314</v>
      </c>
      <c r="H131" s="147">
        <f t="shared" si="117"/>
        <v>14076.712328767122</v>
      </c>
      <c r="I131" s="147">
        <f t="shared" si="117"/>
        <v>15584.931506849314</v>
      </c>
      <c r="J131" s="147">
        <f t="shared" si="117"/>
        <v>15082.191780821917</v>
      </c>
      <c r="K131" s="147">
        <f t="shared" si="117"/>
        <v>15584.931506849314</v>
      </c>
      <c r="L131" s="147">
        <f t="shared" si="117"/>
        <v>15082.191780821917</v>
      </c>
      <c r="M131" s="147">
        <f t="shared" si="117"/>
        <v>15584.931506849314</v>
      </c>
      <c r="N131" s="147">
        <f t="shared" si="117"/>
        <v>15584.931506849314</v>
      </c>
      <c r="O131" s="147">
        <f t="shared" si="117"/>
        <v>15082.191780821917</v>
      </c>
      <c r="P131" s="147">
        <f>SUM(D131:O131)</f>
        <v>183499.99999999997</v>
      </c>
      <c r="Q131" s="150"/>
      <c r="S131" s="145"/>
    </row>
    <row r="132" spans="1:35" s="136" customFormat="1" x14ac:dyDescent="0.2">
      <c r="A132" s="155" t="s">
        <v>397</v>
      </c>
      <c r="B132" s="149"/>
      <c r="C132" s="138"/>
      <c r="D132" s="147">
        <f t="shared" si="117"/>
        <v>0</v>
      </c>
      <c r="E132" s="147">
        <f t="shared" si="117"/>
        <v>0</v>
      </c>
      <c r="F132" s="147">
        <f t="shared" si="117"/>
        <v>0</v>
      </c>
      <c r="G132" s="147">
        <f t="shared" si="117"/>
        <v>0</v>
      </c>
      <c r="H132" s="147">
        <f t="shared" si="117"/>
        <v>0</v>
      </c>
      <c r="I132" s="147">
        <f t="shared" si="117"/>
        <v>0</v>
      </c>
      <c r="J132" s="147">
        <f t="shared" si="117"/>
        <v>0</v>
      </c>
      <c r="K132" s="147">
        <f t="shared" si="117"/>
        <v>0</v>
      </c>
      <c r="L132" s="147">
        <f t="shared" si="117"/>
        <v>0</v>
      </c>
      <c r="M132" s="147">
        <f t="shared" si="117"/>
        <v>0</v>
      </c>
      <c r="N132" s="147">
        <f t="shared" si="117"/>
        <v>0</v>
      </c>
      <c r="O132" s="147">
        <f t="shared" si="117"/>
        <v>0</v>
      </c>
      <c r="P132" s="147">
        <f t="shared" ref="P132:P134" si="118">SUM(D132:O132)</f>
        <v>0</v>
      </c>
      <c r="Q132" s="150"/>
      <c r="S132" s="145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</row>
    <row r="133" spans="1:35" s="136" customFormat="1" x14ac:dyDescent="0.2">
      <c r="A133" s="155" t="s">
        <v>398</v>
      </c>
      <c r="B133" s="149">
        <f>135000+15000-2500</f>
        <v>147500</v>
      </c>
      <c r="C133" s="138"/>
      <c r="D133" s="147">
        <f t="shared" si="117"/>
        <v>12527.397260273972</v>
      </c>
      <c r="E133" s="147">
        <f t="shared" si="117"/>
        <v>12123.287671232876</v>
      </c>
      <c r="F133" s="147">
        <f t="shared" si="117"/>
        <v>12527.397260273972</v>
      </c>
      <c r="G133" s="147">
        <f t="shared" si="117"/>
        <v>12527.397260273972</v>
      </c>
      <c r="H133" s="147">
        <f t="shared" si="117"/>
        <v>11315.068493150684</v>
      </c>
      <c r="I133" s="147">
        <f t="shared" si="117"/>
        <v>12527.397260273972</v>
      </c>
      <c r="J133" s="147">
        <f t="shared" si="117"/>
        <v>12123.287671232876</v>
      </c>
      <c r="K133" s="147">
        <f t="shared" si="117"/>
        <v>12527.397260273972</v>
      </c>
      <c r="L133" s="147">
        <f t="shared" si="117"/>
        <v>12123.287671232876</v>
      </c>
      <c r="M133" s="147">
        <f t="shared" si="117"/>
        <v>12527.397260273972</v>
      </c>
      <c r="N133" s="147">
        <f t="shared" si="117"/>
        <v>12527.397260273972</v>
      </c>
      <c r="O133" s="147">
        <f t="shared" si="117"/>
        <v>12123.287671232876</v>
      </c>
      <c r="P133" s="147">
        <f t="shared" si="118"/>
        <v>147500</v>
      </c>
      <c r="Q133" s="150"/>
      <c r="S133" s="145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</row>
    <row r="134" spans="1:35" s="136" customFormat="1" x14ac:dyDescent="0.2">
      <c r="A134" s="155" t="s">
        <v>397</v>
      </c>
      <c r="B134" s="149"/>
      <c r="C134" s="138"/>
      <c r="D134" s="147">
        <f t="shared" si="117"/>
        <v>0</v>
      </c>
      <c r="E134" s="147">
        <f t="shared" si="117"/>
        <v>0</v>
      </c>
      <c r="F134" s="147">
        <f t="shared" si="117"/>
        <v>0</v>
      </c>
      <c r="G134" s="147">
        <f t="shared" si="117"/>
        <v>0</v>
      </c>
      <c r="H134" s="147">
        <f t="shared" si="117"/>
        <v>0</v>
      </c>
      <c r="I134" s="147">
        <f t="shared" si="117"/>
        <v>0</v>
      </c>
      <c r="J134" s="147">
        <f t="shared" si="117"/>
        <v>0</v>
      </c>
      <c r="K134" s="147">
        <f t="shared" si="117"/>
        <v>0</v>
      </c>
      <c r="L134" s="147">
        <f t="shared" si="117"/>
        <v>0</v>
      </c>
      <c r="M134" s="147">
        <f t="shared" si="117"/>
        <v>0</v>
      </c>
      <c r="N134" s="147">
        <f t="shared" si="117"/>
        <v>0</v>
      </c>
      <c r="O134" s="147">
        <f t="shared" si="117"/>
        <v>0</v>
      </c>
      <c r="P134" s="147">
        <f t="shared" si="118"/>
        <v>0</v>
      </c>
      <c r="Q134" s="150"/>
      <c r="S134" s="145"/>
    </row>
    <row r="135" spans="1:35" s="136" customFormat="1" x14ac:dyDescent="0.2">
      <c r="B135" s="151"/>
      <c r="C135" s="138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0"/>
      <c r="S135" s="145"/>
    </row>
    <row r="136" spans="1:35" s="136" customFormat="1" x14ac:dyDescent="0.2">
      <c r="A136" s="155" t="s">
        <v>399</v>
      </c>
      <c r="B136" s="175">
        <f>SUM(B131:B135)</f>
        <v>331000</v>
      </c>
      <c r="C136" s="138"/>
      <c r="D136" s="164">
        <f t="shared" ref="D136:P136" si="119">SUM(D131:D135)</f>
        <v>28112.328767123287</v>
      </c>
      <c r="E136" s="164">
        <f t="shared" si="119"/>
        <v>27205.479452054795</v>
      </c>
      <c r="F136" s="164">
        <f t="shared" si="119"/>
        <v>28112.328767123287</v>
      </c>
      <c r="G136" s="164">
        <f t="shared" si="119"/>
        <v>28112.328767123287</v>
      </c>
      <c r="H136" s="164">
        <f t="shared" si="119"/>
        <v>25391.780821917804</v>
      </c>
      <c r="I136" s="164">
        <f t="shared" si="119"/>
        <v>28112.328767123287</v>
      </c>
      <c r="J136" s="164">
        <f t="shared" si="119"/>
        <v>27205.479452054795</v>
      </c>
      <c r="K136" s="164">
        <f t="shared" si="119"/>
        <v>28112.328767123287</v>
      </c>
      <c r="L136" s="164">
        <f t="shared" si="119"/>
        <v>27205.479452054795</v>
      </c>
      <c r="M136" s="164">
        <f t="shared" si="119"/>
        <v>28112.328767123287</v>
      </c>
      <c r="N136" s="164">
        <f t="shared" si="119"/>
        <v>28112.328767123287</v>
      </c>
      <c r="O136" s="164">
        <f t="shared" si="119"/>
        <v>27205.479452054795</v>
      </c>
      <c r="P136" s="164">
        <f t="shared" si="119"/>
        <v>331000</v>
      </c>
      <c r="Q136" s="150"/>
    </row>
    <row r="137" spans="1:35" s="136" customFormat="1" x14ac:dyDescent="0.2">
      <c r="B137" s="149"/>
      <c r="C137" s="138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50"/>
    </row>
    <row r="138" spans="1:35" s="136" customFormat="1" x14ac:dyDescent="0.2">
      <c r="A138" s="155" t="s">
        <v>400</v>
      </c>
      <c r="B138" s="149"/>
      <c r="C138" s="138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50"/>
    </row>
    <row r="139" spans="1:35" s="136" customFormat="1" x14ac:dyDescent="0.2">
      <c r="A139" s="155" t="s">
        <v>52</v>
      </c>
      <c r="B139" s="149">
        <v>5000</v>
      </c>
      <c r="C139" s="138"/>
      <c r="D139" s="147">
        <f t="shared" ref="D139:O140" si="120">($B139/$P$8)*D$8</f>
        <v>424.65753424657532</v>
      </c>
      <c r="E139" s="147">
        <f t="shared" si="120"/>
        <v>410.95890410958901</v>
      </c>
      <c r="F139" s="147">
        <f t="shared" si="120"/>
        <v>424.65753424657532</v>
      </c>
      <c r="G139" s="147">
        <f t="shared" si="120"/>
        <v>424.65753424657532</v>
      </c>
      <c r="H139" s="147">
        <f t="shared" si="120"/>
        <v>383.56164383561645</v>
      </c>
      <c r="I139" s="147">
        <f t="shared" si="120"/>
        <v>424.65753424657532</v>
      </c>
      <c r="J139" s="147">
        <f t="shared" si="120"/>
        <v>410.95890410958901</v>
      </c>
      <c r="K139" s="147">
        <f t="shared" si="120"/>
        <v>424.65753424657532</v>
      </c>
      <c r="L139" s="147">
        <f t="shared" si="120"/>
        <v>410.95890410958901</v>
      </c>
      <c r="M139" s="147">
        <f t="shared" si="120"/>
        <v>424.65753424657532</v>
      </c>
      <c r="N139" s="147">
        <f t="shared" si="120"/>
        <v>424.65753424657532</v>
      </c>
      <c r="O139" s="147">
        <f t="shared" si="120"/>
        <v>410.95890410958901</v>
      </c>
      <c r="P139" s="147">
        <f>SUM(D139:O139)</f>
        <v>4999.9999999999991</v>
      </c>
      <c r="Q139" s="150"/>
    </row>
    <row r="140" spans="1:35" s="136" customFormat="1" x14ac:dyDescent="0.2">
      <c r="A140" s="155" t="s">
        <v>397</v>
      </c>
      <c r="B140" s="149"/>
      <c r="C140" s="138"/>
      <c r="D140" s="147">
        <f t="shared" si="120"/>
        <v>0</v>
      </c>
      <c r="E140" s="147">
        <f t="shared" si="120"/>
        <v>0</v>
      </c>
      <c r="F140" s="147">
        <f t="shared" si="120"/>
        <v>0</v>
      </c>
      <c r="G140" s="147">
        <f t="shared" si="120"/>
        <v>0</v>
      </c>
      <c r="H140" s="147">
        <f t="shared" si="120"/>
        <v>0</v>
      </c>
      <c r="I140" s="147">
        <f t="shared" si="120"/>
        <v>0</v>
      </c>
      <c r="J140" s="147">
        <f t="shared" si="120"/>
        <v>0</v>
      </c>
      <c r="K140" s="147">
        <f t="shared" si="120"/>
        <v>0</v>
      </c>
      <c r="L140" s="147">
        <f t="shared" si="120"/>
        <v>0</v>
      </c>
      <c r="M140" s="147">
        <f t="shared" si="120"/>
        <v>0</v>
      </c>
      <c r="N140" s="147">
        <f t="shared" si="120"/>
        <v>0</v>
      </c>
      <c r="O140" s="147">
        <f t="shared" si="120"/>
        <v>0</v>
      </c>
      <c r="P140" s="147">
        <f>SUM(D140:O140)</f>
        <v>0</v>
      </c>
      <c r="Q140" s="150"/>
      <c r="S140" s="145"/>
    </row>
    <row r="141" spans="1:35" s="136" customFormat="1" x14ac:dyDescent="0.2">
      <c r="B141" s="151"/>
      <c r="C141" s="138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0"/>
      <c r="S141" s="145"/>
    </row>
    <row r="142" spans="1:35" s="136" customFormat="1" x14ac:dyDescent="0.2">
      <c r="A142" s="155" t="s">
        <v>401</v>
      </c>
      <c r="B142" s="175">
        <f>SUM(B139:B141)</f>
        <v>5000</v>
      </c>
      <c r="C142" s="138"/>
      <c r="D142" s="164">
        <f t="shared" ref="D142:P142" si="121">SUM(D139:D141)</f>
        <v>424.65753424657532</v>
      </c>
      <c r="E142" s="164">
        <f t="shared" si="121"/>
        <v>410.95890410958901</v>
      </c>
      <c r="F142" s="164">
        <f t="shared" si="121"/>
        <v>424.65753424657532</v>
      </c>
      <c r="G142" s="164">
        <f t="shared" si="121"/>
        <v>424.65753424657532</v>
      </c>
      <c r="H142" s="164">
        <f t="shared" si="121"/>
        <v>383.56164383561645</v>
      </c>
      <c r="I142" s="164">
        <f t="shared" si="121"/>
        <v>424.65753424657532</v>
      </c>
      <c r="J142" s="164">
        <f t="shared" si="121"/>
        <v>410.95890410958901</v>
      </c>
      <c r="K142" s="164">
        <f t="shared" si="121"/>
        <v>424.65753424657532</v>
      </c>
      <c r="L142" s="164">
        <f t="shared" si="121"/>
        <v>410.95890410958901</v>
      </c>
      <c r="M142" s="164">
        <f t="shared" si="121"/>
        <v>424.65753424657532</v>
      </c>
      <c r="N142" s="164">
        <f t="shared" si="121"/>
        <v>424.65753424657532</v>
      </c>
      <c r="O142" s="164">
        <f t="shared" si="121"/>
        <v>410.95890410958901</v>
      </c>
      <c r="P142" s="164">
        <f t="shared" si="121"/>
        <v>4999.9999999999991</v>
      </c>
      <c r="Q142" s="150"/>
      <c r="S142" s="145"/>
    </row>
    <row r="143" spans="1:35" s="136" customFormat="1" x14ac:dyDescent="0.2">
      <c r="B143" s="149"/>
      <c r="C143" s="138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50"/>
      <c r="S143" s="145"/>
    </row>
    <row r="144" spans="1:35" s="136" customFormat="1" x14ac:dyDescent="0.2">
      <c r="A144" s="155" t="s">
        <v>46</v>
      </c>
      <c r="B144" s="149"/>
      <c r="C144" s="138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50"/>
    </row>
    <row r="145" spans="1:38" s="136" customFormat="1" x14ac:dyDescent="0.2">
      <c r="A145" s="155" t="s">
        <v>402</v>
      </c>
      <c r="B145" s="149"/>
      <c r="C145" s="138"/>
      <c r="D145" s="147">
        <f t="shared" ref="D145:O150" si="122">($B145/$P$8)*D$8</f>
        <v>0</v>
      </c>
      <c r="E145" s="147">
        <f t="shared" si="122"/>
        <v>0</v>
      </c>
      <c r="F145" s="147">
        <f t="shared" si="122"/>
        <v>0</v>
      </c>
      <c r="G145" s="147">
        <f t="shared" si="122"/>
        <v>0</v>
      </c>
      <c r="H145" s="147">
        <f t="shared" si="122"/>
        <v>0</v>
      </c>
      <c r="I145" s="147">
        <f t="shared" si="122"/>
        <v>0</v>
      </c>
      <c r="J145" s="147">
        <f t="shared" si="122"/>
        <v>0</v>
      </c>
      <c r="K145" s="147">
        <f t="shared" si="122"/>
        <v>0</v>
      </c>
      <c r="L145" s="147">
        <f t="shared" si="122"/>
        <v>0</v>
      </c>
      <c r="M145" s="147">
        <f t="shared" si="122"/>
        <v>0</v>
      </c>
      <c r="N145" s="147">
        <f t="shared" si="122"/>
        <v>0</v>
      </c>
      <c r="O145" s="147">
        <f t="shared" si="122"/>
        <v>0</v>
      </c>
      <c r="P145" s="147">
        <f t="shared" ref="P145:P150" si="123">SUM(D145:O145)</f>
        <v>0</v>
      </c>
      <c r="Q145" s="150"/>
    </row>
    <row r="146" spans="1:38" s="136" customFormat="1" x14ac:dyDescent="0.2">
      <c r="A146" s="155" t="s">
        <v>397</v>
      </c>
      <c r="B146" s="149"/>
      <c r="C146" s="138"/>
      <c r="D146" s="147">
        <f t="shared" si="122"/>
        <v>0</v>
      </c>
      <c r="E146" s="147">
        <f t="shared" si="122"/>
        <v>0</v>
      </c>
      <c r="F146" s="147">
        <f t="shared" si="122"/>
        <v>0</v>
      </c>
      <c r="G146" s="147">
        <f t="shared" si="122"/>
        <v>0</v>
      </c>
      <c r="H146" s="147">
        <f t="shared" si="122"/>
        <v>0</v>
      </c>
      <c r="I146" s="147">
        <f t="shared" si="122"/>
        <v>0</v>
      </c>
      <c r="J146" s="147">
        <f t="shared" si="122"/>
        <v>0</v>
      </c>
      <c r="K146" s="147">
        <f t="shared" si="122"/>
        <v>0</v>
      </c>
      <c r="L146" s="147">
        <f t="shared" si="122"/>
        <v>0</v>
      </c>
      <c r="M146" s="147">
        <f t="shared" si="122"/>
        <v>0</v>
      </c>
      <c r="N146" s="147">
        <f t="shared" si="122"/>
        <v>0</v>
      </c>
      <c r="O146" s="147">
        <f t="shared" si="122"/>
        <v>0</v>
      </c>
      <c r="P146" s="147">
        <f t="shared" si="123"/>
        <v>0</v>
      </c>
      <c r="Q146" s="150"/>
      <c r="S146" s="145"/>
    </row>
    <row r="147" spans="1:38" s="136" customFormat="1" x14ac:dyDescent="0.2">
      <c r="A147" s="155" t="s">
        <v>54</v>
      </c>
      <c r="B147" s="149"/>
      <c r="C147" s="138"/>
      <c r="D147" s="147">
        <f t="shared" si="122"/>
        <v>0</v>
      </c>
      <c r="E147" s="147">
        <f t="shared" si="122"/>
        <v>0</v>
      </c>
      <c r="F147" s="147">
        <f t="shared" si="122"/>
        <v>0</v>
      </c>
      <c r="G147" s="147">
        <f t="shared" si="122"/>
        <v>0</v>
      </c>
      <c r="H147" s="147">
        <f t="shared" si="122"/>
        <v>0</v>
      </c>
      <c r="I147" s="147">
        <f t="shared" si="122"/>
        <v>0</v>
      </c>
      <c r="J147" s="147">
        <f t="shared" si="122"/>
        <v>0</v>
      </c>
      <c r="K147" s="147">
        <f t="shared" si="122"/>
        <v>0</v>
      </c>
      <c r="L147" s="147">
        <f t="shared" si="122"/>
        <v>0</v>
      </c>
      <c r="M147" s="147">
        <f t="shared" si="122"/>
        <v>0</v>
      </c>
      <c r="N147" s="147">
        <f t="shared" si="122"/>
        <v>0</v>
      </c>
      <c r="O147" s="147">
        <f t="shared" si="122"/>
        <v>0</v>
      </c>
      <c r="P147" s="147">
        <f t="shared" si="123"/>
        <v>0</v>
      </c>
      <c r="Q147" s="150"/>
      <c r="S147" s="145"/>
    </row>
    <row r="148" spans="1:38" s="136" customFormat="1" x14ac:dyDescent="0.2">
      <c r="A148" s="155" t="s">
        <v>403</v>
      </c>
      <c r="B148" s="149"/>
      <c r="C148" s="138"/>
      <c r="D148" s="147">
        <f t="shared" si="122"/>
        <v>0</v>
      </c>
      <c r="E148" s="147">
        <f t="shared" si="122"/>
        <v>0</v>
      </c>
      <c r="F148" s="147">
        <f t="shared" si="122"/>
        <v>0</v>
      </c>
      <c r="G148" s="147">
        <f t="shared" si="122"/>
        <v>0</v>
      </c>
      <c r="H148" s="147">
        <f t="shared" si="122"/>
        <v>0</v>
      </c>
      <c r="I148" s="147">
        <f t="shared" si="122"/>
        <v>0</v>
      </c>
      <c r="J148" s="147">
        <f t="shared" si="122"/>
        <v>0</v>
      </c>
      <c r="K148" s="147">
        <f t="shared" si="122"/>
        <v>0</v>
      </c>
      <c r="L148" s="147">
        <f t="shared" si="122"/>
        <v>0</v>
      </c>
      <c r="M148" s="147">
        <f t="shared" si="122"/>
        <v>0</v>
      </c>
      <c r="N148" s="147">
        <f t="shared" si="122"/>
        <v>0</v>
      </c>
      <c r="O148" s="147">
        <f t="shared" si="122"/>
        <v>0</v>
      </c>
      <c r="P148" s="147">
        <f t="shared" si="123"/>
        <v>0</v>
      </c>
      <c r="Q148" s="150"/>
      <c r="S148" s="145"/>
    </row>
    <row r="149" spans="1:38" s="168" customFormat="1" x14ac:dyDescent="0.2">
      <c r="A149" s="155" t="s">
        <v>94</v>
      </c>
      <c r="B149" s="149">
        <v>2500</v>
      </c>
      <c r="C149" s="138"/>
      <c r="D149" s="147">
        <f t="shared" si="122"/>
        <v>212.32876712328766</v>
      </c>
      <c r="E149" s="147">
        <f t="shared" si="122"/>
        <v>205.47945205479451</v>
      </c>
      <c r="F149" s="147">
        <f t="shared" si="122"/>
        <v>212.32876712328766</v>
      </c>
      <c r="G149" s="147">
        <f t="shared" si="122"/>
        <v>212.32876712328766</v>
      </c>
      <c r="H149" s="147">
        <f t="shared" si="122"/>
        <v>191.78082191780823</v>
      </c>
      <c r="I149" s="147">
        <f t="shared" si="122"/>
        <v>212.32876712328766</v>
      </c>
      <c r="J149" s="147">
        <f t="shared" si="122"/>
        <v>205.47945205479451</v>
      </c>
      <c r="K149" s="147">
        <f t="shared" si="122"/>
        <v>212.32876712328766</v>
      </c>
      <c r="L149" s="147">
        <f t="shared" si="122"/>
        <v>205.47945205479451</v>
      </c>
      <c r="M149" s="147">
        <f t="shared" si="122"/>
        <v>212.32876712328766</v>
      </c>
      <c r="N149" s="147">
        <f t="shared" si="122"/>
        <v>212.32876712328766</v>
      </c>
      <c r="O149" s="147">
        <f t="shared" si="122"/>
        <v>205.47945205479451</v>
      </c>
      <c r="P149" s="147">
        <f t="shared" si="123"/>
        <v>2499.9999999999995</v>
      </c>
      <c r="Q149" s="150"/>
      <c r="R149" s="136"/>
      <c r="S149" s="145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</row>
    <row r="150" spans="1:38" s="136" customFormat="1" x14ac:dyDescent="0.2">
      <c r="A150" s="155" t="s">
        <v>397</v>
      </c>
      <c r="B150" s="149"/>
      <c r="C150" s="138"/>
      <c r="D150" s="147">
        <f t="shared" si="122"/>
        <v>0</v>
      </c>
      <c r="E150" s="147">
        <f t="shared" si="122"/>
        <v>0</v>
      </c>
      <c r="F150" s="147">
        <f t="shared" si="122"/>
        <v>0</v>
      </c>
      <c r="G150" s="147">
        <f t="shared" si="122"/>
        <v>0</v>
      </c>
      <c r="H150" s="147">
        <f t="shared" si="122"/>
        <v>0</v>
      </c>
      <c r="I150" s="147">
        <f t="shared" si="122"/>
        <v>0</v>
      </c>
      <c r="J150" s="147">
        <f t="shared" si="122"/>
        <v>0</v>
      </c>
      <c r="K150" s="147">
        <f t="shared" si="122"/>
        <v>0</v>
      </c>
      <c r="L150" s="147">
        <f t="shared" si="122"/>
        <v>0</v>
      </c>
      <c r="M150" s="147">
        <f t="shared" si="122"/>
        <v>0</v>
      </c>
      <c r="N150" s="147">
        <f t="shared" si="122"/>
        <v>0</v>
      </c>
      <c r="O150" s="147">
        <f t="shared" si="122"/>
        <v>0</v>
      </c>
      <c r="P150" s="147">
        <f t="shared" si="123"/>
        <v>0</v>
      </c>
      <c r="Q150" s="150"/>
    </row>
    <row r="151" spans="1:38" s="136" customFormat="1" x14ac:dyDescent="0.2">
      <c r="B151" s="151"/>
      <c r="C151" s="138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0"/>
      <c r="R151" s="168"/>
      <c r="AK151" s="168"/>
      <c r="AL151" s="168"/>
    </row>
    <row r="152" spans="1:38" s="136" customFormat="1" x14ac:dyDescent="0.2">
      <c r="A152" s="155" t="s">
        <v>379</v>
      </c>
      <c r="B152" s="175">
        <f>SUM(B145:B151)</f>
        <v>2500</v>
      </c>
      <c r="C152" s="138"/>
      <c r="D152" s="164">
        <f t="shared" ref="D152:P152" si="124">SUM(D145:D151)</f>
        <v>212.32876712328766</v>
      </c>
      <c r="E152" s="164">
        <f t="shared" si="124"/>
        <v>205.47945205479451</v>
      </c>
      <c r="F152" s="164">
        <f t="shared" si="124"/>
        <v>212.32876712328766</v>
      </c>
      <c r="G152" s="164">
        <f t="shared" si="124"/>
        <v>212.32876712328766</v>
      </c>
      <c r="H152" s="164">
        <f t="shared" si="124"/>
        <v>191.78082191780823</v>
      </c>
      <c r="I152" s="164">
        <f t="shared" si="124"/>
        <v>212.32876712328766</v>
      </c>
      <c r="J152" s="164">
        <f t="shared" si="124"/>
        <v>205.47945205479451</v>
      </c>
      <c r="K152" s="164">
        <f t="shared" si="124"/>
        <v>212.32876712328766</v>
      </c>
      <c r="L152" s="164">
        <f t="shared" si="124"/>
        <v>205.47945205479451</v>
      </c>
      <c r="M152" s="164">
        <f t="shared" si="124"/>
        <v>212.32876712328766</v>
      </c>
      <c r="N152" s="164">
        <f t="shared" si="124"/>
        <v>212.32876712328766</v>
      </c>
      <c r="O152" s="164">
        <f t="shared" si="124"/>
        <v>205.47945205479451</v>
      </c>
      <c r="P152" s="164">
        <f t="shared" si="124"/>
        <v>2499.9999999999995</v>
      </c>
      <c r="Q152" s="150"/>
    </row>
    <row r="153" spans="1:38" s="136" customFormat="1" x14ac:dyDescent="0.2">
      <c r="B153" s="179"/>
      <c r="C153" s="138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50"/>
    </row>
    <row r="154" spans="1:38" s="136" customFormat="1" ht="13.5" thickBot="1" x14ac:dyDescent="0.25">
      <c r="A154" s="155" t="s">
        <v>404</v>
      </c>
      <c r="B154" s="172">
        <f>B136+B142+B152</f>
        <v>338500</v>
      </c>
      <c r="C154" s="138"/>
      <c r="D154" s="173">
        <f t="shared" ref="D154:P154" si="125">D136+D142+D152</f>
        <v>28749.31506849315</v>
      </c>
      <c r="E154" s="173">
        <f t="shared" si="125"/>
        <v>27821.917808219179</v>
      </c>
      <c r="F154" s="173">
        <f t="shared" si="125"/>
        <v>28749.31506849315</v>
      </c>
      <c r="G154" s="173">
        <f t="shared" si="125"/>
        <v>28749.31506849315</v>
      </c>
      <c r="H154" s="173">
        <f t="shared" si="125"/>
        <v>25967.123287671227</v>
      </c>
      <c r="I154" s="173">
        <f t="shared" si="125"/>
        <v>28749.31506849315</v>
      </c>
      <c r="J154" s="173">
        <f t="shared" si="125"/>
        <v>27821.917808219179</v>
      </c>
      <c r="K154" s="173">
        <f t="shared" si="125"/>
        <v>28749.31506849315</v>
      </c>
      <c r="L154" s="173">
        <f t="shared" si="125"/>
        <v>27821.917808219179</v>
      </c>
      <c r="M154" s="173">
        <f t="shared" si="125"/>
        <v>28749.31506849315</v>
      </c>
      <c r="N154" s="173">
        <f t="shared" si="125"/>
        <v>28749.31506849315</v>
      </c>
      <c r="O154" s="173">
        <f t="shared" si="125"/>
        <v>27821.917808219179</v>
      </c>
      <c r="P154" s="173">
        <f t="shared" si="125"/>
        <v>338500</v>
      </c>
      <c r="Q154" s="150"/>
      <c r="AJ154" s="168"/>
    </row>
    <row r="155" spans="1:38" s="136" customFormat="1" ht="13.5" thickTop="1" x14ac:dyDescent="0.2">
      <c r="A155" s="168"/>
      <c r="B155" s="176" t="e">
        <f>B154/B$23</f>
        <v>#DIV/0!</v>
      </c>
      <c r="C155" s="138"/>
      <c r="D155" s="174" t="e">
        <f t="shared" ref="D155:P155" si="126">D154/D$23</f>
        <v>#DIV/0!</v>
      </c>
      <c r="E155" s="174" t="e">
        <f t="shared" si="126"/>
        <v>#DIV/0!</v>
      </c>
      <c r="F155" s="174" t="e">
        <f t="shared" si="126"/>
        <v>#DIV/0!</v>
      </c>
      <c r="G155" s="174" t="e">
        <f t="shared" si="126"/>
        <v>#DIV/0!</v>
      </c>
      <c r="H155" s="174" t="e">
        <f t="shared" si="126"/>
        <v>#DIV/0!</v>
      </c>
      <c r="I155" s="174" t="e">
        <f t="shared" si="126"/>
        <v>#DIV/0!</v>
      </c>
      <c r="J155" s="174" t="e">
        <f t="shared" si="126"/>
        <v>#DIV/0!</v>
      </c>
      <c r="K155" s="174" t="e">
        <f t="shared" si="126"/>
        <v>#DIV/0!</v>
      </c>
      <c r="L155" s="174" t="e">
        <f t="shared" si="126"/>
        <v>#DIV/0!</v>
      </c>
      <c r="M155" s="174" t="e">
        <f t="shared" si="126"/>
        <v>#DIV/0!</v>
      </c>
      <c r="N155" s="174" t="e">
        <f t="shared" si="126"/>
        <v>#DIV/0!</v>
      </c>
      <c r="O155" s="174" t="e">
        <f t="shared" si="126"/>
        <v>#DIV/0!</v>
      </c>
      <c r="P155" s="174" t="e">
        <f t="shared" si="126"/>
        <v>#DIV/0!</v>
      </c>
      <c r="Q155" s="168"/>
    </row>
    <row r="156" spans="1:38" s="136" customFormat="1" x14ac:dyDescent="0.2">
      <c r="B156" s="179"/>
      <c r="C156" s="138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50"/>
      <c r="S156" s="145"/>
      <c r="AI156" s="168"/>
    </row>
    <row r="157" spans="1:38" s="136" customFormat="1" ht="13.5" thickBot="1" x14ac:dyDescent="0.25">
      <c r="A157" s="155" t="s">
        <v>405</v>
      </c>
      <c r="B157" s="172" t="e">
        <f>B126+B154</f>
        <v>#REF!</v>
      </c>
      <c r="C157" s="138"/>
      <c r="D157" s="173" t="e">
        <f t="shared" ref="D157:P157" si="127">D126+D154</f>
        <v>#REF!</v>
      </c>
      <c r="E157" s="173" t="e">
        <f t="shared" si="127"/>
        <v>#REF!</v>
      </c>
      <c r="F157" s="173" t="e">
        <f t="shared" si="127"/>
        <v>#REF!</v>
      </c>
      <c r="G157" s="173" t="e">
        <f t="shared" si="127"/>
        <v>#REF!</v>
      </c>
      <c r="H157" s="173" t="e">
        <f t="shared" si="127"/>
        <v>#REF!</v>
      </c>
      <c r="I157" s="173" t="e">
        <f t="shared" si="127"/>
        <v>#REF!</v>
      </c>
      <c r="J157" s="173" t="e">
        <f t="shared" si="127"/>
        <v>#REF!</v>
      </c>
      <c r="K157" s="173" t="e">
        <f t="shared" si="127"/>
        <v>#REF!</v>
      </c>
      <c r="L157" s="173" t="e">
        <f t="shared" si="127"/>
        <v>#REF!</v>
      </c>
      <c r="M157" s="173" t="e">
        <f t="shared" si="127"/>
        <v>#REF!</v>
      </c>
      <c r="N157" s="173" t="e">
        <f t="shared" si="127"/>
        <v>#REF!</v>
      </c>
      <c r="O157" s="173" t="e">
        <f t="shared" si="127"/>
        <v>#REF!</v>
      </c>
      <c r="P157" s="173" t="e">
        <f t="shared" si="127"/>
        <v>#REF!</v>
      </c>
      <c r="Q157" s="150"/>
      <c r="S157" s="145"/>
    </row>
    <row r="158" spans="1:38" s="136" customFormat="1" ht="13.5" thickTop="1" x14ac:dyDescent="0.2">
      <c r="A158" s="155"/>
      <c r="B158" s="149"/>
      <c r="C158" s="138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50"/>
      <c r="S158" s="145"/>
    </row>
    <row r="159" spans="1:38" s="136" customFormat="1" x14ac:dyDescent="0.2">
      <c r="B159" s="149"/>
      <c r="C159" s="138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50"/>
      <c r="S159" s="145"/>
    </row>
    <row r="160" spans="1:38" s="136" customFormat="1" x14ac:dyDescent="0.2">
      <c r="A160" s="155" t="s">
        <v>406</v>
      </c>
      <c r="B160" s="149"/>
      <c r="C160" s="138"/>
      <c r="D160" s="147">
        <f t="shared" ref="D160:O161" si="128">($B160/$P$8)*D$8</f>
        <v>0</v>
      </c>
      <c r="E160" s="147">
        <f t="shared" si="128"/>
        <v>0</v>
      </c>
      <c r="F160" s="147">
        <f t="shared" si="128"/>
        <v>0</v>
      </c>
      <c r="G160" s="147">
        <f t="shared" si="128"/>
        <v>0</v>
      </c>
      <c r="H160" s="147">
        <f t="shared" si="128"/>
        <v>0</v>
      </c>
      <c r="I160" s="147">
        <f t="shared" si="128"/>
        <v>0</v>
      </c>
      <c r="J160" s="147">
        <f t="shared" si="128"/>
        <v>0</v>
      </c>
      <c r="K160" s="147">
        <f t="shared" si="128"/>
        <v>0</v>
      </c>
      <c r="L160" s="147">
        <f t="shared" si="128"/>
        <v>0</v>
      </c>
      <c r="M160" s="147">
        <f t="shared" si="128"/>
        <v>0</v>
      </c>
      <c r="N160" s="147">
        <f t="shared" si="128"/>
        <v>0</v>
      </c>
      <c r="O160" s="147">
        <f t="shared" si="128"/>
        <v>0</v>
      </c>
      <c r="P160" s="147">
        <f>SUM(D160:O160)</f>
        <v>0</v>
      </c>
      <c r="Q160" s="150"/>
      <c r="S160" s="145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</row>
    <row r="161" spans="1:19" s="136" customFormat="1" x14ac:dyDescent="0.2">
      <c r="A161" s="155" t="s">
        <v>407</v>
      </c>
      <c r="B161" s="149"/>
      <c r="C161" s="138"/>
      <c r="D161" s="147">
        <f t="shared" si="128"/>
        <v>0</v>
      </c>
      <c r="E161" s="147">
        <f t="shared" si="128"/>
        <v>0</v>
      </c>
      <c r="F161" s="147">
        <f t="shared" si="128"/>
        <v>0</v>
      </c>
      <c r="G161" s="147">
        <f t="shared" si="128"/>
        <v>0</v>
      </c>
      <c r="H161" s="147">
        <f t="shared" si="128"/>
        <v>0</v>
      </c>
      <c r="I161" s="147">
        <f t="shared" si="128"/>
        <v>0</v>
      </c>
      <c r="J161" s="147">
        <f t="shared" si="128"/>
        <v>0</v>
      </c>
      <c r="K161" s="147">
        <f t="shared" si="128"/>
        <v>0</v>
      </c>
      <c r="L161" s="147">
        <f t="shared" si="128"/>
        <v>0</v>
      </c>
      <c r="M161" s="147">
        <f t="shared" si="128"/>
        <v>0</v>
      </c>
      <c r="N161" s="147">
        <f t="shared" si="128"/>
        <v>0</v>
      </c>
      <c r="O161" s="147">
        <f t="shared" si="128"/>
        <v>0</v>
      </c>
      <c r="P161" s="147">
        <f>SUM(D161:O161)</f>
        <v>0</v>
      </c>
      <c r="Q161" s="150"/>
      <c r="S161" s="145"/>
    </row>
    <row r="162" spans="1:19" s="136" customFormat="1" x14ac:dyDescent="0.2">
      <c r="B162" s="151"/>
      <c r="C162" s="138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0"/>
      <c r="S162" s="145"/>
    </row>
    <row r="163" spans="1:19" s="136" customFormat="1" x14ac:dyDescent="0.2">
      <c r="A163" s="155" t="s">
        <v>408</v>
      </c>
      <c r="B163" s="175">
        <f>SUM(B160:B161)</f>
        <v>0</v>
      </c>
      <c r="C163" s="138"/>
      <c r="D163" s="164">
        <f>SUM(D160:D161)</f>
        <v>0</v>
      </c>
      <c r="E163" s="164">
        <f t="shared" ref="E163:P163" si="129">SUM(E160:E161)</f>
        <v>0</v>
      </c>
      <c r="F163" s="164">
        <f t="shared" si="129"/>
        <v>0</v>
      </c>
      <c r="G163" s="164">
        <f t="shared" si="129"/>
        <v>0</v>
      </c>
      <c r="H163" s="164">
        <f t="shared" si="129"/>
        <v>0</v>
      </c>
      <c r="I163" s="164">
        <f t="shared" si="129"/>
        <v>0</v>
      </c>
      <c r="J163" s="164">
        <f t="shared" si="129"/>
        <v>0</v>
      </c>
      <c r="K163" s="164">
        <f t="shared" si="129"/>
        <v>0</v>
      </c>
      <c r="L163" s="164">
        <f t="shared" si="129"/>
        <v>0</v>
      </c>
      <c r="M163" s="164">
        <f t="shared" si="129"/>
        <v>0</v>
      </c>
      <c r="N163" s="164">
        <f t="shared" si="129"/>
        <v>0</v>
      </c>
      <c r="O163" s="164">
        <f t="shared" si="129"/>
        <v>0</v>
      </c>
      <c r="P163" s="164">
        <f t="shared" si="129"/>
        <v>0</v>
      </c>
      <c r="Q163" s="150"/>
      <c r="S163" s="145"/>
    </row>
    <row r="164" spans="1:19" s="136" customFormat="1" x14ac:dyDescent="0.2">
      <c r="B164" s="149"/>
      <c r="C164" s="138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50"/>
      <c r="S164" s="145"/>
    </row>
    <row r="165" spans="1:19" s="136" customFormat="1" x14ac:dyDescent="0.2">
      <c r="A165" s="155" t="s">
        <v>409</v>
      </c>
      <c r="B165" s="149"/>
      <c r="C165" s="138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50"/>
      <c r="S165" s="145"/>
    </row>
    <row r="166" spans="1:19" s="136" customFormat="1" x14ac:dyDescent="0.2">
      <c r="A166" s="155" t="s">
        <v>410</v>
      </c>
      <c r="B166" s="149">
        <v>460</v>
      </c>
      <c r="C166" s="138"/>
      <c r="D166" s="147">
        <f t="shared" ref="D166:O175" si="130">($B166/$P$8)*D$8</f>
        <v>39.06849315068493</v>
      </c>
      <c r="E166" s="147">
        <f t="shared" si="130"/>
        <v>37.80821917808219</v>
      </c>
      <c r="F166" s="147">
        <f t="shared" si="130"/>
        <v>39.06849315068493</v>
      </c>
      <c r="G166" s="147">
        <f t="shared" si="130"/>
        <v>39.06849315068493</v>
      </c>
      <c r="H166" s="147">
        <f t="shared" si="130"/>
        <v>35.287671232876711</v>
      </c>
      <c r="I166" s="147">
        <f t="shared" si="130"/>
        <v>39.06849315068493</v>
      </c>
      <c r="J166" s="147">
        <f t="shared" si="130"/>
        <v>37.80821917808219</v>
      </c>
      <c r="K166" s="147">
        <f t="shared" si="130"/>
        <v>39.06849315068493</v>
      </c>
      <c r="L166" s="147">
        <f t="shared" si="130"/>
        <v>37.80821917808219</v>
      </c>
      <c r="M166" s="147">
        <f t="shared" si="130"/>
        <v>39.06849315068493</v>
      </c>
      <c r="N166" s="147">
        <f t="shared" si="130"/>
        <v>39.06849315068493</v>
      </c>
      <c r="O166" s="147">
        <f t="shared" si="130"/>
        <v>37.80821917808219</v>
      </c>
      <c r="P166" s="147">
        <f t="shared" ref="P166:P191" si="131">SUM(D166:O166)</f>
        <v>459.99999999999994</v>
      </c>
      <c r="Q166" s="150"/>
    </row>
    <row r="167" spans="1:19" s="136" customFormat="1" x14ac:dyDescent="0.2">
      <c r="A167" s="155" t="s">
        <v>411</v>
      </c>
      <c r="B167" s="149"/>
      <c r="C167" s="138"/>
      <c r="D167" s="147">
        <f t="shared" si="130"/>
        <v>0</v>
      </c>
      <c r="E167" s="147">
        <f t="shared" si="130"/>
        <v>0</v>
      </c>
      <c r="F167" s="147">
        <f t="shared" si="130"/>
        <v>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147">
        <f t="shared" si="131"/>
        <v>0</v>
      </c>
      <c r="Q167" s="150"/>
      <c r="S167" s="145"/>
    </row>
    <row r="168" spans="1:19" s="136" customFormat="1" x14ac:dyDescent="0.2">
      <c r="A168" s="155" t="s">
        <v>412</v>
      </c>
      <c r="B168" s="149"/>
      <c r="C168" s="138"/>
      <c r="D168" s="147">
        <f t="shared" si="130"/>
        <v>0</v>
      </c>
      <c r="E168" s="147">
        <f t="shared" si="130"/>
        <v>0</v>
      </c>
      <c r="F168" s="147">
        <f t="shared" si="130"/>
        <v>0</v>
      </c>
      <c r="G168" s="147">
        <f t="shared" si="130"/>
        <v>0</v>
      </c>
      <c r="H168" s="147">
        <f t="shared" si="130"/>
        <v>0</v>
      </c>
      <c r="I168" s="147">
        <f t="shared" si="130"/>
        <v>0</v>
      </c>
      <c r="J168" s="147">
        <f t="shared" si="130"/>
        <v>0</v>
      </c>
      <c r="K168" s="147">
        <f t="shared" si="130"/>
        <v>0</v>
      </c>
      <c r="L168" s="147">
        <f t="shared" si="130"/>
        <v>0</v>
      </c>
      <c r="M168" s="147">
        <f t="shared" si="130"/>
        <v>0</v>
      </c>
      <c r="N168" s="147">
        <f t="shared" si="130"/>
        <v>0</v>
      </c>
      <c r="O168" s="147">
        <f t="shared" si="130"/>
        <v>0</v>
      </c>
      <c r="P168" s="147">
        <f t="shared" si="131"/>
        <v>0</v>
      </c>
      <c r="Q168" s="150"/>
      <c r="S168" s="145"/>
    </row>
    <row r="169" spans="1:19" s="136" customFormat="1" x14ac:dyDescent="0.2">
      <c r="A169" s="155" t="s">
        <v>413</v>
      </c>
      <c r="B169" s="149"/>
      <c r="C169" s="138"/>
      <c r="D169" s="147">
        <f t="shared" si="130"/>
        <v>0</v>
      </c>
      <c r="E169" s="147">
        <f t="shared" si="130"/>
        <v>0</v>
      </c>
      <c r="F169" s="147">
        <f t="shared" si="130"/>
        <v>0</v>
      </c>
      <c r="G169" s="147">
        <f t="shared" si="130"/>
        <v>0</v>
      </c>
      <c r="H169" s="147">
        <f t="shared" si="130"/>
        <v>0</v>
      </c>
      <c r="I169" s="147">
        <f t="shared" si="130"/>
        <v>0</v>
      </c>
      <c r="J169" s="147">
        <f t="shared" si="130"/>
        <v>0</v>
      </c>
      <c r="K169" s="147">
        <f t="shared" si="130"/>
        <v>0</v>
      </c>
      <c r="L169" s="147">
        <f t="shared" si="130"/>
        <v>0</v>
      </c>
      <c r="M169" s="147">
        <f t="shared" si="130"/>
        <v>0</v>
      </c>
      <c r="N169" s="147">
        <f t="shared" si="130"/>
        <v>0</v>
      </c>
      <c r="O169" s="147">
        <f t="shared" si="130"/>
        <v>0</v>
      </c>
      <c r="P169" s="147">
        <f t="shared" si="131"/>
        <v>0</v>
      </c>
      <c r="Q169" s="150"/>
      <c r="S169" s="145"/>
    </row>
    <row r="170" spans="1:19" s="136" customFormat="1" x14ac:dyDescent="0.2">
      <c r="A170" s="155" t="s">
        <v>414</v>
      </c>
      <c r="B170" s="149"/>
      <c r="C170" s="138"/>
      <c r="D170" s="147">
        <f t="shared" si="130"/>
        <v>0</v>
      </c>
      <c r="E170" s="147">
        <f t="shared" si="130"/>
        <v>0</v>
      </c>
      <c r="F170" s="147">
        <f t="shared" si="130"/>
        <v>0</v>
      </c>
      <c r="G170" s="147">
        <f t="shared" si="130"/>
        <v>0</v>
      </c>
      <c r="H170" s="147">
        <f t="shared" si="130"/>
        <v>0</v>
      </c>
      <c r="I170" s="147">
        <f t="shared" si="130"/>
        <v>0</v>
      </c>
      <c r="J170" s="147">
        <f t="shared" si="130"/>
        <v>0</v>
      </c>
      <c r="K170" s="147">
        <f t="shared" si="130"/>
        <v>0</v>
      </c>
      <c r="L170" s="147">
        <f t="shared" si="130"/>
        <v>0</v>
      </c>
      <c r="M170" s="147">
        <f t="shared" si="130"/>
        <v>0</v>
      </c>
      <c r="N170" s="147">
        <f t="shared" si="130"/>
        <v>0</v>
      </c>
      <c r="O170" s="147">
        <f t="shared" si="130"/>
        <v>0</v>
      </c>
      <c r="P170" s="147">
        <f t="shared" si="131"/>
        <v>0</v>
      </c>
      <c r="Q170" s="150"/>
      <c r="S170" s="145"/>
    </row>
    <row r="171" spans="1:19" s="136" customFormat="1" x14ac:dyDescent="0.2">
      <c r="A171" s="155" t="s">
        <v>415</v>
      </c>
      <c r="B171" s="149"/>
      <c r="C171" s="138"/>
      <c r="D171" s="147">
        <f t="shared" si="130"/>
        <v>0</v>
      </c>
      <c r="E171" s="147">
        <f t="shared" si="130"/>
        <v>0</v>
      </c>
      <c r="F171" s="147">
        <f t="shared" si="130"/>
        <v>0</v>
      </c>
      <c r="G171" s="147">
        <f t="shared" si="130"/>
        <v>0</v>
      </c>
      <c r="H171" s="147">
        <f t="shared" si="130"/>
        <v>0</v>
      </c>
      <c r="I171" s="147">
        <f t="shared" si="130"/>
        <v>0</v>
      </c>
      <c r="J171" s="147">
        <f t="shared" si="130"/>
        <v>0</v>
      </c>
      <c r="K171" s="147">
        <f t="shared" si="130"/>
        <v>0</v>
      </c>
      <c r="L171" s="147">
        <f t="shared" si="130"/>
        <v>0</v>
      </c>
      <c r="M171" s="147">
        <f t="shared" si="130"/>
        <v>0</v>
      </c>
      <c r="N171" s="147">
        <f t="shared" si="130"/>
        <v>0</v>
      </c>
      <c r="O171" s="147">
        <f t="shared" si="130"/>
        <v>0</v>
      </c>
      <c r="P171" s="147">
        <f t="shared" si="131"/>
        <v>0</v>
      </c>
      <c r="Q171" s="150"/>
    </row>
    <row r="172" spans="1:19" s="136" customFormat="1" x14ac:dyDescent="0.2">
      <c r="A172" s="155" t="s">
        <v>416</v>
      </c>
      <c r="B172" s="149">
        <v>1100</v>
      </c>
      <c r="C172" s="138"/>
      <c r="D172" s="147">
        <f t="shared" si="130"/>
        <v>93.424657534246577</v>
      </c>
      <c r="E172" s="147">
        <f t="shared" si="130"/>
        <v>90.410958904109592</v>
      </c>
      <c r="F172" s="147">
        <f t="shared" si="130"/>
        <v>93.424657534246577</v>
      </c>
      <c r="G172" s="147">
        <f t="shared" si="130"/>
        <v>93.424657534246577</v>
      </c>
      <c r="H172" s="147">
        <f t="shared" si="130"/>
        <v>84.38356164383562</v>
      </c>
      <c r="I172" s="147">
        <f t="shared" si="130"/>
        <v>93.424657534246577</v>
      </c>
      <c r="J172" s="147">
        <f t="shared" si="130"/>
        <v>90.410958904109592</v>
      </c>
      <c r="K172" s="147">
        <f t="shared" si="130"/>
        <v>93.424657534246577</v>
      </c>
      <c r="L172" s="147">
        <f t="shared" si="130"/>
        <v>90.410958904109592</v>
      </c>
      <c r="M172" s="147">
        <f t="shared" si="130"/>
        <v>93.424657534246577</v>
      </c>
      <c r="N172" s="147">
        <f t="shared" si="130"/>
        <v>93.424657534246577</v>
      </c>
      <c r="O172" s="147">
        <f t="shared" si="130"/>
        <v>90.410958904109592</v>
      </c>
      <c r="P172" s="147">
        <f t="shared" si="131"/>
        <v>1100</v>
      </c>
      <c r="Q172" s="150"/>
    </row>
    <row r="173" spans="1:19" s="136" customFormat="1" x14ac:dyDescent="0.2">
      <c r="A173" s="155" t="s">
        <v>417</v>
      </c>
      <c r="B173" s="149"/>
      <c r="C173" s="138"/>
      <c r="D173" s="147">
        <f t="shared" si="130"/>
        <v>0</v>
      </c>
      <c r="E173" s="147">
        <f t="shared" si="130"/>
        <v>0</v>
      </c>
      <c r="F173" s="147">
        <f t="shared" si="130"/>
        <v>0</v>
      </c>
      <c r="G173" s="147">
        <f t="shared" si="130"/>
        <v>0</v>
      </c>
      <c r="H173" s="147">
        <f t="shared" si="130"/>
        <v>0</v>
      </c>
      <c r="I173" s="147">
        <f t="shared" si="130"/>
        <v>0</v>
      </c>
      <c r="J173" s="147">
        <f t="shared" si="130"/>
        <v>0</v>
      </c>
      <c r="K173" s="147">
        <f t="shared" si="130"/>
        <v>0</v>
      </c>
      <c r="L173" s="147">
        <f t="shared" si="130"/>
        <v>0</v>
      </c>
      <c r="M173" s="147">
        <f t="shared" si="130"/>
        <v>0</v>
      </c>
      <c r="N173" s="147">
        <f t="shared" si="130"/>
        <v>0</v>
      </c>
      <c r="O173" s="147">
        <f t="shared" si="130"/>
        <v>0</v>
      </c>
      <c r="P173" s="147">
        <f t="shared" si="131"/>
        <v>0</v>
      </c>
      <c r="Q173" s="150"/>
    </row>
    <row r="174" spans="1:19" s="136" customFormat="1" x14ac:dyDescent="0.2">
      <c r="A174" s="155" t="s">
        <v>418</v>
      </c>
      <c r="B174" s="149"/>
      <c r="C174" s="138"/>
      <c r="D174" s="147">
        <f t="shared" si="130"/>
        <v>0</v>
      </c>
      <c r="E174" s="147">
        <f t="shared" si="130"/>
        <v>0</v>
      </c>
      <c r="F174" s="147">
        <f t="shared" si="130"/>
        <v>0</v>
      </c>
      <c r="G174" s="147">
        <f t="shared" si="130"/>
        <v>0</v>
      </c>
      <c r="H174" s="147">
        <f t="shared" si="130"/>
        <v>0</v>
      </c>
      <c r="I174" s="147">
        <f t="shared" si="130"/>
        <v>0</v>
      </c>
      <c r="J174" s="147">
        <f t="shared" si="130"/>
        <v>0</v>
      </c>
      <c r="K174" s="147">
        <f t="shared" si="130"/>
        <v>0</v>
      </c>
      <c r="L174" s="147">
        <f t="shared" si="130"/>
        <v>0</v>
      </c>
      <c r="M174" s="147">
        <f t="shared" si="130"/>
        <v>0</v>
      </c>
      <c r="N174" s="147">
        <f t="shared" si="130"/>
        <v>0</v>
      </c>
      <c r="O174" s="147">
        <f t="shared" si="130"/>
        <v>0</v>
      </c>
      <c r="P174" s="147">
        <f t="shared" si="131"/>
        <v>0</v>
      </c>
      <c r="Q174" s="150"/>
    </row>
    <row r="175" spans="1:19" s="136" customFormat="1" x14ac:dyDescent="0.2">
      <c r="A175" s="155" t="s">
        <v>419</v>
      </c>
      <c r="B175" s="149"/>
      <c r="C175" s="138"/>
      <c r="D175" s="147">
        <f t="shared" si="130"/>
        <v>0</v>
      </c>
      <c r="E175" s="147">
        <f t="shared" si="130"/>
        <v>0</v>
      </c>
      <c r="F175" s="147">
        <f t="shared" si="130"/>
        <v>0</v>
      </c>
      <c r="G175" s="147">
        <f t="shared" si="130"/>
        <v>0</v>
      </c>
      <c r="H175" s="147">
        <f t="shared" si="130"/>
        <v>0</v>
      </c>
      <c r="I175" s="147">
        <f t="shared" si="130"/>
        <v>0</v>
      </c>
      <c r="J175" s="147">
        <f t="shared" si="130"/>
        <v>0</v>
      </c>
      <c r="K175" s="147">
        <f t="shared" si="130"/>
        <v>0</v>
      </c>
      <c r="L175" s="147">
        <f t="shared" si="130"/>
        <v>0</v>
      </c>
      <c r="M175" s="147">
        <f t="shared" si="130"/>
        <v>0</v>
      </c>
      <c r="N175" s="147">
        <f t="shared" si="130"/>
        <v>0</v>
      </c>
      <c r="O175" s="147">
        <f t="shared" si="130"/>
        <v>0</v>
      </c>
      <c r="P175" s="147">
        <f t="shared" si="131"/>
        <v>0</v>
      </c>
      <c r="Q175" s="150"/>
    </row>
    <row r="176" spans="1:19" s="136" customFormat="1" x14ac:dyDescent="0.2">
      <c r="A176" s="155" t="s">
        <v>420</v>
      </c>
      <c r="B176" s="149">
        <v>1800</v>
      </c>
      <c r="C176" s="138"/>
      <c r="D176" s="147">
        <f t="shared" ref="D176:O185" si="132">($B176/$P$8)*D$8</f>
        <v>152.87671232876713</v>
      </c>
      <c r="E176" s="147">
        <f t="shared" si="132"/>
        <v>147.94520547945206</v>
      </c>
      <c r="F176" s="147">
        <f t="shared" si="132"/>
        <v>152.87671232876713</v>
      </c>
      <c r="G176" s="147">
        <f t="shared" si="132"/>
        <v>152.87671232876713</v>
      </c>
      <c r="H176" s="147">
        <f t="shared" si="132"/>
        <v>138.08219178082192</v>
      </c>
      <c r="I176" s="147">
        <f t="shared" si="132"/>
        <v>152.87671232876713</v>
      </c>
      <c r="J176" s="147">
        <f t="shared" si="132"/>
        <v>147.94520547945206</v>
      </c>
      <c r="K176" s="147">
        <f t="shared" si="132"/>
        <v>152.87671232876713</v>
      </c>
      <c r="L176" s="147">
        <f t="shared" si="132"/>
        <v>147.94520547945206</v>
      </c>
      <c r="M176" s="147">
        <f t="shared" si="132"/>
        <v>152.87671232876713</v>
      </c>
      <c r="N176" s="147">
        <f t="shared" si="132"/>
        <v>152.87671232876713</v>
      </c>
      <c r="O176" s="147">
        <f t="shared" si="132"/>
        <v>147.94520547945206</v>
      </c>
      <c r="P176" s="147">
        <f t="shared" si="131"/>
        <v>1799.9999999999995</v>
      </c>
      <c r="Q176" s="150"/>
    </row>
    <row r="177" spans="1:38" s="136" customFormat="1" x14ac:dyDescent="0.2">
      <c r="A177" s="155" t="s">
        <v>421</v>
      </c>
      <c r="B177" s="149">
        <v>9000</v>
      </c>
      <c r="C177" s="138"/>
      <c r="D177" s="147">
        <f t="shared" si="132"/>
        <v>764.38356164383561</v>
      </c>
      <c r="E177" s="147">
        <f t="shared" si="132"/>
        <v>739.72602739726028</v>
      </c>
      <c r="F177" s="147">
        <f t="shared" si="132"/>
        <v>764.38356164383561</v>
      </c>
      <c r="G177" s="147">
        <f t="shared" si="132"/>
        <v>764.38356164383561</v>
      </c>
      <c r="H177" s="147">
        <f t="shared" si="132"/>
        <v>690.41095890410952</v>
      </c>
      <c r="I177" s="147">
        <f t="shared" si="132"/>
        <v>764.38356164383561</v>
      </c>
      <c r="J177" s="147">
        <f t="shared" si="132"/>
        <v>739.72602739726028</v>
      </c>
      <c r="K177" s="147">
        <f t="shared" si="132"/>
        <v>764.38356164383561</v>
      </c>
      <c r="L177" s="147">
        <f t="shared" si="132"/>
        <v>739.72602739726028</v>
      </c>
      <c r="M177" s="147">
        <f t="shared" si="132"/>
        <v>764.38356164383561</v>
      </c>
      <c r="N177" s="147">
        <f t="shared" si="132"/>
        <v>764.38356164383561</v>
      </c>
      <c r="O177" s="147">
        <f t="shared" si="132"/>
        <v>739.72602739726028</v>
      </c>
      <c r="P177" s="147">
        <f t="shared" si="131"/>
        <v>9000.0000000000018</v>
      </c>
      <c r="Q177" s="150"/>
    </row>
    <row r="178" spans="1:38" s="136" customFormat="1" x14ac:dyDescent="0.2">
      <c r="A178" s="155" t="s">
        <v>422</v>
      </c>
      <c r="B178" s="149"/>
      <c r="C178" s="138"/>
      <c r="D178" s="147">
        <f t="shared" si="132"/>
        <v>0</v>
      </c>
      <c r="E178" s="147">
        <f t="shared" si="132"/>
        <v>0</v>
      </c>
      <c r="F178" s="147">
        <f t="shared" si="132"/>
        <v>0</v>
      </c>
      <c r="G178" s="147">
        <f t="shared" si="132"/>
        <v>0</v>
      </c>
      <c r="H178" s="147">
        <f t="shared" si="132"/>
        <v>0</v>
      </c>
      <c r="I178" s="147">
        <f t="shared" si="132"/>
        <v>0</v>
      </c>
      <c r="J178" s="147">
        <f t="shared" si="132"/>
        <v>0</v>
      </c>
      <c r="K178" s="147">
        <f t="shared" si="132"/>
        <v>0</v>
      </c>
      <c r="L178" s="147">
        <f t="shared" si="132"/>
        <v>0</v>
      </c>
      <c r="M178" s="147">
        <f t="shared" si="132"/>
        <v>0</v>
      </c>
      <c r="N178" s="147">
        <f t="shared" si="132"/>
        <v>0</v>
      </c>
      <c r="O178" s="147">
        <f t="shared" si="132"/>
        <v>0</v>
      </c>
      <c r="P178" s="147">
        <f t="shared" si="131"/>
        <v>0</v>
      </c>
      <c r="Q178" s="150"/>
    </row>
    <row r="179" spans="1:38" s="136" customFormat="1" x14ac:dyDescent="0.2">
      <c r="A179" s="155" t="s">
        <v>423</v>
      </c>
      <c r="B179" s="149">
        <v>18000</v>
      </c>
      <c r="C179" s="138"/>
      <c r="D179" s="147">
        <f t="shared" si="132"/>
        <v>1528.7671232876712</v>
      </c>
      <c r="E179" s="147">
        <f t="shared" si="132"/>
        <v>1479.4520547945206</v>
      </c>
      <c r="F179" s="147">
        <f t="shared" si="132"/>
        <v>1528.7671232876712</v>
      </c>
      <c r="G179" s="147">
        <f t="shared" si="132"/>
        <v>1528.7671232876712</v>
      </c>
      <c r="H179" s="147">
        <f t="shared" si="132"/>
        <v>1380.821917808219</v>
      </c>
      <c r="I179" s="147">
        <f t="shared" si="132"/>
        <v>1528.7671232876712</v>
      </c>
      <c r="J179" s="147">
        <f t="shared" si="132"/>
        <v>1479.4520547945206</v>
      </c>
      <c r="K179" s="147">
        <f t="shared" si="132"/>
        <v>1528.7671232876712</v>
      </c>
      <c r="L179" s="147">
        <f t="shared" si="132"/>
        <v>1479.4520547945206</v>
      </c>
      <c r="M179" s="147">
        <f t="shared" si="132"/>
        <v>1528.7671232876712</v>
      </c>
      <c r="N179" s="147">
        <f t="shared" si="132"/>
        <v>1528.7671232876712</v>
      </c>
      <c r="O179" s="147">
        <f t="shared" si="132"/>
        <v>1479.4520547945206</v>
      </c>
      <c r="P179" s="147">
        <f t="shared" si="131"/>
        <v>18000.000000000004</v>
      </c>
      <c r="Q179" s="150"/>
    </row>
    <row r="180" spans="1:38" s="136" customFormat="1" x14ac:dyDescent="0.2">
      <c r="A180" s="155" t="s">
        <v>424</v>
      </c>
      <c r="B180" s="149">
        <v>1100</v>
      </c>
      <c r="C180" s="138"/>
      <c r="D180" s="147">
        <f t="shared" si="132"/>
        <v>93.424657534246577</v>
      </c>
      <c r="E180" s="147">
        <f t="shared" si="132"/>
        <v>90.410958904109592</v>
      </c>
      <c r="F180" s="147">
        <f t="shared" si="132"/>
        <v>93.424657534246577</v>
      </c>
      <c r="G180" s="147">
        <f t="shared" si="132"/>
        <v>93.424657534246577</v>
      </c>
      <c r="H180" s="147">
        <f t="shared" si="132"/>
        <v>84.38356164383562</v>
      </c>
      <c r="I180" s="147">
        <f t="shared" si="132"/>
        <v>93.424657534246577</v>
      </c>
      <c r="J180" s="147">
        <f t="shared" si="132"/>
        <v>90.410958904109592</v>
      </c>
      <c r="K180" s="147">
        <f t="shared" si="132"/>
        <v>93.424657534246577</v>
      </c>
      <c r="L180" s="147">
        <f t="shared" si="132"/>
        <v>90.410958904109592</v>
      </c>
      <c r="M180" s="147">
        <f t="shared" si="132"/>
        <v>93.424657534246577</v>
      </c>
      <c r="N180" s="147">
        <f t="shared" si="132"/>
        <v>93.424657534246577</v>
      </c>
      <c r="O180" s="147">
        <f t="shared" si="132"/>
        <v>90.410958904109592</v>
      </c>
      <c r="P180" s="147">
        <f t="shared" si="131"/>
        <v>1100</v>
      </c>
      <c r="Q180" s="150"/>
    </row>
    <row r="181" spans="1:38" s="136" customFormat="1" x14ac:dyDescent="0.2">
      <c r="A181" s="155" t="s">
        <v>425</v>
      </c>
      <c r="B181" s="149"/>
      <c r="C181" s="138"/>
      <c r="D181" s="147">
        <f t="shared" si="132"/>
        <v>0</v>
      </c>
      <c r="E181" s="147">
        <f t="shared" si="132"/>
        <v>0</v>
      </c>
      <c r="F181" s="147">
        <f t="shared" si="132"/>
        <v>0</v>
      </c>
      <c r="G181" s="147">
        <f t="shared" si="132"/>
        <v>0</v>
      </c>
      <c r="H181" s="147">
        <f t="shared" si="132"/>
        <v>0</v>
      </c>
      <c r="I181" s="147">
        <f t="shared" si="132"/>
        <v>0</v>
      </c>
      <c r="J181" s="147">
        <f t="shared" si="132"/>
        <v>0</v>
      </c>
      <c r="K181" s="147">
        <f t="shared" si="132"/>
        <v>0</v>
      </c>
      <c r="L181" s="147">
        <f t="shared" si="132"/>
        <v>0</v>
      </c>
      <c r="M181" s="147">
        <f t="shared" si="132"/>
        <v>0</v>
      </c>
      <c r="N181" s="147">
        <f t="shared" si="132"/>
        <v>0</v>
      </c>
      <c r="O181" s="147">
        <f t="shared" si="132"/>
        <v>0</v>
      </c>
      <c r="P181" s="147">
        <f t="shared" si="131"/>
        <v>0</v>
      </c>
      <c r="Q181" s="150"/>
    </row>
    <row r="182" spans="1:38" s="136" customFormat="1" x14ac:dyDescent="0.2">
      <c r="A182" s="155" t="s">
        <v>162</v>
      </c>
      <c r="B182" s="149">
        <f>8500+11</f>
        <v>8511</v>
      </c>
      <c r="C182" s="138"/>
      <c r="D182" s="147">
        <f t="shared" si="132"/>
        <v>722.85205479452054</v>
      </c>
      <c r="E182" s="147">
        <f t="shared" si="132"/>
        <v>699.53424657534254</v>
      </c>
      <c r="F182" s="147">
        <f t="shared" si="132"/>
        <v>722.85205479452054</v>
      </c>
      <c r="G182" s="147">
        <f t="shared" si="132"/>
        <v>722.85205479452054</v>
      </c>
      <c r="H182" s="147">
        <f t="shared" si="132"/>
        <v>652.8986301369863</v>
      </c>
      <c r="I182" s="147">
        <f t="shared" si="132"/>
        <v>722.85205479452054</v>
      </c>
      <c r="J182" s="147">
        <f t="shared" si="132"/>
        <v>699.53424657534254</v>
      </c>
      <c r="K182" s="147">
        <f t="shared" si="132"/>
        <v>722.85205479452054</v>
      </c>
      <c r="L182" s="147">
        <f t="shared" si="132"/>
        <v>699.53424657534254</v>
      </c>
      <c r="M182" s="147">
        <f t="shared" si="132"/>
        <v>722.85205479452054</v>
      </c>
      <c r="N182" s="147">
        <f t="shared" si="132"/>
        <v>722.85205479452054</v>
      </c>
      <c r="O182" s="147">
        <f t="shared" si="132"/>
        <v>699.53424657534254</v>
      </c>
      <c r="P182" s="147">
        <f t="shared" si="131"/>
        <v>8511.0000000000018</v>
      </c>
      <c r="Q182" s="150"/>
    </row>
    <row r="183" spans="1:38" s="136" customFormat="1" x14ac:dyDescent="0.2">
      <c r="A183" s="155" t="s">
        <v>426</v>
      </c>
      <c r="B183" s="149">
        <v>5000</v>
      </c>
      <c r="C183" s="138"/>
      <c r="D183" s="147">
        <f t="shared" si="132"/>
        <v>424.65753424657532</v>
      </c>
      <c r="E183" s="147">
        <f t="shared" si="132"/>
        <v>410.95890410958901</v>
      </c>
      <c r="F183" s="147">
        <f t="shared" si="132"/>
        <v>424.65753424657532</v>
      </c>
      <c r="G183" s="147">
        <f t="shared" si="132"/>
        <v>424.65753424657532</v>
      </c>
      <c r="H183" s="147">
        <f t="shared" si="132"/>
        <v>383.56164383561645</v>
      </c>
      <c r="I183" s="147">
        <f t="shared" si="132"/>
        <v>424.65753424657532</v>
      </c>
      <c r="J183" s="147">
        <f t="shared" si="132"/>
        <v>410.95890410958901</v>
      </c>
      <c r="K183" s="147">
        <f t="shared" si="132"/>
        <v>424.65753424657532</v>
      </c>
      <c r="L183" s="147">
        <f t="shared" si="132"/>
        <v>410.95890410958901</v>
      </c>
      <c r="M183" s="147">
        <f t="shared" si="132"/>
        <v>424.65753424657532</v>
      </c>
      <c r="N183" s="147">
        <f t="shared" si="132"/>
        <v>424.65753424657532</v>
      </c>
      <c r="O183" s="147">
        <f t="shared" si="132"/>
        <v>410.95890410958901</v>
      </c>
      <c r="P183" s="147">
        <f t="shared" si="131"/>
        <v>4999.9999999999991</v>
      </c>
      <c r="Q183" s="150"/>
    </row>
    <row r="184" spans="1:38" s="136" customFormat="1" x14ac:dyDescent="0.2">
      <c r="A184" s="155" t="s">
        <v>427</v>
      </c>
      <c r="B184" s="149">
        <v>3500</v>
      </c>
      <c r="C184" s="138"/>
      <c r="D184" s="147">
        <f t="shared" si="132"/>
        <v>297.2602739726027</v>
      </c>
      <c r="E184" s="147">
        <f t="shared" si="132"/>
        <v>287.67123287671228</v>
      </c>
      <c r="F184" s="147">
        <f t="shared" si="132"/>
        <v>297.2602739726027</v>
      </c>
      <c r="G184" s="147">
        <f t="shared" si="132"/>
        <v>297.2602739726027</v>
      </c>
      <c r="H184" s="147">
        <f t="shared" si="132"/>
        <v>268.49315068493149</v>
      </c>
      <c r="I184" s="147">
        <f t="shared" si="132"/>
        <v>297.2602739726027</v>
      </c>
      <c r="J184" s="147">
        <f t="shared" si="132"/>
        <v>287.67123287671228</v>
      </c>
      <c r="K184" s="147">
        <f t="shared" si="132"/>
        <v>297.2602739726027</v>
      </c>
      <c r="L184" s="147">
        <f t="shared" si="132"/>
        <v>287.67123287671228</v>
      </c>
      <c r="M184" s="147">
        <f t="shared" si="132"/>
        <v>297.2602739726027</v>
      </c>
      <c r="N184" s="147">
        <f t="shared" si="132"/>
        <v>297.2602739726027</v>
      </c>
      <c r="O184" s="147">
        <f t="shared" si="132"/>
        <v>287.67123287671228</v>
      </c>
      <c r="P184" s="147">
        <f t="shared" si="131"/>
        <v>3499.9999999999991</v>
      </c>
      <c r="Q184" s="150"/>
    </row>
    <row r="185" spans="1:38" s="136" customFormat="1" x14ac:dyDescent="0.2">
      <c r="A185" s="155" t="s">
        <v>428</v>
      </c>
      <c r="B185" s="149">
        <v>500</v>
      </c>
      <c r="C185" s="138"/>
      <c r="D185" s="147">
        <f t="shared" si="132"/>
        <v>42.465753424657535</v>
      </c>
      <c r="E185" s="147">
        <f t="shared" si="132"/>
        <v>41.095890410958901</v>
      </c>
      <c r="F185" s="147">
        <f t="shared" si="132"/>
        <v>42.465753424657535</v>
      </c>
      <c r="G185" s="147">
        <f t="shared" si="132"/>
        <v>42.465753424657535</v>
      </c>
      <c r="H185" s="147">
        <f t="shared" si="132"/>
        <v>38.356164383561641</v>
      </c>
      <c r="I185" s="147">
        <f t="shared" si="132"/>
        <v>42.465753424657535</v>
      </c>
      <c r="J185" s="147">
        <f t="shared" si="132"/>
        <v>41.095890410958901</v>
      </c>
      <c r="K185" s="147">
        <f t="shared" si="132"/>
        <v>42.465753424657535</v>
      </c>
      <c r="L185" s="147">
        <f t="shared" si="132"/>
        <v>41.095890410958901</v>
      </c>
      <c r="M185" s="147">
        <f t="shared" si="132"/>
        <v>42.465753424657535</v>
      </c>
      <c r="N185" s="147">
        <f t="shared" si="132"/>
        <v>42.465753424657535</v>
      </c>
      <c r="O185" s="147">
        <f t="shared" si="132"/>
        <v>41.095890410958901</v>
      </c>
      <c r="P185" s="147">
        <f t="shared" si="131"/>
        <v>499.99999999999989</v>
      </c>
      <c r="Q185" s="150"/>
    </row>
    <row r="186" spans="1:38" s="136" customFormat="1" x14ac:dyDescent="0.2">
      <c r="A186" s="155" t="s">
        <v>429</v>
      </c>
      <c r="B186" s="149"/>
      <c r="C186" s="138"/>
      <c r="D186" s="147">
        <f t="shared" ref="D186:O191" si="133">($B186/$P$8)*D$8</f>
        <v>0</v>
      </c>
      <c r="E186" s="147">
        <f t="shared" si="133"/>
        <v>0</v>
      </c>
      <c r="F186" s="147">
        <f t="shared" si="133"/>
        <v>0</v>
      </c>
      <c r="G186" s="147">
        <f t="shared" si="133"/>
        <v>0</v>
      </c>
      <c r="H186" s="147">
        <f t="shared" si="133"/>
        <v>0</v>
      </c>
      <c r="I186" s="147">
        <f t="shared" si="133"/>
        <v>0</v>
      </c>
      <c r="J186" s="147">
        <f t="shared" si="133"/>
        <v>0</v>
      </c>
      <c r="K186" s="147">
        <f t="shared" si="133"/>
        <v>0</v>
      </c>
      <c r="L186" s="147">
        <f t="shared" si="133"/>
        <v>0</v>
      </c>
      <c r="M186" s="147">
        <f t="shared" si="133"/>
        <v>0</v>
      </c>
      <c r="N186" s="147">
        <f t="shared" si="133"/>
        <v>0</v>
      </c>
      <c r="O186" s="147">
        <f t="shared" si="133"/>
        <v>0</v>
      </c>
      <c r="P186" s="147">
        <f t="shared" si="131"/>
        <v>0</v>
      </c>
      <c r="Q186" s="150"/>
    </row>
    <row r="187" spans="1:38" s="136" customFormat="1" x14ac:dyDescent="0.2">
      <c r="A187" s="155" t="s">
        <v>430</v>
      </c>
      <c r="B187" s="149"/>
      <c r="C187" s="138"/>
      <c r="D187" s="147">
        <f t="shared" si="133"/>
        <v>0</v>
      </c>
      <c r="E187" s="147">
        <f t="shared" si="133"/>
        <v>0</v>
      </c>
      <c r="F187" s="147">
        <f t="shared" si="133"/>
        <v>0</v>
      </c>
      <c r="G187" s="147">
        <f t="shared" si="133"/>
        <v>0</v>
      </c>
      <c r="H187" s="147">
        <f t="shared" si="133"/>
        <v>0</v>
      </c>
      <c r="I187" s="147">
        <f t="shared" si="133"/>
        <v>0</v>
      </c>
      <c r="J187" s="147">
        <f t="shared" si="133"/>
        <v>0</v>
      </c>
      <c r="K187" s="147">
        <f t="shared" si="133"/>
        <v>0</v>
      </c>
      <c r="L187" s="147">
        <f t="shared" si="133"/>
        <v>0</v>
      </c>
      <c r="M187" s="147">
        <f t="shared" si="133"/>
        <v>0</v>
      </c>
      <c r="N187" s="147">
        <f t="shared" si="133"/>
        <v>0</v>
      </c>
      <c r="O187" s="147">
        <f t="shared" si="133"/>
        <v>0</v>
      </c>
      <c r="P187" s="147">
        <f t="shared" si="131"/>
        <v>0</v>
      </c>
      <c r="Q187" s="150"/>
    </row>
    <row r="188" spans="1:38" s="136" customFormat="1" x14ac:dyDescent="0.2">
      <c r="A188" s="155" t="s">
        <v>431</v>
      </c>
      <c r="B188" s="149">
        <v>5300</v>
      </c>
      <c r="C188" s="138"/>
      <c r="D188" s="147">
        <f t="shared" si="133"/>
        <v>450.13698630136986</v>
      </c>
      <c r="E188" s="147">
        <f t="shared" si="133"/>
        <v>435.61643835616439</v>
      </c>
      <c r="F188" s="147">
        <f t="shared" si="133"/>
        <v>450.13698630136986</v>
      </c>
      <c r="G188" s="147">
        <f t="shared" si="133"/>
        <v>450.13698630136986</v>
      </c>
      <c r="H188" s="147">
        <f t="shared" si="133"/>
        <v>406.57534246575341</v>
      </c>
      <c r="I188" s="147">
        <f t="shared" si="133"/>
        <v>450.13698630136986</v>
      </c>
      <c r="J188" s="147">
        <f t="shared" si="133"/>
        <v>435.61643835616439</v>
      </c>
      <c r="K188" s="147">
        <f t="shared" si="133"/>
        <v>450.13698630136986</v>
      </c>
      <c r="L188" s="147">
        <f t="shared" si="133"/>
        <v>435.61643835616439</v>
      </c>
      <c r="M188" s="147">
        <f t="shared" si="133"/>
        <v>450.13698630136986</v>
      </c>
      <c r="N188" s="147">
        <f t="shared" si="133"/>
        <v>450.13698630136986</v>
      </c>
      <c r="O188" s="147">
        <f t="shared" si="133"/>
        <v>435.61643835616439</v>
      </c>
      <c r="P188" s="147">
        <f t="shared" si="131"/>
        <v>5300</v>
      </c>
      <c r="Q188" s="150"/>
    </row>
    <row r="189" spans="1:38" s="136" customFormat="1" x14ac:dyDescent="0.2">
      <c r="A189" s="155" t="s">
        <v>432</v>
      </c>
      <c r="B189" s="149"/>
      <c r="C189" s="138"/>
      <c r="D189" s="147">
        <f t="shared" si="133"/>
        <v>0</v>
      </c>
      <c r="E189" s="147">
        <f t="shared" si="133"/>
        <v>0</v>
      </c>
      <c r="F189" s="147">
        <f t="shared" si="133"/>
        <v>0</v>
      </c>
      <c r="G189" s="147">
        <f t="shared" si="133"/>
        <v>0</v>
      </c>
      <c r="H189" s="147">
        <f t="shared" si="133"/>
        <v>0</v>
      </c>
      <c r="I189" s="147">
        <f t="shared" si="133"/>
        <v>0</v>
      </c>
      <c r="J189" s="147">
        <f t="shared" si="133"/>
        <v>0</v>
      </c>
      <c r="K189" s="147">
        <f t="shared" si="133"/>
        <v>0</v>
      </c>
      <c r="L189" s="147">
        <f t="shared" si="133"/>
        <v>0</v>
      </c>
      <c r="M189" s="147">
        <f t="shared" si="133"/>
        <v>0</v>
      </c>
      <c r="N189" s="147">
        <f t="shared" si="133"/>
        <v>0</v>
      </c>
      <c r="O189" s="147">
        <f t="shared" si="133"/>
        <v>0</v>
      </c>
      <c r="P189" s="147">
        <f t="shared" si="131"/>
        <v>0</v>
      </c>
      <c r="Q189" s="150"/>
    </row>
    <row r="190" spans="1:38" s="168" customFormat="1" x14ac:dyDescent="0.2">
      <c r="A190" s="155" t="s">
        <v>433</v>
      </c>
      <c r="B190" s="149">
        <v>1900</v>
      </c>
      <c r="C190" s="138"/>
      <c r="D190" s="147">
        <f t="shared" si="133"/>
        <v>161.36986301369865</v>
      </c>
      <c r="E190" s="147">
        <f t="shared" si="133"/>
        <v>156.16438356164386</v>
      </c>
      <c r="F190" s="147">
        <f t="shared" si="133"/>
        <v>161.36986301369865</v>
      </c>
      <c r="G190" s="147">
        <f t="shared" si="133"/>
        <v>161.36986301369865</v>
      </c>
      <c r="H190" s="147">
        <f t="shared" si="133"/>
        <v>145.75342465753425</v>
      </c>
      <c r="I190" s="147">
        <f t="shared" si="133"/>
        <v>161.36986301369865</v>
      </c>
      <c r="J190" s="147">
        <f t="shared" si="133"/>
        <v>156.16438356164386</v>
      </c>
      <c r="K190" s="147">
        <f t="shared" si="133"/>
        <v>161.36986301369865</v>
      </c>
      <c r="L190" s="147">
        <f t="shared" si="133"/>
        <v>156.16438356164386</v>
      </c>
      <c r="M190" s="147">
        <f t="shared" si="133"/>
        <v>161.36986301369865</v>
      </c>
      <c r="N190" s="147">
        <f t="shared" si="133"/>
        <v>161.36986301369865</v>
      </c>
      <c r="O190" s="147">
        <f t="shared" si="133"/>
        <v>156.16438356164386</v>
      </c>
      <c r="P190" s="147">
        <f t="shared" si="131"/>
        <v>1900.0000000000007</v>
      </c>
      <c r="Q190" s="150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</row>
    <row r="191" spans="1:38" s="168" customFormat="1" x14ac:dyDescent="0.2">
      <c r="A191" s="155" t="s">
        <v>434</v>
      </c>
      <c r="B191" s="149">
        <v>4000</v>
      </c>
      <c r="C191" s="138"/>
      <c r="D191" s="147">
        <f t="shared" si="133"/>
        <v>339.72602739726028</v>
      </c>
      <c r="E191" s="147">
        <f t="shared" si="133"/>
        <v>328.76712328767121</v>
      </c>
      <c r="F191" s="147">
        <f t="shared" si="133"/>
        <v>339.72602739726028</v>
      </c>
      <c r="G191" s="147">
        <f t="shared" si="133"/>
        <v>339.72602739726028</v>
      </c>
      <c r="H191" s="147">
        <f t="shared" si="133"/>
        <v>306.84931506849313</v>
      </c>
      <c r="I191" s="147">
        <f t="shared" si="133"/>
        <v>339.72602739726028</v>
      </c>
      <c r="J191" s="147">
        <f t="shared" si="133"/>
        <v>328.76712328767121</v>
      </c>
      <c r="K191" s="147">
        <f t="shared" si="133"/>
        <v>339.72602739726028</v>
      </c>
      <c r="L191" s="147">
        <f t="shared" si="133"/>
        <v>328.76712328767121</v>
      </c>
      <c r="M191" s="147">
        <f t="shared" si="133"/>
        <v>339.72602739726028</v>
      </c>
      <c r="N191" s="147">
        <f t="shared" si="133"/>
        <v>339.72602739726028</v>
      </c>
      <c r="O191" s="147">
        <f t="shared" si="133"/>
        <v>328.76712328767121</v>
      </c>
      <c r="P191" s="147">
        <f t="shared" si="131"/>
        <v>3999.9999999999991</v>
      </c>
      <c r="Q191" s="150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</row>
    <row r="192" spans="1:38" s="136" customFormat="1" x14ac:dyDescent="0.2">
      <c r="B192" s="151"/>
      <c r="C192" s="138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0"/>
      <c r="R192" s="168"/>
      <c r="AK192" s="168"/>
      <c r="AL192" s="168"/>
    </row>
    <row r="193" spans="1:38" s="136" customFormat="1" x14ac:dyDescent="0.2">
      <c r="A193" s="155" t="s">
        <v>435</v>
      </c>
      <c r="B193" s="175">
        <f>SUM(B166:B192)</f>
        <v>60171</v>
      </c>
      <c r="C193" s="138"/>
      <c r="D193" s="164">
        <f t="shared" ref="D193:P193" si="134">SUM(D166:D192)</f>
        <v>5110.4136986301364</v>
      </c>
      <c r="E193" s="164">
        <f t="shared" si="134"/>
        <v>4945.5616438356165</v>
      </c>
      <c r="F193" s="164">
        <f t="shared" si="134"/>
        <v>5110.4136986301364</v>
      </c>
      <c r="G193" s="164">
        <f t="shared" si="134"/>
        <v>5110.4136986301364</v>
      </c>
      <c r="H193" s="164">
        <f t="shared" si="134"/>
        <v>4615.8575342465756</v>
      </c>
      <c r="I193" s="164">
        <f t="shared" si="134"/>
        <v>5110.4136986301364</v>
      </c>
      <c r="J193" s="164">
        <f t="shared" si="134"/>
        <v>4945.5616438356165</v>
      </c>
      <c r="K193" s="164">
        <f t="shared" si="134"/>
        <v>5110.4136986301364</v>
      </c>
      <c r="L193" s="164">
        <f t="shared" si="134"/>
        <v>4945.5616438356165</v>
      </c>
      <c r="M193" s="164">
        <f t="shared" si="134"/>
        <v>5110.4136986301364</v>
      </c>
      <c r="N193" s="164">
        <f t="shared" si="134"/>
        <v>5110.4136986301364</v>
      </c>
      <c r="O193" s="164">
        <f t="shared" si="134"/>
        <v>4945.5616438356165</v>
      </c>
      <c r="P193" s="164">
        <f t="shared" si="134"/>
        <v>60171.000000000007</v>
      </c>
      <c r="Q193" s="150"/>
      <c r="R193" s="168"/>
      <c r="AK193" s="168"/>
      <c r="AL193" s="168"/>
    </row>
    <row r="194" spans="1:38" s="136" customFormat="1" x14ac:dyDescent="0.2">
      <c r="B194" s="179"/>
      <c r="C194" s="138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50"/>
    </row>
    <row r="195" spans="1:38" s="168" customFormat="1" ht="13.5" thickBot="1" x14ac:dyDescent="0.25">
      <c r="A195" s="155" t="s">
        <v>436</v>
      </c>
      <c r="B195" s="172" t="e">
        <f>B66+B74+B87+B157+B163+B193</f>
        <v>#REF!</v>
      </c>
      <c r="C195" s="138"/>
      <c r="D195" s="173" t="e">
        <f t="shared" ref="D195:P195" si="135">D66+D74+D87+D157+D163+D193</f>
        <v>#REF!</v>
      </c>
      <c r="E195" s="173" t="e">
        <f t="shared" si="135"/>
        <v>#REF!</v>
      </c>
      <c r="F195" s="173" t="e">
        <f t="shared" si="135"/>
        <v>#REF!</v>
      </c>
      <c r="G195" s="173" t="e">
        <f t="shared" si="135"/>
        <v>#REF!</v>
      </c>
      <c r="H195" s="173" t="e">
        <f t="shared" si="135"/>
        <v>#REF!</v>
      </c>
      <c r="I195" s="173" t="e">
        <f t="shared" si="135"/>
        <v>#REF!</v>
      </c>
      <c r="J195" s="173" t="e">
        <f t="shared" si="135"/>
        <v>#REF!</v>
      </c>
      <c r="K195" s="173" t="e">
        <f t="shared" si="135"/>
        <v>#REF!</v>
      </c>
      <c r="L195" s="173" t="e">
        <f t="shared" si="135"/>
        <v>#REF!</v>
      </c>
      <c r="M195" s="173" t="e">
        <f t="shared" si="135"/>
        <v>#REF!</v>
      </c>
      <c r="N195" s="173" t="e">
        <f t="shared" si="135"/>
        <v>#REF!</v>
      </c>
      <c r="O195" s="173" t="e">
        <f t="shared" si="135"/>
        <v>#REF!</v>
      </c>
      <c r="P195" s="173" t="e">
        <f t="shared" si="135"/>
        <v>#REF!</v>
      </c>
      <c r="Q195" s="150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K195" s="136"/>
      <c r="AL195" s="136"/>
    </row>
    <row r="196" spans="1:38" s="136" customFormat="1" ht="13.5" thickTop="1" x14ac:dyDescent="0.2">
      <c r="A196" s="168"/>
      <c r="B196" s="176" t="e">
        <f>B195/B$23</f>
        <v>#REF!</v>
      </c>
      <c r="C196" s="180"/>
      <c r="D196" s="174" t="e">
        <f t="shared" ref="D196:P196" si="136">D195/D$23</f>
        <v>#REF!</v>
      </c>
      <c r="E196" s="174" t="e">
        <f t="shared" si="136"/>
        <v>#REF!</v>
      </c>
      <c r="F196" s="174" t="e">
        <f t="shared" si="136"/>
        <v>#REF!</v>
      </c>
      <c r="G196" s="174" t="e">
        <f t="shared" si="136"/>
        <v>#REF!</v>
      </c>
      <c r="H196" s="174" t="e">
        <f t="shared" si="136"/>
        <v>#REF!</v>
      </c>
      <c r="I196" s="174" t="e">
        <f t="shared" si="136"/>
        <v>#REF!</v>
      </c>
      <c r="J196" s="174" t="e">
        <f t="shared" si="136"/>
        <v>#REF!</v>
      </c>
      <c r="K196" s="174" t="e">
        <f t="shared" si="136"/>
        <v>#REF!</v>
      </c>
      <c r="L196" s="174" t="e">
        <f t="shared" si="136"/>
        <v>#REF!</v>
      </c>
      <c r="M196" s="174" t="e">
        <f t="shared" si="136"/>
        <v>#REF!</v>
      </c>
      <c r="N196" s="174" t="e">
        <f t="shared" si="136"/>
        <v>#REF!</v>
      </c>
      <c r="O196" s="174" t="e">
        <f t="shared" si="136"/>
        <v>#REF!</v>
      </c>
      <c r="P196" s="174" t="e">
        <f t="shared" si="136"/>
        <v>#REF!</v>
      </c>
      <c r="Q196" s="192"/>
      <c r="AJ196" s="168"/>
    </row>
    <row r="197" spans="1:38" s="136" customFormat="1" x14ac:dyDescent="0.2">
      <c r="A197" s="168"/>
      <c r="B197" s="179"/>
      <c r="C197" s="180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50"/>
      <c r="R197" s="168"/>
      <c r="S197" s="145"/>
      <c r="AI197" s="168"/>
      <c r="AK197" s="168"/>
      <c r="AL197" s="168"/>
    </row>
    <row r="198" spans="1:38" s="136" customFormat="1" x14ac:dyDescent="0.2">
      <c r="B198" s="151"/>
      <c r="C198" s="180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0"/>
      <c r="R198" s="168"/>
      <c r="S198" s="145"/>
      <c r="AI198" s="168"/>
      <c r="AK198" s="168"/>
      <c r="AL198" s="168"/>
    </row>
    <row r="199" spans="1:38" s="136" customFormat="1" ht="13.5" thickBot="1" x14ac:dyDescent="0.25">
      <c r="A199" s="136" t="s">
        <v>437</v>
      </c>
      <c r="B199" s="172" t="e">
        <f>B23-B195</f>
        <v>#REF!</v>
      </c>
      <c r="C199" s="180"/>
      <c r="D199" s="173" t="e">
        <f t="shared" ref="D199:P199" si="137">D23-D195</f>
        <v>#REF!</v>
      </c>
      <c r="E199" s="173" t="e">
        <f t="shared" si="137"/>
        <v>#REF!</v>
      </c>
      <c r="F199" s="173" t="e">
        <f t="shared" si="137"/>
        <v>#REF!</v>
      </c>
      <c r="G199" s="173" t="e">
        <f t="shared" si="137"/>
        <v>#REF!</v>
      </c>
      <c r="H199" s="173" t="e">
        <f t="shared" si="137"/>
        <v>#REF!</v>
      </c>
      <c r="I199" s="173" t="e">
        <f t="shared" si="137"/>
        <v>#REF!</v>
      </c>
      <c r="J199" s="173" t="e">
        <f t="shared" si="137"/>
        <v>#REF!</v>
      </c>
      <c r="K199" s="173" t="e">
        <f t="shared" si="137"/>
        <v>#REF!</v>
      </c>
      <c r="L199" s="173" t="e">
        <f t="shared" si="137"/>
        <v>#REF!</v>
      </c>
      <c r="M199" s="173" t="e">
        <f t="shared" si="137"/>
        <v>#REF!</v>
      </c>
      <c r="N199" s="173" t="e">
        <f t="shared" si="137"/>
        <v>#REF!</v>
      </c>
      <c r="O199" s="173" t="e">
        <f t="shared" si="137"/>
        <v>#REF!</v>
      </c>
      <c r="P199" s="173" t="e">
        <f t="shared" si="137"/>
        <v>#REF!</v>
      </c>
      <c r="Q199" s="150"/>
      <c r="R199" s="168"/>
      <c r="S199" s="145"/>
      <c r="AK199" s="168"/>
      <c r="AL199" s="168"/>
    </row>
    <row r="200" spans="1:38" s="136" customFormat="1" ht="13.5" thickTop="1" x14ac:dyDescent="0.2">
      <c r="A200" s="155"/>
      <c r="B200" s="181" t="e">
        <f>B199/B$23</f>
        <v>#REF!</v>
      </c>
      <c r="C200" s="180"/>
      <c r="D200" s="182" t="e">
        <f t="shared" ref="D200:P200" si="138">D199/D$23</f>
        <v>#REF!</v>
      </c>
      <c r="E200" s="182" t="e">
        <f t="shared" si="138"/>
        <v>#REF!</v>
      </c>
      <c r="F200" s="182" t="e">
        <f t="shared" si="138"/>
        <v>#REF!</v>
      </c>
      <c r="G200" s="182" t="e">
        <f t="shared" si="138"/>
        <v>#REF!</v>
      </c>
      <c r="H200" s="182" t="e">
        <f t="shared" si="138"/>
        <v>#REF!</v>
      </c>
      <c r="I200" s="182" t="e">
        <f t="shared" si="138"/>
        <v>#REF!</v>
      </c>
      <c r="J200" s="182" t="e">
        <f t="shared" si="138"/>
        <v>#REF!</v>
      </c>
      <c r="K200" s="182" t="e">
        <f t="shared" si="138"/>
        <v>#REF!</v>
      </c>
      <c r="L200" s="182" t="e">
        <f t="shared" si="138"/>
        <v>#REF!</v>
      </c>
      <c r="M200" s="182" t="e">
        <f t="shared" si="138"/>
        <v>#REF!</v>
      </c>
      <c r="N200" s="182" t="e">
        <f t="shared" si="138"/>
        <v>#REF!</v>
      </c>
      <c r="O200" s="182" t="e">
        <f t="shared" si="138"/>
        <v>#REF!</v>
      </c>
      <c r="P200" s="182" t="e">
        <f t="shared" si="138"/>
        <v>#REF!</v>
      </c>
      <c r="Q200" s="150"/>
      <c r="S200" s="145"/>
      <c r="AJ200" s="168"/>
    </row>
    <row r="201" spans="1:38" s="136" customFormat="1" x14ac:dyDescent="0.2">
      <c r="A201" s="168"/>
      <c r="B201" s="149"/>
      <c r="C201" s="180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50"/>
      <c r="S201" s="145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J201" s="168"/>
    </row>
    <row r="202" spans="1:38" s="136" customFormat="1" x14ac:dyDescent="0.2">
      <c r="A202" s="168" t="s">
        <v>219</v>
      </c>
      <c r="B202" s="149"/>
      <c r="C202" s="180"/>
      <c r="D202" s="147">
        <f t="shared" ref="D202:O209" si="139">($B202/$P$8)*D$8</f>
        <v>0</v>
      </c>
      <c r="E202" s="147">
        <f t="shared" si="139"/>
        <v>0</v>
      </c>
      <c r="F202" s="147">
        <f t="shared" si="139"/>
        <v>0</v>
      </c>
      <c r="G202" s="147">
        <f t="shared" si="139"/>
        <v>0</v>
      </c>
      <c r="H202" s="147">
        <f t="shared" si="139"/>
        <v>0</v>
      </c>
      <c r="I202" s="147">
        <f t="shared" si="139"/>
        <v>0</v>
      </c>
      <c r="J202" s="147">
        <f t="shared" si="139"/>
        <v>0</v>
      </c>
      <c r="K202" s="147">
        <f t="shared" si="139"/>
        <v>0</v>
      </c>
      <c r="L202" s="147">
        <f t="shared" si="139"/>
        <v>0</v>
      </c>
      <c r="M202" s="147">
        <f t="shared" si="139"/>
        <v>0</v>
      </c>
      <c r="N202" s="147">
        <f t="shared" si="139"/>
        <v>0</v>
      </c>
      <c r="O202" s="147">
        <f t="shared" si="139"/>
        <v>0</v>
      </c>
      <c r="P202" s="147">
        <f t="shared" ref="P202:P209" si="140">SUM(D202:O202)</f>
        <v>0</v>
      </c>
      <c r="Q202" s="150"/>
      <c r="S202" s="145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</row>
    <row r="203" spans="1:38" s="136" customFormat="1" x14ac:dyDescent="0.2">
      <c r="A203" s="168" t="s">
        <v>438</v>
      </c>
      <c r="B203" s="149"/>
      <c r="C203" s="180"/>
      <c r="D203" s="147">
        <f t="shared" si="139"/>
        <v>0</v>
      </c>
      <c r="E203" s="147">
        <f t="shared" si="139"/>
        <v>0</v>
      </c>
      <c r="F203" s="147">
        <f t="shared" si="139"/>
        <v>0</v>
      </c>
      <c r="G203" s="147">
        <f t="shared" si="139"/>
        <v>0</v>
      </c>
      <c r="H203" s="147">
        <f t="shared" si="139"/>
        <v>0</v>
      </c>
      <c r="I203" s="147">
        <f t="shared" si="139"/>
        <v>0</v>
      </c>
      <c r="J203" s="147">
        <f t="shared" si="139"/>
        <v>0</v>
      </c>
      <c r="K203" s="147">
        <f t="shared" si="139"/>
        <v>0</v>
      </c>
      <c r="L203" s="147">
        <f t="shared" si="139"/>
        <v>0</v>
      </c>
      <c r="M203" s="147">
        <f t="shared" si="139"/>
        <v>0</v>
      </c>
      <c r="N203" s="147">
        <f t="shared" si="139"/>
        <v>0</v>
      </c>
      <c r="O203" s="147">
        <f t="shared" si="139"/>
        <v>0</v>
      </c>
      <c r="P203" s="147">
        <f t="shared" si="140"/>
        <v>0</v>
      </c>
      <c r="Q203" s="150"/>
      <c r="S203" s="145"/>
      <c r="AI203" s="168"/>
    </row>
    <row r="204" spans="1:38" s="136" customFormat="1" x14ac:dyDescent="0.2">
      <c r="A204" s="136" t="s">
        <v>31</v>
      </c>
      <c r="B204" s="149">
        <v>5000</v>
      </c>
      <c r="C204" s="180"/>
      <c r="D204" s="147">
        <f t="shared" si="139"/>
        <v>424.65753424657532</v>
      </c>
      <c r="E204" s="147">
        <f t="shared" si="139"/>
        <v>410.95890410958901</v>
      </c>
      <c r="F204" s="147">
        <f t="shared" si="139"/>
        <v>424.65753424657532</v>
      </c>
      <c r="G204" s="147">
        <f t="shared" si="139"/>
        <v>424.65753424657532</v>
      </c>
      <c r="H204" s="147">
        <f t="shared" si="139"/>
        <v>383.56164383561645</v>
      </c>
      <c r="I204" s="147">
        <f t="shared" si="139"/>
        <v>424.65753424657532</v>
      </c>
      <c r="J204" s="147">
        <f t="shared" si="139"/>
        <v>410.95890410958901</v>
      </c>
      <c r="K204" s="147">
        <f t="shared" si="139"/>
        <v>424.65753424657532</v>
      </c>
      <c r="L204" s="147">
        <f t="shared" si="139"/>
        <v>410.95890410958901</v>
      </c>
      <c r="M204" s="147">
        <f t="shared" si="139"/>
        <v>424.65753424657532</v>
      </c>
      <c r="N204" s="147">
        <f t="shared" si="139"/>
        <v>424.65753424657532</v>
      </c>
      <c r="O204" s="147">
        <f t="shared" si="139"/>
        <v>410.95890410958901</v>
      </c>
      <c r="P204" s="147">
        <f t="shared" si="140"/>
        <v>4999.9999999999991</v>
      </c>
      <c r="Q204" s="150"/>
      <c r="S204" s="145"/>
      <c r="AI204" s="168"/>
    </row>
    <row r="205" spans="1:38" s="136" customFormat="1" x14ac:dyDescent="0.2">
      <c r="A205" s="136" t="s">
        <v>439</v>
      </c>
      <c r="B205" s="149"/>
      <c r="C205" s="180"/>
      <c r="D205" s="147">
        <f t="shared" si="139"/>
        <v>0</v>
      </c>
      <c r="E205" s="147">
        <f t="shared" si="139"/>
        <v>0</v>
      </c>
      <c r="F205" s="147">
        <f t="shared" si="139"/>
        <v>0</v>
      </c>
      <c r="G205" s="147">
        <f t="shared" si="139"/>
        <v>0</v>
      </c>
      <c r="H205" s="147">
        <f t="shared" si="139"/>
        <v>0</v>
      </c>
      <c r="I205" s="147">
        <f t="shared" si="139"/>
        <v>0</v>
      </c>
      <c r="J205" s="147">
        <f t="shared" si="139"/>
        <v>0</v>
      </c>
      <c r="K205" s="147">
        <f t="shared" si="139"/>
        <v>0</v>
      </c>
      <c r="L205" s="147">
        <f t="shared" si="139"/>
        <v>0</v>
      </c>
      <c r="M205" s="147">
        <f t="shared" si="139"/>
        <v>0</v>
      </c>
      <c r="N205" s="147">
        <f t="shared" si="139"/>
        <v>0</v>
      </c>
      <c r="O205" s="147">
        <f t="shared" si="139"/>
        <v>0</v>
      </c>
      <c r="P205" s="147">
        <f t="shared" si="140"/>
        <v>0</v>
      </c>
      <c r="Q205" s="150"/>
      <c r="S205" s="145"/>
    </row>
    <row r="206" spans="1:38" s="136" customFormat="1" x14ac:dyDescent="0.2">
      <c r="A206" s="136" t="s">
        <v>440</v>
      </c>
      <c r="B206" s="149"/>
      <c r="C206" s="180"/>
      <c r="D206" s="147">
        <f t="shared" si="139"/>
        <v>0</v>
      </c>
      <c r="E206" s="147">
        <f t="shared" si="139"/>
        <v>0</v>
      </c>
      <c r="F206" s="147">
        <f t="shared" si="139"/>
        <v>0</v>
      </c>
      <c r="G206" s="147">
        <f t="shared" si="139"/>
        <v>0</v>
      </c>
      <c r="H206" s="147">
        <f t="shared" si="139"/>
        <v>0</v>
      </c>
      <c r="I206" s="147">
        <f t="shared" si="139"/>
        <v>0</v>
      </c>
      <c r="J206" s="147">
        <f t="shared" si="139"/>
        <v>0</v>
      </c>
      <c r="K206" s="147">
        <f t="shared" si="139"/>
        <v>0</v>
      </c>
      <c r="L206" s="147">
        <f t="shared" si="139"/>
        <v>0</v>
      </c>
      <c r="M206" s="147">
        <f t="shared" si="139"/>
        <v>0</v>
      </c>
      <c r="N206" s="147">
        <f t="shared" si="139"/>
        <v>0</v>
      </c>
      <c r="O206" s="147">
        <f t="shared" si="139"/>
        <v>0</v>
      </c>
      <c r="P206" s="147">
        <f t="shared" si="140"/>
        <v>0</v>
      </c>
      <c r="Q206" s="150"/>
      <c r="S206" s="145"/>
      <c r="T206" s="168"/>
      <c r="U206" s="147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</row>
    <row r="207" spans="1:38" s="136" customFormat="1" x14ac:dyDescent="0.2">
      <c r="A207" s="155" t="s">
        <v>441</v>
      </c>
      <c r="B207" s="149"/>
      <c r="C207" s="180"/>
      <c r="D207" s="147">
        <f t="shared" si="139"/>
        <v>0</v>
      </c>
      <c r="E207" s="147">
        <f t="shared" si="139"/>
        <v>0</v>
      </c>
      <c r="F207" s="147">
        <f t="shared" si="139"/>
        <v>0</v>
      </c>
      <c r="G207" s="147">
        <f t="shared" si="139"/>
        <v>0</v>
      </c>
      <c r="H207" s="147">
        <f t="shared" si="139"/>
        <v>0</v>
      </c>
      <c r="I207" s="147">
        <f t="shared" si="139"/>
        <v>0</v>
      </c>
      <c r="J207" s="147">
        <f t="shared" si="139"/>
        <v>0</v>
      </c>
      <c r="K207" s="147">
        <f t="shared" si="139"/>
        <v>0</v>
      </c>
      <c r="L207" s="147">
        <f t="shared" si="139"/>
        <v>0</v>
      </c>
      <c r="M207" s="147">
        <f t="shared" si="139"/>
        <v>0</v>
      </c>
      <c r="N207" s="147">
        <f t="shared" si="139"/>
        <v>0</v>
      </c>
      <c r="O207" s="147">
        <f t="shared" si="139"/>
        <v>0</v>
      </c>
      <c r="P207" s="147">
        <f t="shared" si="140"/>
        <v>0</v>
      </c>
      <c r="Q207" s="183"/>
      <c r="S207" s="145"/>
      <c r="T207" s="168"/>
      <c r="U207" s="192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</row>
    <row r="208" spans="1:38" s="136" customFormat="1" x14ac:dyDescent="0.2">
      <c r="A208" s="155" t="s">
        <v>442</v>
      </c>
      <c r="B208" s="149"/>
      <c r="C208" s="180"/>
      <c r="D208" s="147">
        <f t="shared" si="139"/>
        <v>0</v>
      </c>
      <c r="E208" s="147">
        <f t="shared" si="139"/>
        <v>0</v>
      </c>
      <c r="F208" s="147">
        <f t="shared" si="139"/>
        <v>0</v>
      </c>
      <c r="G208" s="147">
        <f t="shared" si="139"/>
        <v>0</v>
      </c>
      <c r="H208" s="147">
        <f t="shared" si="139"/>
        <v>0</v>
      </c>
      <c r="I208" s="147">
        <f t="shared" si="139"/>
        <v>0</v>
      </c>
      <c r="J208" s="147">
        <f t="shared" si="139"/>
        <v>0</v>
      </c>
      <c r="K208" s="147">
        <f t="shared" si="139"/>
        <v>0</v>
      </c>
      <c r="L208" s="147">
        <f t="shared" si="139"/>
        <v>0</v>
      </c>
      <c r="M208" s="147">
        <f t="shared" si="139"/>
        <v>0</v>
      </c>
      <c r="N208" s="147">
        <f t="shared" si="139"/>
        <v>0</v>
      </c>
      <c r="O208" s="147">
        <f t="shared" si="139"/>
        <v>0</v>
      </c>
      <c r="P208" s="147">
        <f t="shared" si="140"/>
        <v>0</v>
      </c>
      <c r="Q208" s="183"/>
      <c r="S208" s="145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</row>
    <row r="209" spans="1:19" s="136" customFormat="1" x14ac:dyDescent="0.2">
      <c r="A209" s="155" t="s">
        <v>443</v>
      </c>
      <c r="B209" s="149"/>
      <c r="C209" s="180"/>
      <c r="D209" s="147">
        <f t="shared" si="139"/>
        <v>0</v>
      </c>
      <c r="E209" s="147">
        <f t="shared" si="139"/>
        <v>0</v>
      </c>
      <c r="F209" s="147">
        <f t="shared" si="139"/>
        <v>0</v>
      </c>
      <c r="G209" s="147">
        <f t="shared" si="139"/>
        <v>0</v>
      </c>
      <c r="H209" s="147">
        <f t="shared" si="139"/>
        <v>0</v>
      </c>
      <c r="I209" s="147">
        <f t="shared" si="139"/>
        <v>0</v>
      </c>
      <c r="J209" s="147">
        <f t="shared" si="139"/>
        <v>0</v>
      </c>
      <c r="K209" s="147">
        <f t="shared" si="139"/>
        <v>0</v>
      </c>
      <c r="L209" s="147">
        <f t="shared" si="139"/>
        <v>0</v>
      </c>
      <c r="M209" s="147">
        <f t="shared" si="139"/>
        <v>0</v>
      </c>
      <c r="N209" s="147">
        <f t="shared" si="139"/>
        <v>0</v>
      </c>
      <c r="O209" s="147">
        <f t="shared" si="139"/>
        <v>0</v>
      </c>
      <c r="P209" s="147">
        <f t="shared" si="140"/>
        <v>0</v>
      </c>
      <c r="Q209" s="183"/>
      <c r="S209" s="145"/>
    </row>
    <row r="210" spans="1:19" s="136" customFormat="1" x14ac:dyDescent="0.2">
      <c r="B210" s="149"/>
      <c r="C210" s="180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0"/>
      <c r="S210" s="145"/>
    </row>
    <row r="211" spans="1:19" s="136" customFormat="1" ht="13.5" thickBot="1" x14ac:dyDescent="0.25">
      <c r="A211" s="136" t="s">
        <v>444</v>
      </c>
      <c r="B211" s="172" t="e">
        <f>B199-B202-B203-B204-B205-B206-B207-B208-B209</f>
        <v>#REF!</v>
      </c>
      <c r="C211" s="180"/>
      <c r="D211" s="173" t="e">
        <f t="shared" ref="D211:P211" si="141">D199-D202-D203-D204-D205-D206-D207-D208-D209</f>
        <v>#REF!</v>
      </c>
      <c r="E211" s="173" t="e">
        <f t="shared" si="141"/>
        <v>#REF!</v>
      </c>
      <c r="F211" s="173" t="e">
        <f t="shared" si="141"/>
        <v>#REF!</v>
      </c>
      <c r="G211" s="173" t="e">
        <f t="shared" si="141"/>
        <v>#REF!</v>
      </c>
      <c r="H211" s="173" t="e">
        <f t="shared" si="141"/>
        <v>#REF!</v>
      </c>
      <c r="I211" s="173" t="e">
        <f t="shared" si="141"/>
        <v>#REF!</v>
      </c>
      <c r="J211" s="173" t="e">
        <f t="shared" si="141"/>
        <v>#REF!</v>
      </c>
      <c r="K211" s="173" t="e">
        <f t="shared" si="141"/>
        <v>#REF!</v>
      </c>
      <c r="L211" s="173" t="e">
        <f t="shared" si="141"/>
        <v>#REF!</v>
      </c>
      <c r="M211" s="173" t="e">
        <f t="shared" si="141"/>
        <v>#REF!</v>
      </c>
      <c r="N211" s="173" t="e">
        <f t="shared" si="141"/>
        <v>#REF!</v>
      </c>
      <c r="O211" s="173" t="e">
        <f t="shared" si="141"/>
        <v>#REF!</v>
      </c>
      <c r="P211" s="173" t="e">
        <f t="shared" si="141"/>
        <v>#REF!</v>
      </c>
      <c r="Q211" s="150">
        <f>3081271+66308</f>
        <v>3147579</v>
      </c>
      <c r="S211" s="145"/>
    </row>
    <row r="212" spans="1:19" s="136" customFormat="1" ht="13.5" thickTop="1" x14ac:dyDescent="0.2">
      <c r="A212" s="155"/>
      <c r="B212" s="176" t="e">
        <f>B211/B$23</f>
        <v>#REF!</v>
      </c>
      <c r="C212" s="180"/>
      <c r="D212" s="174" t="e">
        <f t="shared" ref="D212:P212" si="142">D211/D$23</f>
        <v>#REF!</v>
      </c>
      <c r="E212" s="174" t="e">
        <f t="shared" si="142"/>
        <v>#REF!</v>
      </c>
      <c r="F212" s="174" t="e">
        <f t="shared" si="142"/>
        <v>#REF!</v>
      </c>
      <c r="G212" s="174" t="e">
        <f t="shared" si="142"/>
        <v>#REF!</v>
      </c>
      <c r="H212" s="174" t="e">
        <f t="shared" si="142"/>
        <v>#REF!</v>
      </c>
      <c r="I212" s="174" t="e">
        <f t="shared" si="142"/>
        <v>#REF!</v>
      </c>
      <c r="J212" s="174" t="e">
        <f t="shared" si="142"/>
        <v>#REF!</v>
      </c>
      <c r="K212" s="174" t="e">
        <f t="shared" si="142"/>
        <v>#REF!</v>
      </c>
      <c r="L212" s="174" t="e">
        <f t="shared" si="142"/>
        <v>#REF!</v>
      </c>
      <c r="M212" s="174" t="e">
        <f t="shared" si="142"/>
        <v>#REF!</v>
      </c>
      <c r="N212" s="174" t="e">
        <f t="shared" si="142"/>
        <v>#REF!</v>
      </c>
      <c r="O212" s="174" t="e">
        <f t="shared" si="142"/>
        <v>#REF!</v>
      </c>
      <c r="P212" s="174" t="e">
        <f t="shared" si="142"/>
        <v>#REF!</v>
      </c>
      <c r="Q212" s="192" t="e">
        <f>P195+P204-Q211</f>
        <v>#REF!</v>
      </c>
      <c r="S212" s="145"/>
    </row>
    <row r="213" spans="1:19" s="136" customFormat="1" x14ac:dyDescent="0.2">
      <c r="A213" s="155"/>
      <c r="B213" s="179"/>
      <c r="C213" s="180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50"/>
      <c r="S213" s="145"/>
    </row>
    <row r="214" spans="1:19" s="136" customFormat="1" x14ac:dyDescent="0.2">
      <c r="A214" s="155" t="s">
        <v>445</v>
      </c>
      <c r="B214" s="179"/>
      <c r="C214" s="180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>
        <f>SUM(D214:O214)</f>
        <v>0</v>
      </c>
      <c r="Q214" s="150"/>
      <c r="S214" s="145"/>
    </row>
    <row r="215" spans="1:19" s="136" customFormat="1" x14ac:dyDescent="0.2">
      <c r="A215" s="155" t="s">
        <v>446</v>
      </c>
      <c r="B215" s="179"/>
      <c r="C215" s="180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>
        <f>SUM(D215:O215)</f>
        <v>0</v>
      </c>
      <c r="Q215" s="150"/>
      <c r="S215" s="145"/>
    </row>
    <row r="216" spans="1:19" s="136" customFormat="1" x14ac:dyDescent="0.2">
      <c r="A216" s="155"/>
      <c r="B216" s="179"/>
      <c r="C216" s="180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50"/>
      <c r="S216" s="145"/>
    </row>
    <row r="217" spans="1:19" s="136" customFormat="1" ht="13.5" thickBot="1" x14ac:dyDescent="0.25">
      <c r="A217" s="155" t="s">
        <v>444</v>
      </c>
      <c r="B217" s="184" t="e">
        <f>B211-B214-B215</f>
        <v>#REF!</v>
      </c>
      <c r="C217" s="180"/>
      <c r="D217" s="185" t="e">
        <f t="shared" ref="D217:P217" si="143">D211-D214-D215</f>
        <v>#REF!</v>
      </c>
      <c r="E217" s="185" t="e">
        <f t="shared" si="143"/>
        <v>#REF!</v>
      </c>
      <c r="F217" s="185" t="e">
        <f t="shared" si="143"/>
        <v>#REF!</v>
      </c>
      <c r="G217" s="185" t="e">
        <f t="shared" si="143"/>
        <v>#REF!</v>
      </c>
      <c r="H217" s="185" t="e">
        <f t="shared" si="143"/>
        <v>#REF!</v>
      </c>
      <c r="I217" s="185" t="e">
        <f t="shared" si="143"/>
        <v>#REF!</v>
      </c>
      <c r="J217" s="185" t="e">
        <f t="shared" si="143"/>
        <v>#REF!</v>
      </c>
      <c r="K217" s="185" t="e">
        <f t="shared" si="143"/>
        <v>#REF!</v>
      </c>
      <c r="L217" s="185" t="e">
        <f t="shared" si="143"/>
        <v>#REF!</v>
      </c>
      <c r="M217" s="185" t="e">
        <f t="shared" si="143"/>
        <v>#REF!</v>
      </c>
      <c r="N217" s="185" t="e">
        <f t="shared" si="143"/>
        <v>#REF!</v>
      </c>
      <c r="O217" s="185" t="e">
        <f t="shared" si="143"/>
        <v>#REF!</v>
      </c>
      <c r="P217" s="185" t="e">
        <f t="shared" si="143"/>
        <v>#REF!</v>
      </c>
      <c r="S217" s="145"/>
    </row>
    <row r="218" spans="1:19" s="136" customFormat="1" ht="13.5" thickTop="1" x14ac:dyDescent="0.2">
      <c r="A218" s="155"/>
      <c r="B218" s="149"/>
      <c r="C218" s="180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S218" s="145"/>
    </row>
    <row r="219" spans="1:19" x14ac:dyDescent="0.2">
      <c r="D219" s="130"/>
      <c r="E219" s="130"/>
      <c r="F219" s="130"/>
      <c r="G219" s="130"/>
      <c r="H219" s="187"/>
      <c r="I219" s="188"/>
      <c r="J219" s="134"/>
      <c r="K219" s="135"/>
      <c r="O219" s="135"/>
    </row>
    <row r="220" spans="1:19" x14ac:dyDescent="0.2">
      <c r="D220" s="130"/>
      <c r="E220" s="130"/>
      <c r="F220" s="130"/>
      <c r="G220" s="130"/>
      <c r="H220" s="187"/>
      <c r="I220" s="188"/>
      <c r="J220" s="134"/>
      <c r="K220" s="135"/>
      <c r="O220" s="135"/>
    </row>
    <row r="221" spans="1:19" x14ac:dyDescent="0.2">
      <c r="B221" s="230" t="e">
        <f>(286814.25*12)-#REF!</f>
        <v>#REF!</v>
      </c>
    </row>
    <row r="222" spans="1:19" x14ac:dyDescent="0.2">
      <c r="B222" s="229" t="e">
        <f>B217+B221</f>
        <v>#REF!</v>
      </c>
    </row>
    <row r="229" spans="1:15" x14ac:dyDescent="0.2">
      <c r="A229" s="130" t="s">
        <v>493</v>
      </c>
      <c r="B229" s="134">
        <v>-5908.67</v>
      </c>
      <c r="D229" s="233">
        <f>$B$229/306*D8</f>
        <v>-598.590751633987</v>
      </c>
      <c r="E229" s="233">
        <f t="shared" ref="E229:O229" si="144">$B$229/306*E8</f>
        <v>-579.28137254901969</v>
      </c>
      <c r="F229" s="233">
        <f t="shared" si="144"/>
        <v>-598.590751633987</v>
      </c>
      <c r="G229" s="233"/>
      <c r="H229" s="233"/>
      <c r="I229" s="233">
        <f t="shared" si="144"/>
        <v>-598.590751633987</v>
      </c>
      <c r="J229" s="233">
        <f t="shared" si="144"/>
        <v>-579.28137254901969</v>
      </c>
      <c r="K229" s="233">
        <f t="shared" si="144"/>
        <v>-598.590751633987</v>
      </c>
      <c r="L229" s="233">
        <f t="shared" si="144"/>
        <v>-579.28137254901969</v>
      </c>
      <c r="M229" s="233">
        <f t="shared" si="144"/>
        <v>-598.590751633987</v>
      </c>
      <c r="N229" s="233">
        <f t="shared" si="144"/>
        <v>-598.590751633987</v>
      </c>
      <c r="O229" s="233">
        <f t="shared" si="144"/>
        <v>-579.28137254901969</v>
      </c>
    </row>
  </sheetData>
  <mergeCells count="4">
    <mergeCell ref="A1:Q1"/>
    <mergeCell ref="A2:Q2"/>
    <mergeCell ref="A3:Q3"/>
    <mergeCell ref="A4:Q4"/>
  </mergeCells>
  <pageMargins left="0.2" right="0.2" top="0.25" bottom="0.2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222"/>
  <sheetViews>
    <sheetView topLeftCell="A2" zoomScale="80" zoomScaleNormal="80" workbookViewId="0">
      <pane ySplit="8" topLeftCell="A46" activePane="bottomLeft" state="frozenSplit"/>
      <selection activeCell="A2" sqref="A2"/>
      <selection pane="bottomLeft" activeCell="B57" sqref="B57"/>
    </sheetView>
  </sheetViews>
  <sheetFormatPr defaultColWidth="8.85546875" defaultRowHeight="12.75" x14ac:dyDescent="0.2"/>
  <cols>
    <col min="1" max="1" width="40.5703125" style="130" bestFit="1" customWidth="1"/>
    <col min="2" max="2" width="12" style="134" bestFit="1" customWidth="1"/>
    <col min="3" max="3" width="3.140625" style="134" customWidth="1"/>
    <col min="4" max="4" width="10.28515625" style="187" bestFit="1" customWidth="1"/>
    <col min="5" max="5" width="10.28515625" style="188" bestFit="1" customWidth="1"/>
    <col min="6" max="6" width="10.28515625" style="134" bestFit="1" customWidth="1"/>
    <col min="7" max="7" width="10.28515625" style="135" bestFit="1" customWidth="1"/>
    <col min="8" max="15" width="10.28515625" style="130" bestFit="1" customWidth="1"/>
    <col min="16" max="16" width="12.140625" style="136" bestFit="1" customWidth="1"/>
    <col min="17" max="18" width="3.42578125" style="130" customWidth="1"/>
    <col min="19" max="19" width="7.7109375" style="130" bestFit="1" customWidth="1"/>
    <col min="20" max="20" width="5.5703125" style="130" bestFit="1" customWidth="1"/>
    <col min="21" max="21" width="12" style="130" bestFit="1" customWidth="1"/>
    <col min="22" max="30" width="10.28515625" style="130" bestFit="1" customWidth="1"/>
    <col min="31" max="31" width="10.28515625" style="130" customWidth="1"/>
    <col min="32" max="33" width="10.28515625" style="130" bestFit="1" customWidth="1"/>
    <col min="34" max="34" width="13.5703125" style="130" bestFit="1" customWidth="1"/>
    <col min="35" max="37" width="9.7109375" style="130" bestFit="1" customWidth="1"/>
    <col min="38" max="38" width="15" style="131" customWidth="1"/>
    <col min="39" max="16384" width="8.85546875" style="130"/>
  </cols>
  <sheetData>
    <row r="1" spans="1:38" x14ac:dyDescent="0.2">
      <c r="A1" s="466" t="s">
        <v>196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38" x14ac:dyDescent="0.2">
      <c r="A2" s="466" t="s">
        <v>197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</row>
    <row r="3" spans="1:38" x14ac:dyDescent="0.2">
      <c r="A3" s="467" t="s">
        <v>447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38" x14ac:dyDescent="0.2">
      <c r="A4" s="468" t="e">
        <f>#REF!</f>
        <v>#REF!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</row>
    <row r="5" spans="1:38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  <c r="AH5" s="131"/>
      <c r="AL5" s="130"/>
    </row>
    <row r="6" spans="1:38" x14ac:dyDescent="0.2">
      <c r="C6" s="135"/>
      <c r="D6" s="130"/>
      <c r="E6" s="130"/>
      <c r="F6" s="130"/>
      <c r="G6" s="130"/>
      <c r="AH6" s="131"/>
      <c r="AL6" s="130"/>
    </row>
    <row r="7" spans="1:38" x14ac:dyDescent="0.2">
      <c r="B7" s="137"/>
      <c r="C7" s="138"/>
      <c r="D7" s="130"/>
      <c r="E7" s="130"/>
      <c r="F7" s="130"/>
      <c r="G7" s="130"/>
      <c r="Q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H7" s="131"/>
      <c r="AL7" s="130"/>
    </row>
    <row r="8" spans="1:38" x14ac:dyDescent="0.2">
      <c r="B8" s="139"/>
      <c r="C8" s="138"/>
      <c r="D8" s="140" t="e">
        <f>#REF!</f>
        <v>#REF!</v>
      </c>
      <c r="E8" s="140" t="e">
        <f>#REF!</f>
        <v>#REF!</v>
      </c>
      <c r="F8" s="140" t="e">
        <f>#REF!</f>
        <v>#REF!</v>
      </c>
      <c r="G8" s="140" t="e">
        <f>#REF!</f>
        <v>#REF!</v>
      </c>
      <c r="H8" s="140" t="e">
        <f>#REF!</f>
        <v>#REF!</v>
      </c>
      <c r="I8" s="140" t="e">
        <f>#REF!</f>
        <v>#REF!</v>
      </c>
      <c r="J8" s="140" t="e">
        <f>#REF!</f>
        <v>#REF!</v>
      </c>
      <c r="K8" s="140" t="e">
        <f>#REF!</f>
        <v>#REF!</v>
      </c>
      <c r="L8" s="140" t="e">
        <f>#REF!</f>
        <v>#REF!</v>
      </c>
      <c r="M8" s="140" t="e">
        <f>#REF!</f>
        <v>#REF!</v>
      </c>
      <c r="N8" s="140" t="e">
        <f>#REF!</f>
        <v>#REF!</v>
      </c>
      <c r="O8" s="140" t="e">
        <f>#REF!</f>
        <v>#REF!</v>
      </c>
      <c r="P8" s="140" t="e">
        <f>#REF!</f>
        <v>#REF!</v>
      </c>
      <c r="Q8" s="136"/>
      <c r="V8" s="251" t="e">
        <f>#REF!</f>
        <v>#REF!</v>
      </c>
      <c r="W8" s="251" t="e">
        <f>#REF!</f>
        <v>#REF!</v>
      </c>
      <c r="X8" s="251" t="e">
        <f>#REF!</f>
        <v>#REF!</v>
      </c>
      <c r="Y8" s="251" t="e">
        <f>#REF!</f>
        <v>#REF!</v>
      </c>
      <c r="Z8" s="251" t="e">
        <f>#REF!</f>
        <v>#REF!</v>
      </c>
      <c r="AA8" s="251" t="e">
        <f>#REF!</f>
        <v>#REF!</v>
      </c>
      <c r="AB8" s="251" t="e">
        <f>#REF!</f>
        <v>#REF!</v>
      </c>
      <c r="AC8" s="251" t="e">
        <f>#REF!</f>
        <v>#REF!</v>
      </c>
      <c r="AD8" s="251" t="e">
        <f>#REF!</f>
        <v>#REF!</v>
      </c>
      <c r="AE8" s="251" t="e">
        <f>#REF!</f>
        <v>#REF!</v>
      </c>
      <c r="AF8" s="251" t="e">
        <f>#REF!</f>
        <v>#REF!</v>
      </c>
      <c r="AG8" s="251" t="e">
        <f>#REF!</f>
        <v>#REF!</v>
      </c>
      <c r="AH8" s="251" t="e">
        <f>#REF!</f>
        <v>#REF!</v>
      </c>
      <c r="AL8" s="130"/>
    </row>
    <row r="9" spans="1:38" x14ac:dyDescent="0.2">
      <c r="B9" s="139"/>
      <c r="C9" s="142"/>
      <c r="D9" s="141" t="e">
        <f>#REF!</f>
        <v>#REF!</v>
      </c>
      <c r="E9" s="141" t="e">
        <f>#REF!</f>
        <v>#REF!</v>
      </c>
      <c r="F9" s="141" t="e">
        <f>#REF!</f>
        <v>#REF!</v>
      </c>
      <c r="G9" s="141" t="e">
        <f>#REF!</f>
        <v>#REF!</v>
      </c>
      <c r="H9" s="141" t="e">
        <f>#REF!</f>
        <v>#REF!</v>
      </c>
      <c r="I9" s="141" t="e">
        <f>#REF!</f>
        <v>#REF!</v>
      </c>
      <c r="J9" s="141" t="e">
        <f>#REF!</f>
        <v>#REF!</v>
      </c>
      <c r="K9" s="141" t="e">
        <f>#REF!</f>
        <v>#REF!</v>
      </c>
      <c r="L9" s="141" t="e">
        <f>#REF!</f>
        <v>#REF!</v>
      </c>
      <c r="M9" s="141" t="e">
        <f>#REF!</f>
        <v>#REF!</v>
      </c>
      <c r="N9" s="141" t="e">
        <f>#REF!</f>
        <v>#REF!</v>
      </c>
      <c r="O9" s="141" t="e">
        <f>#REF!</f>
        <v>#REF!</v>
      </c>
      <c r="P9" s="141" t="e">
        <f>#REF!</f>
        <v>#REF!</v>
      </c>
      <c r="Q9" s="136"/>
      <c r="R9" s="189"/>
      <c r="S9" s="143" t="s">
        <v>199</v>
      </c>
      <c r="T9" s="143" t="s">
        <v>200</v>
      </c>
      <c r="U9" s="143" t="s">
        <v>201</v>
      </c>
      <c r="V9" s="141" t="e">
        <f>#REF!</f>
        <v>#REF!</v>
      </c>
      <c r="W9" s="141" t="e">
        <f>#REF!</f>
        <v>#REF!</v>
      </c>
      <c r="X9" s="141" t="e">
        <f>#REF!</f>
        <v>#REF!</v>
      </c>
      <c r="Y9" s="141" t="e">
        <f>#REF!</f>
        <v>#REF!</v>
      </c>
      <c r="Z9" s="141" t="e">
        <f>#REF!</f>
        <v>#REF!</v>
      </c>
      <c r="AA9" s="141" t="e">
        <f>#REF!</f>
        <v>#REF!</v>
      </c>
      <c r="AB9" s="141" t="e">
        <f>#REF!</f>
        <v>#REF!</v>
      </c>
      <c r="AC9" s="141" t="e">
        <f>#REF!</f>
        <v>#REF!</v>
      </c>
      <c r="AD9" s="141" t="e">
        <f>#REF!</f>
        <v>#REF!</v>
      </c>
      <c r="AE9" s="141" t="e">
        <f>#REF!</f>
        <v>#REF!</v>
      </c>
      <c r="AF9" s="141" t="e">
        <f>#REF!</f>
        <v>#REF!</v>
      </c>
      <c r="AG9" s="141" t="e">
        <f>#REF!</f>
        <v>#REF!</v>
      </c>
      <c r="AH9" s="141" t="e">
        <f>#REF!</f>
        <v>#REF!</v>
      </c>
      <c r="AL9" s="130"/>
    </row>
    <row r="10" spans="1:38" ht="13.5" thickBot="1" x14ac:dyDescent="0.25">
      <c r="B10" s="139"/>
      <c r="C10" s="138"/>
      <c r="D10" s="130"/>
      <c r="E10" s="130"/>
      <c r="F10" s="130"/>
      <c r="G10" s="130"/>
      <c r="Q10" s="136"/>
      <c r="S10" s="145" t="s">
        <v>203</v>
      </c>
      <c r="T10" s="146" t="s">
        <v>449</v>
      </c>
      <c r="U10" s="136" t="str">
        <f t="shared" ref="U10:U73" si="0">CONCATENATE(S10,T10)</f>
        <v>4000000755</v>
      </c>
      <c r="V10" s="147" t="e">
        <f t="shared" ref="V10:AG11" si="1">-D12</f>
        <v>#REF!</v>
      </c>
      <c r="W10" s="147" t="e">
        <f t="shared" si="1"/>
        <v>#REF!</v>
      </c>
      <c r="X10" s="147" t="e">
        <f t="shared" si="1"/>
        <v>#REF!</v>
      </c>
      <c r="Y10" s="147" t="e">
        <f t="shared" si="1"/>
        <v>#REF!</v>
      </c>
      <c r="Z10" s="147" t="e">
        <f t="shared" si="1"/>
        <v>#REF!</v>
      </c>
      <c r="AA10" s="147" t="e">
        <f t="shared" si="1"/>
        <v>#REF!</v>
      </c>
      <c r="AB10" s="147" t="e">
        <f t="shared" si="1"/>
        <v>#REF!</v>
      </c>
      <c r="AC10" s="147" t="e">
        <f t="shared" si="1"/>
        <v>#REF!</v>
      </c>
      <c r="AD10" s="147" t="e">
        <f t="shared" si="1"/>
        <v>#REF!</v>
      </c>
      <c r="AE10" s="147" t="e">
        <f t="shared" si="1"/>
        <v>#REF!</v>
      </c>
      <c r="AF10" s="147" t="e">
        <f t="shared" si="1"/>
        <v>#REF!</v>
      </c>
      <c r="AG10" s="147" t="e">
        <f t="shared" si="1"/>
        <v>#REF!</v>
      </c>
      <c r="AH10" s="148" t="e">
        <f t="shared" ref="AH10:AH41" si="2">SUM(V10:AG10)</f>
        <v>#REF!</v>
      </c>
      <c r="AL10" s="130"/>
    </row>
    <row r="11" spans="1:38" x14ac:dyDescent="0.2">
      <c r="A11" s="130" t="s">
        <v>204</v>
      </c>
      <c r="B11" s="139"/>
      <c r="C11" s="138"/>
      <c r="D11" s="130"/>
      <c r="E11" s="130"/>
      <c r="F11" s="130"/>
      <c r="G11" s="130"/>
      <c r="Q11" s="136"/>
      <c r="S11" s="145" t="s">
        <v>205</v>
      </c>
      <c r="T11" s="136" t="str">
        <f>+$T$10</f>
        <v>0755</v>
      </c>
      <c r="U11" s="136" t="str">
        <f t="shared" si="0"/>
        <v>4010000755</v>
      </c>
      <c r="V11" s="147">
        <f t="shared" si="1"/>
        <v>0</v>
      </c>
      <c r="W11" s="147">
        <f t="shared" si="1"/>
        <v>0</v>
      </c>
      <c r="X11" s="147">
        <f t="shared" si="1"/>
        <v>0</v>
      </c>
      <c r="Y11" s="147">
        <f t="shared" si="1"/>
        <v>0</v>
      </c>
      <c r="Z11" s="147">
        <f t="shared" si="1"/>
        <v>0</v>
      </c>
      <c r="AA11" s="147">
        <f t="shared" si="1"/>
        <v>0</v>
      </c>
      <c r="AB11" s="147">
        <f t="shared" si="1"/>
        <v>0</v>
      </c>
      <c r="AC11" s="147">
        <f t="shared" si="1"/>
        <v>0</v>
      </c>
      <c r="AD11" s="147">
        <f t="shared" si="1"/>
        <v>0</v>
      </c>
      <c r="AE11" s="147">
        <f t="shared" si="1"/>
        <v>0</v>
      </c>
      <c r="AF11" s="147">
        <f t="shared" si="1"/>
        <v>0</v>
      </c>
      <c r="AG11" s="147">
        <f t="shared" si="1"/>
        <v>0</v>
      </c>
      <c r="AH11" s="148">
        <f t="shared" si="2"/>
        <v>0</v>
      </c>
      <c r="AL11" s="130"/>
    </row>
    <row r="12" spans="1:38" s="136" customFormat="1" x14ac:dyDescent="0.2">
      <c r="A12" s="136" t="s">
        <v>206</v>
      </c>
      <c r="B12" s="149">
        <v>0</v>
      </c>
      <c r="C12" s="138"/>
      <c r="D12" s="147" t="e">
        <f t="shared" ref="D12:O12" si="3">($B12/$P$8)*D$8</f>
        <v>#REF!</v>
      </c>
      <c r="E12" s="147" t="e">
        <f t="shared" si="3"/>
        <v>#REF!</v>
      </c>
      <c r="F12" s="147" t="e">
        <f t="shared" si="3"/>
        <v>#REF!</v>
      </c>
      <c r="G12" s="147" t="e">
        <f t="shared" si="3"/>
        <v>#REF!</v>
      </c>
      <c r="H12" s="147" t="e">
        <f t="shared" si="3"/>
        <v>#REF!</v>
      </c>
      <c r="I12" s="147" t="e">
        <f t="shared" si="3"/>
        <v>#REF!</v>
      </c>
      <c r="J12" s="147" t="e">
        <f t="shared" si="3"/>
        <v>#REF!</v>
      </c>
      <c r="K12" s="147" t="e">
        <f t="shared" si="3"/>
        <v>#REF!</v>
      </c>
      <c r="L12" s="147" t="e">
        <f t="shared" si="3"/>
        <v>#REF!</v>
      </c>
      <c r="M12" s="147" t="e">
        <f t="shared" si="3"/>
        <v>#REF!</v>
      </c>
      <c r="N12" s="147" t="e">
        <f t="shared" si="3"/>
        <v>#REF!</v>
      </c>
      <c r="O12" s="147" t="e">
        <f t="shared" si="3"/>
        <v>#REF!</v>
      </c>
      <c r="P12" s="147" t="e">
        <f t="shared" ref="P12:P21" si="4">SUM(D12:O12)</f>
        <v>#REF!</v>
      </c>
      <c r="Q12" s="150"/>
      <c r="R12" s="147"/>
      <c r="S12" s="145" t="s">
        <v>207</v>
      </c>
      <c r="T12" s="136" t="str">
        <f>+$T$10</f>
        <v>0755</v>
      </c>
      <c r="U12" s="136" t="str">
        <f t="shared" si="0"/>
        <v>4100000755</v>
      </c>
      <c r="V12" s="147">
        <f t="shared" ref="V12:AG19" si="5">+D14</f>
        <v>0</v>
      </c>
      <c r="W12" s="147">
        <f t="shared" si="5"/>
        <v>0</v>
      </c>
      <c r="X12" s="147">
        <f t="shared" si="5"/>
        <v>0</v>
      </c>
      <c r="Y12" s="147">
        <f t="shared" si="5"/>
        <v>0</v>
      </c>
      <c r="Z12" s="147">
        <f t="shared" si="5"/>
        <v>0</v>
      </c>
      <c r="AA12" s="147">
        <f t="shared" si="5"/>
        <v>0</v>
      </c>
      <c r="AB12" s="147">
        <f t="shared" si="5"/>
        <v>0</v>
      </c>
      <c r="AC12" s="147">
        <f t="shared" si="5"/>
        <v>0</v>
      </c>
      <c r="AD12" s="147">
        <f t="shared" si="5"/>
        <v>0</v>
      </c>
      <c r="AE12" s="147">
        <f t="shared" si="5"/>
        <v>0</v>
      </c>
      <c r="AF12" s="147">
        <f t="shared" si="5"/>
        <v>0</v>
      </c>
      <c r="AG12" s="147">
        <f t="shared" si="5"/>
        <v>0</v>
      </c>
      <c r="AH12" s="148">
        <f t="shared" si="2"/>
        <v>0</v>
      </c>
    </row>
    <row r="13" spans="1:38" s="136" customFormat="1" x14ac:dyDescent="0.2">
      <c r="A13" s="136" t="s">
        <v>208</v>
      </c>
      <c r="B13" s="149">
        <v>0</v>
      </c>
      <c r="C13" s="138"/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f t="shared" si="4"/>
        <v>0</v>
      </c>
      <c r="Q13" s="150"/>
      <c r="R13" s="147"/>
      <c r="S13" s="145"/>
      <c r="V13" s="147">
        <f t="shared" si="5"/>
        <v>0</v>
      </c>
      <c r="W13" s="147">
        <f t="shared" si="5"/>
        <v>0</v>
      </c>
      <c r="X13" s="147">
        <f t="shared" si="5"/>
        <v>0</v>
      </c>
      <c r="Y13" s="147">
        <f t="shared" si="5"/>
        <v>0</v>
      </c>
      <c r="Z13" s="147">
        <f t="shared" si="5"/>
        <v>0</v>
      </c>
      <c r="AA13" s="147">
        <f t="shared" si="5"/>
        <v>0</v>
      </c>
      <c r="AB13" s="147">
        <f t="shared" si="5"/>
        <v>0</v>
      </c>
      <c r="AC13" s="147">
        <f t="shared" si="5"/>
        <v>0</v>
      </c>
      <c r="AD13" s="147">
        <f t="shared" si="5"/>
        <v>0</v>
      </c>
      <c r="AE13" s="147">
        <f t="shared" si="5"/>
        <v>0</v>
      </c>
      <c r="AF13" s="147">
        <f t="shared" si="5"/>
        <v>0</v>
      </c>
      <c r="AG13" s="147">
        <f t="shared" si="5"/>
        <v>0</v>
      </c>
      <c r="AH13" s="148">
        <f t="shared" si="2"/>
        <v>0</v>
      </c>
    </row>
    <row r="14" spans="1:38" s="136" customFormat="1" x14ac:dyDescent="0.2">
      <c r="A14" s="136" t="s">
        <v>209</v>
      </c>
      <c r="B14" s="149">
        <v>0</v>
      </c>
      <c r="C14" s="138"/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f t="shared" si="4"/>
        <v>0</v>
      </c>
      <c r="Q14" s="150"/>
      <c r="R14" s="147"/>
      <c r="S14" s="145" t="s">
        <v>210</v>
      </c>
      <c r="T14" s="136" t="str">
        <f t="shared" ref="T14:T76" si="6">+$T$10</f>
        <v>0755</v>
      </c>
      <c r="U14" s="136" t="str">
        <f t="shared" si="0"/>
        <v>7050000755</v>
      </c>
      <c r="V14" s="147">
        <f t="shared" si="5"/>
        <v>0</v>
      </c>
      <c r="W14" s="147">
        <f t="shared" si="5"/>
        <v>0</v>
      </c>
      <c r="X14" s="147">
        <f t="shared" si="5"/>
        <v>0</v>
      </c>
      <c r="Y14" s="147">
        <f t="shared" si="5"/>
        <v>0</v>
      </c>
      <c r="Z14" s="147">
        <f t="shared" si="5"/>
        <v>0</v>
      </c>
      <c r="AA14" s="147">
        <f t="shared" si="5"/>
        <v>0</v>
      </c>
      <c r="AB14" s="147">
        <f t="shared" si="5"/>
        <v>0</v>
      </c>
      <c r="AC14" s="147">
        <f t="shared" si="5"/>
        <v>0</v>
      </c>
      <c r="AD14" s="147">
        <f t="shared" si="5"/>
        <v>0</v>
      </c>
      <c r="AE14" s="147">
        <f t="shared" si="5"/>
        <v>0</v>
      </c>
      <c r="AF14" s="147">
        <f t="shared" si="5"/>
        <v>0</v>
      </c>
      <c r="AG14" s="147">
        <f t="shared" si="5"/>
        <v>0</v>
      </c>
      <c r="AH14" s="148">
        <f t="shared" si="2"/>
        <v>0</v>
      </c>
    </row>
    <row r="15" spans="1:38" s="136" customFormat="1" x14ac:dyDescent="0.2">
      <c r="A15" s="136" t="s">
        <v>211</v>
      </c>
      <c r="B15" s="149">
        <v>0</v>
      </c>
      <c r="C15" s="138"/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f t="shared" si="4"/>
        <v>0</v>
      </c>
      <c r="Q15" s="150"/>
      <c r="R15" s="147"/>
      <c r="S15" s="145" t="s">
        <v>212</v>
      </c>
      <c r="T15" s="136" t="str">
        <f t="shared" si="6"/>
        <v>0755</v>
      </c>
      <c r="U15" s="136" t="str">
        <f t="shared" si="0"/>
        <v>4070000755</v>
      </c>
      <c r="V15" s="147">
        <f t="shared" si="5"/>
        <v>0</v>
      </c>
      <c r="W15" s="147">
        <f t="shared" si="5"/>
        <v>0</v>
      </c>
      <c r="X15" s="147">
        <f t="shared" si="5"/>
        <v>0</v>
      </c>
      <c r="Y15" s="147">
        <f t="shared" si="5"/>
        <v>0</v>
      </c>
      <c r="Z15" s="147">
        <f t="shared" si="5"/>
        <v>0</v>
      </c>
      <c r="AA15" s="147">
        <f t="shared" si="5"/>
        <v>0</v>
      </c>
      <c r="AB15" s="147">
        <f t="shared" si="5"/>
        <v>0</v>
      </c>
      <c r="AC15" s="147">
        <f t="shared" si="5"/>
        <v>0</v>
      </c>
      <c r="AD15" s="147">
        <f t="shared" si="5"/>
        <v>0</v>
      </c>
      <c r="AE15" s="147">
        <f t="shared" si="5"/>
        <v>0</v>
      </c>
      <c r="AF15" s="147">
        <f t="shared" si="5"/>
        <v>0</v>
      </c>
      <c r="AG15" s="147">
        <f t="shared" si="5"/>
        <v>0</v>
      </c>
      <c r="AH15" s="148">
        <f t="shared" si="2"/>
        <v>0</v>
      </c>
    </row>
    <row r="16" spans="1:38" s="136" customFormat="1" x14ac:dyDescent="0.2">
      <c r="A16" s="136" t="s">
        <v>213</v>
      </c>
      <c r="B16" s="149">
        <v>0</v>
      </c>
      <c r="C16" s="138"/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f t="shared" si="4"/>
        <v>0</v>
      </c>
      <c r="Q16" s="150"/>
      <c r="R16" s="147"/>
      <c r="S16" s="145"/>
      <c r="V16" s="147">
        <f t="shared" si="5"/>
        <v>0</v>
      </c>
      <c r="W16" s="147">
        <f t="shared" si="5"/>
        <v>0</v>
      </c>
      <c r="X16" s="147">
        <f t="shared" si="5"/>
        <v>0</v>
      </c>
      <c r="Y16" s="147">
        <f t="shared" si="5"/>
        <v>0</v>
      </c>
      <c r="Z16" s="147">
        <f t="shared" si="5"/>
        <v>0</v>
      </c>
      <c r="AA16" s="147">
        <f t="shared" si="5"/>
        <v>0</v>
      </c>
      <c r="AB16" s="147">
        <f t="shared" si="5"/>
        <v>0</v>
      </c>
      <c r="AC16" s="147">
        <f t="shared" si="5"/>
        <v>0</v>
      </c>
      <c r="AD16" s="147">
        <f t="shared" si="5"/>
        <v>0</v>
      </c>
      <c r="AE16" s="147">
        <f t="shared" si="5"/>
        <v>0</v>
      </c>
      <c r="AF16" s="147">
        <f t="shared" si="5"/>
        <v>0</v>
      </c>
      <c r="AG16" s="147">
        <f t="shared" si="5"/>
        <v>0</v>
      </c>
      <c r="AH16" s="148">
        <f t="shared" si="2"/>
        <v>0</v>
      </c>
    </row>
    <row r="17" spans="1:34" s="136" customFormat="1" x14ac:dyDescent="0.2">
      <c r="A17" s="136" t="s">
        <v>214</v>
      </c>
      <c r="B17" s="149">
        <v>0</v>
      </c>
      <c r="C17" s="138"/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f t="shared" si="4"/>
        <v>0</v>
      </c>
      <c r="Q17" s="150"/>
      <c r="R17" s="147"/>
      <c r="S17" s="145"/>
      <c r="V17" s="147">
        <f t="shared" si="5"/>
        <v>0</v>
      </c>
      <c r="W17" s="147">
        <f t="shared" si="5"/>
        <v>0</v>
      </c>
      <c r="X17" s="147">
        <f t="shared" si="5"/>
        <v>0</v>
      </c>
      <c r="Y17" s="147">
        <f t="shared" si="5"/>
        <v>0</v>
      </c>
      <c r="Z17" s="147">
        <f t="shared" si="5"/>
        <v>0</v>
      </c>
      <c r="AA17" s="147">
        <f t="shared" si="5"/>
        <v>0</v>
      </c>
      <c r="AB17" s="147">
        <f t="shared" si="5"/>
        <v>0</v>
      </c>
      <c r="AC17" s="147">
        <f t="shared" si="5"/>
        <v>0</v>
      </c>
      <c r="AD17" s="147">
        <f t="shared" si="5"/>
        <v>0</v>
      </c>
      <c r="AE17" s="147">
        <f t="shared" si="5"/>
        <v>0</v>
      </c>
      <c r="AF17" s="147">
        <f t="shared" si="5"/>
        <v>0</v>
      </c>
      <c r="AG17" s="147">
        <f t="shared" si="5"/>
        <v>0</v>
      </c>
      <c r="AH17" s="148">
        <f t="shared" si="2"/>
        <v>0</v>
      </c>
    </row>
    <row r="18" spans="1:34" s="136" customFormat="1" x14ac:dyDescent="0.2">
      <c r="A18" s="136" t="s">
        <v>215</v>
      </c>
      <c r="B18" s="149">
        <v>0</v>
      </c>
      <c r="C18" s="138"/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f t="shared" si="4"/>
        <v>0</v>
      </c>
      <c r="Q18" s="150"/>
      <c r="R18" s="147"/>
      <c r="S18" s="145" t="s">
        <v>216</v>
      </c>
      <c r="T18" s="136" t="str">
        <f t="shared" si="6"/>
        <v>0755</v>
      </c>
      <c r="U18" s="136" t="str">
        <f t="shared" si="0"/>
        <v>4060000755</v>
      </c>
      <c r="V18" s="147">
        <f t="shared" si="5"/>
        <v>0</v>
      </c>
      <c r="W18" s="147">
        <f t="shared" si="5"/>
        <v>0</v>
      </c>
      <c r="X18" s="147">
        <f t="shared" si="5"/>
        <v>0</v>
      </c>
      <c r="Y18" s="147">
        <f t="shared" si="5"/>
        <v>0</v>
      </c>
      <c r="Z18" s="147">
        <f t="shared" si="5"/>
        <v>0</v>
      </c>
      <c r="AA18" s="147">
        <f t="shared" si="5"/>
        <v>0</v>
      </c>
      <c r="AB18" s="147">
        <f t="shared" si="5"/>
        <v>0</v>
      </c>
      <c r="AC18" s="147">
        <f t="shared" si="5"/>
        <v>0</v>
      </c>
      <c r="AD18" s="147">
        <f t="shared" si="5"/>
        <v>0</v>
      </c>
      <c r="AE18" s="147">
        <f t="shared" si="5"/>
        <v>0</v>
      </c>
      <c r="AF18" s="147">
        <f t="shared" si="5"/>
        <v>0</v>
      </c>
      <c r="AG18" s="147">
        <f t="shared" si="5"/>
        <v>0</v>
      </c>
      <c r="AH18" s="148">
        <f t="shared" si="2"/>
        <v>0</v>
      </c>
    </row>
    <row r="19" spans="1:34" s="136" customFormat="1" x14ac:dyDescent="0.2">
      <c r="A19" s="136" t="s">
        <v>217</v>
      </c>
      <c r="B19" s="149">
        <v>0</v>
      </c>
      <c r="C19" s="138"/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f t="shared" si="4"/>
        <v>0</v>
      </c>
      <c r="Q19" s="150"/>
      <c r="R19" s="147"/>
      <c r="S19" s="145"/>
      <c r="V19" s="147">
        <f t="shared" si="5"/>
        <v>0</v>
      </c>
      <c r="W19" s="147">
        <f t="shared" si="5"/>
        <v>0</v>
      </c>
      <c r="X19" s="147">
        <f t="shared" si="5"/>
        <v>0</v>
      </c>
      <c r="Y19" s="147">
        <f t="shared" si="5"/>
        <v>0</v>
      </c>
      <c r="Z19" s="147">
        <f t="shared" si="5"/>
        <v>0</v>
      </c>
      <c r="AA19" s="147">
        <f t="shared" si="5"/>
        <v>0</v>
      </c>
      <c r="AB19" s="147">
        <f t="shared" si="5"/>
        <v>0</v>
      </c>
      <c r="AC19" s="147">
        <f t="shared" si="5"/>
        <v>0</v>
      </c>
      <c r="AD19" s="147">
        <f t="shared" si="5"/>
        <v>0</v>
      </c>
      <c r="AE19" s="147">
        <f t="shared" si="5"/>
        <v>0</v>
      </c>
      <c r="AF19" s="147">
        <f t="shared" si="5"/>
        <v>0</v>
      </c>
      <c r="AG19" s="147">
        <f t="shared" si="5"/>
        <v>0</v>
      </c>
      <c r="AH19" s="148">
        <f t="shared" si="2"/>
        <v>0</v>
      </c>
    </row>
    <row r="20" spans="1:34" s="136" customFormat="1" x14ac:dyDescent="0.2">
      <c r="A20" s="136" t="s">
        <v>29</v>
      </c>
      <c r="B20" s="149">
        <v>0</v>
      </c>
      <c r="C20" s="138"/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f t="shared" si="4"/>
        <v>0</v>
      </c>
      <c r="Q20" s="150"/>
      <c r="R20" s="147"/>
      <c r="S20" s="145" t="s">
        <v>218</v>
      </c>
      <c r="T20" s="136" t="str">
        <f t="shared" si="6"/>
        <v>0755</v>
      </c>
      <c r="U20" s="136" t="str">
        <f t="shared" si="0"/>
        <v>6010000755</v>
      </c>
      <c r="V20" s="147" t="e">
        <f t="shared" ref="V20:V42" si="7">D28</f>
        <v>#REF!</v>
      </c>
      <c r="W20" s="147" t="e">
        <f t="shared" ref="W20:W42" si="8">E28</f>
        <v>#REF!</v>
      </c>
      <c r="X20" s="147" t="e">
        <f t="shared" ref="X20:X42" si="9">F28</f>
        <v>#REF!</v>
      </c>
      <c r="Y20" s="147" t="e">
        <f t="shared" ref="Y20:Y42" si="10">G28</f>
        <v>#REF!</v>
      </c>
      <c r="Z20" s="147" t="e">
        <f t="shared" ref="Z20:Z42" si="11">H28</f>
        <v>#REF!</v>
      </c>
      <c r="AA20" s="147" t="e">
        <f t="shared" ref="AA20:AA42" si="12">I28</f>
        <v>#REF!</v>
      </c>
      <c r="AB20" s="147" t="e">
        <f t="shared" ref="AB20:AB42" si="13">J28</f>
        <v>#REF!</v>
      </c>
      <c r="AC20" s="147" t="e">
        <f t="shared" ref="AC20:AC42" si="14">K28</f>
        <v>#REF!</v>
      </c>
      <c r="AD20" s="147" t="e">
        <f t="shared" ref="AD20:AD42" si="15">L28</f>
        <v>#REF!</v>
      </c>
      <c r="AE20" s="147" t="e">
        <f t="shared" ref="AE20:AE42" si="16">M28</f>
        <v>#REF!</v>
      </c>
      <c r="AF20" s="147" t="e">
        <f t="shared" ref="AF20:AF42" si="17">N28</f>
        <v>#REF!</v>
      </c>
      <c r="AG20" s="147" t="e">
        <f t="shared" ref="AG20:AG42" si="18">O28</f>
        <v>#REF!</v>
      </c>
      <c r="AH20" s="148" t="e">
        <f t="shared" si="2"/>
        <v>#REF!</v>
      </c>
    </row>
    <row r="21" spans="1:34" s="136" customFormat="1" x14ac:dyDescent="0.2">
      <c r="A21" s="136" t="s">
        <v>219</v>
      </c>
      <c r="B21" s="149">
        <v>0</v>
      </c>
      <c r="C21" s="138"/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f t="shared" si="4"/>
        <v>0</v>
      </c>
      <c r="Q21" s="150"/>
      <c r="R21" s="147"/>
      <c r="S21" s="145" t="s">
        <v>220</v>
      </c>
      <c r="T21" s="136" t="str">
        <f t="shared" si="6"/>
        <v>0755</v>
      </c>
      <c r="U21" s="136" t="str">
        <f t="shared" si="0"/>
        <v>6150000755</v>
      </c>
      <c r="V21" s="147" t="e">
        <f t="shared" si="7"/>
        <v>#REF!</v>
      </c>
      <c r="W21" s="147" t="e">
        <f t="shared" si="8"/>
        <v>#REF!</v>
      </c>
      <c r="X21" s="147" t="e">
        <f t="shared" si="9"/>
        <v>#REF!</v>
      </c>
      <c r="Y21" s="147" t="e">
        <f t="shared" si="10"/>
        <v>#REF!</v>
      </c>
      <c r="Z21" s="147" t="e">
        <f t="shared" si="11"/>
        <v>#REF!</v>
      </c>
      <c r="AA21" s="147" t="e">
        <f t="shared" si="12"/>
        <v>#REF!</v>
      </c>
      <c r="AB21" s="147" t="e">
        <f t="shared" si="13"/>
        <v>#REF!</v>
      </c>
      <c r="AC21" s="147" t="e">
        <f t="shared" si="14"/>
        <v>#REF!</v>
      </c>
      <c r="AD21" s="147" t="e">
        <f t="shared" si="15"/>
        <v>#REF!</v>
      </c>
      <c r="AE21" s="147" t="e">
        <f t="shared" si="16"/>
        <v>#REF!</v>
      </c>
      <c r="AF21" s="147" t="e">
        <f t="shared" si="17"/>
        <v>#REF!</v>
      </c>
      <c r="AG21" s="147" t="e">
        <f t="shared" si="18"/>
        <v>#REF!</v>
      </c>
      <c r="AH21" s="148" t="e">
        <f t="shared" si="2"/>
        <v>#REF!</v>
      </c>
    </row>
    <row r="22" spans="1:34" s="136" customFormat="1" x14ac:dyDescent="0.2">
      <c r="B22" s="151"/>
      <c r="C22" s="138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0"/>
      <c r="R22" s="147"/>
      <c r="S22" s="145" t="s">
        <v>221</v>
      </c>
      <c r="T22" s="136" t="str">
        <f t="shared" si="6"/>
        <v>0755</v>
      </c>
      <c r="U22" s="136" t="str">
        <f t="shared" si="0"/>
        <v>6090000755</v>
      </c>
      <c r="V22" s="147" t="e">
        <f t="shared" si="7"/>
        <v>#REF!</v>
      </c>
      <c r="W22" s="147" t="e">
        <f t="shared" si="8"/>
        <v>#REF!</v>
      </c>
      <c r="X22" s="147" t="e">
        <f t="shared" si="9"/>
        <v>#REF!</v>
      </c>
      <c r="Y22" s="147" t="e">
        <f t="shared" si="10"/>
        <v>#REF!</v>
      </c>
      <c r="Z22" s="147" t="e">
        <f t="shared" si="11"/>
        <v>#REF!</v>
      </c>
      <c r="AA22" s="147" t="e">
        <f t="shared" si="12"/>
        <v>#REF!</v>
      </c>
      <c r="AB22" s="147" t="e">
        <f t="shared" si="13"/>
        <v>#REF!</v>
      </c>
      <c r="AC22" s="147" t="e">
        <f t="shared" si="14"/>
        <v>#REF!</v>
      </c>
      <c r="AD22" s="147" t="e">
        <f t="shared" si="15"/>
        <v>#REF!</v>
      </c>
      <c r="AE22" s="147" t="e">
        <f t="shared" si="16"/>
        <v>#REF!</v>
      </c>
      <c r="AF22" s="147" t="e">
        <f t="shared" si="17"/>
        <v>#REF!</v>
      </c>
      <c r="AG22" s="147" t="e">
        <f t="shared" si="18"/>
        <v>#REF!</v>
      </c>
      <c r="AH22" s="148" t="e">
        <f t="shared" si="2"/>
        <v>#REF!</v>
      </c>
    </row>
    <row r="23" spans="1:34" s="136" customFormat="1" x14ac:dyDescent="0.2">
      <c r="A23" s="136" t="s">
        <v>222</v>
      </c>
      <c r="B23" s="153">
        <f>SUM(B12:B22)</f>
        <v>0</v>
      </c>
      <c r="C23" s="138"/>
      <c r="D23" s="154" t="e">
        <f t="shared" ref="D23:P23" si="19">SUM(D12:D22)</f>
        <v>#REF!</v>
      </c>
      <c r="E23" s="154" t="e">
        <f t="shared" si="19"/>
        <v>#REF!</v>
      </c>
      <c r="F23" s="154" t="e">
        <f t="shared" si="19"/>
        <v>#REF!</v>
      </c>
      <c r="G23" s="154" t="e">
        <f t="shared" si="19"/>
        <v>#REF!</v>
      </c>
      <c r="H23" s="154" t="e">
        <f t="shared" si="19"/>
        <v>#REF!</v>
      </c>
      <c r="I23" s="154" t="e">
        <f t="shared" si="19"/>
        <v>#REF!</v>
      </c>
      <c r="J23" s="154" t="e">
        <f t="shared" si="19"/>
        <v>#REF!</v>
      </c>
      <c r="K23" s="154" t="e">
        <f t="shared" si="19"/>
        <v>#REF!</v>
      </c>
      <c r="L23" s="154" t="e">
        <f t="shared" si="19"/>
        <v>#REF!</v>
      </c>
      <c r="M23" s="154" t="e">
        <f t="shared" si="19"/>
        <v>#REF!</v>
      </c>
      <c r="N23" s="154" t="e">
        <f t="shared" si="19"/>
        <v>#REF!</v>
      </c>
      <c r="O23" s="154" t="e">
        <f t="shared" si="19"/>
        <v>#REF!</v>
      </c>
      <c r="P23" s="154" t="e">
        <f t="shared" si="19"/>
        <v>#REF!</v>
      </c>
      <c r="Q23" s="150"/>
      <c r="R23" s="147"/>
      <c r="S23" s="145" t="s">
        <v>223</v>
      </c>
      <c r="T23" s="136" t="str">
        <f t="shared" si="6"/>
        <v>0755</v>
      </c>
      <c r="U23" s="136" t="str">
        <f t="shared" si="0"/>
        <v>6050000755</v>
      </c>
      <c r="V23" s="147" t="e">
        <f t="shared" si="7"/>
        <v>#REF!</v>
      </c>
      <c r="W23" s="147" t="e">
        <f t="shared" si="8"/>
        <v>#REF!</v>
      </c>
      <c r="X23" s="147" t="e">
        <f t="shared" si="9"/>
        <v>#REF!</v>
      </c>
      <c r="Y23" s="147" t="e">
        <f t="shared" si="10"/>
        <v>#REF!</v>
      </c>
      <c r="Z23" s="147" t="e">
        <f t="shared" si="11"/>
        <v>#REF!</v>
      </c>
      <c r="AA23" s="147" t="e">
        <f t="shared" si="12"/>
        <v>#REF!</v>
      </c>
      <c r="AB23" s="147" t="e">
        <f t="shared" si="13"/>
        <v>#REF!</v>
      </c>
      <c r="AC23" s="147" t="e">
        <f t="shared" si="14"/>
        <v>#REF!</v>
      </c>
      <c r="AD23" s="147" t="e">
        <f t="shared" si="15"/>
        <v>#REF!</v>
      </c>
      <c r="AE23" s="147" t="e">
        <f t="shared" si="16"/>
        <v>#REF!</v>
      </c>
      <c r="AF23" s="147" t="e">
        <f t="shared" si="17"/>
        <v>#REF!</v>
      </c>
      <c r="AG23" s="147" t="e">
        <f t="shared" si="18"/>
        <v>#REF!</v>
      </c>
      <c r="AH23" s="148" t="e">
        <f t="shared" si="2"/>
        <v>#REF!</v>
      </c>
    </row>
    <row r="24" spans="1:34" s="136" customFormat="1" x14ac:dyDescent="0.2">
      <c r="B24" s="149"/>
      <c r="C24" s="138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47"/>
      <c r="S24" s="145" t="s">
        <v>224</v>
      </c>
      <c r="T24" s="136" t="str">
        <f t="shared" si="6"/>
        <v>0755</v>
      </c>
      <c r="U24" s="136" t="str">
        <f t="shared" si="0"/>
        <v>6060000755</v>
      </c>
      <c r="V24" s="147" t="e">
        <f t="shared" si="7"/>
        <v>#REF!</v>
      </c>
      <c r="W24" s="147" t="e">
        <f t="shared" si="8"/>
        <v>#REF!</v>
      </c>
      <c r="X24" s="147" t="e">
        <f t="shared" si="9"/>
        <v>#REF!</v>
      </c>
      <c r="Y24" s="147" t="e">
        <f t="shared" si="10"/>
        <v>#REF!</v>
      </c>
      <c r="Z24" s="147" t="e">
        <f t="shared" si="11"/>
        <v>#REF!</v>
      </c>
      <c r="AA24" s="147" t="e">
        <f t="shared" si="12"/>
        <v>#REF!</v>
      </c>
      <c r="AB24" s="147" t="e">
        <f t="shared" si="13"/>
        <v>#REF!</v>
      </c>
      <c r="AC24" s="147" t="e">
        <f t="shared" si="14"/>
        <v>#REF!</v>
      </c>
      <c r="AD24" s="147" t="e">
        <f t="shared" si="15"/>
        <v>#REF!</v>
      </c>
      <c r="AE24" s="147" t="e">
        <f t="shared" si="16"/>
        <v>#REF!</v>
      </c>
      <c r="AF24" s="147" t="e">
        <f t="shared" si="17"/>
        <v>#REF!</v>
      </c>
      <c r="AG24" s="147" t="e">
        <f t="shared" si="18"/>
        <v>#REF!</v>
      </c>
      <c r="AH24" s="148" t="e">
        <f t="shared" si="2"/>
        <v>#REF!</v>
      </c>
    </row>
    <row r="25" spans="1:34" s="136" customFormat="1" x14ac:dyDescent="0.2">
      <c r="B25" s="149"/>
      <c r="C25" s="138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50"/>
      <c r="R25" s="147"/>
      <c r="S25" s="145" t="s">
        <v>225</v>
      </c>
      <c r="T25" s="136" t="str">
        <f t="shared" si="6"/>
        <v>0755</v>
      </c>
      <c r="U25" s="136" t="str">
        <f t="shared" si="0"/>
        <v>6100000755</v>
      </c>
      <c r="V25" s="147" t="e">
        <f t="shared" si="7"/>
        <v>#REF!</v>
      </c>
      <c r="W25" s="147" t="e">
        <f t="shared" si="8"/>
        <v>#REF!</v>
      </c>
      <c r="X25" s="147" t="e">
        <f t="shared" si="9"/>
        <v>#REF!</v>
      </c>
      <c r="Y25" s="147" t="e">
        <f t="shared" si="10"/>
        <v>#REF!</v>
      </c>
      <c r="Z25" s="147" t="e">
        <f t="shared" si="11"/>
        <v>#REF!</v>
      </c>
      <c r="AA25" s="147" t="e">
        <f t="shared" si="12"/>
        <v>#REF!</v>
      </c>
      <c r="AB25" s="147" t="e">
        <f t="shared" si="13"/>
        <v>#REF!</v>
      </c>
      <c r="AC25" s="147" t="e">
        <f t="shared" si="14"/>
        <v>#REF!</v>
      </c>
      <c r="AD25" s="147" t="e">
        <f t="shared" si="15"/>
        <v>#REF!</v>
      </c>
      <c r="AE25" s="147" t="e">
        <f t="shared" si="16"/>
        <v>#REF!</v>
      </c>
      <c r="AF25" s="147" t="e">
        <f t="shared" si="17"/>
        <v>#REF!</v>
      </c>
      <c r="AG25" s="147" t="e">
        <f t="shared" si="18"/>
        <v>#REF!</v>
      </c>
      <c r="AH25" s="148" t="e">
        <f t="shared" si="2"/>
        <v>#REF!</v>
      </c>
    </row>
    <row r="26" spans="1:34" s="136" customFormat="1" x14ac:dyDescent="0.2">
      <c r="A26" s="155" t="s">
        <v>226</v>
      </c>
      <c r="B26" s="149"/>
      <c r="C26" s="138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50"/>
      <c r="R26" s="147"/>
      <c r="S26" s="145" t="s">
        <v>227</v>
      </c>
      <c r="T26" s="136" t="str">
        <f t="shared" si="6"/>
        <v>0755</v>
      </c>
      <c r="U26" s="136" t="str">
        <f t="shared" si="0"/>
        <v>6110000755</v>
      </c>
      <c r="V26" s="147" t="e">
        <f t="shared" si="7"/>
        <v>#REF!</v>
      </c>
      <c r="W26" s="147" t="e">
        <f t="shared" si="8"/>
        <v>#REF!</v>
      </c>
      <c r="X26" s="147" t="e">
        <f t="shared" si="9"/>
        <v>#REF!</v>
      </c>
      <c r="Y26" s="147" t="e">
        <f t="shared" si="10"/>
        <v>#REF!</v>
      </c>
      <c r="Z26" s="147" t="e">
        <f t="shared" si="11"/>
        <v>#REF!</v>
      </c>
      <c r="AA26" s="147" t="e">
        <f t="shared" si="12"/>
        <v>#REF!</v>
      </c>
      <c r="AB26" s="147" t="e">
        <f t="shared" si="13"/>
        <v>#REF!</v>
      </c>
      <c r="AC26" s="147" t="e">
        <f t="shared" si="14"/>
        <v>#REF!</v>
      </c>
      <c r="AD26" s="147" t="e">
        <f t="shared" si="15"/>
        <v>#REF!</v>
      </c>
      <c r="AE26" s="147" t="e">
        <f t="shared" si="16"/>
        <v>#REF!</v>
      </c>
      <c r="AF26" s="147" t="e">
        <f t="shared" si="17"/>
        <v>#REF!</v>
      </c>
      <c r="AG26" s="147" t="e">
        <f t="shared" si="18"/>
        <v>#REF!</v>
      </c>
      <c r="AH26" s="148" t="e">
        <f t="shared" si="2"/>
        <v>#REF!</v>
      </c>
    </row>
    <row r="27" spans="1:34" s="136" customFormat="1" x14ac:dyDescent="0.2">
      <c r="A27" s="155" t="s">
        <v>228</v>
      </c>
      <c r="B27" s="149"/>
      <c r="C27" s="138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50"/>
      <c r="R27" s="147"/>
      <c r="S27" s="145" t="s">
        <v>229</v>
      </c>
      <c r="T27" s="136" t="str">
        <f t="shared" si="6"/>
        <v>0755</v>
      </c>
      <c r="U27" s="136" t="str">
        <f t="shared" si="0"/>
        <v>6120000755</v>
      </c>
      <c r="V27" s="147" t="e">
        <f t="shared" si="7"/>
        <v>#REF!</v>
      </c>
      <c r="W27" s="147" t="e">
        <f t="shared" si="8"/>
        <v>#REF!</v>
      </c>
      <c r="X27" s="147" t="e">
        <f t="shared" si="9"/>
        <v>#REF!</v>
      </c>
      <c r="Y27" s="147" t="e">
        <f t="shared" si="10"/>
        <v>#REF!</v>
      </c>
      <c r="Z27" s="147" t="e">
        <f t="shared" si="11"/>
        <v>#REF!</v>
      </c>
      <c r="AA27" s="147" t="e">
        <f t="shared" si="12"/>
        <v>#REF!</v>
      </c>
      <c r="AB27" s="147" t="e">
        <f t="shared" si="13"/>
        <v>#REF!</v>
      </c>
      <c r="AC27" s="147" t="e">
        <f t="shared" si="14"/>
        <v>#REF!</v>
      </c>
      <c r="AD27" s="147" t="e">
        <f t="shared" si="15"/>
        <v>#REF!</v>
      </c>
      <c r="AE27" s="147" t="e">
        <f t="shared" si="16"/>
        <v>#REF!</v>
      </c>
      <c r="AF27" s="147" t="e">
        <f t="shared" si="17"/>
        <v>#REF!</v>
      </c>
      <c r="AG27" s="147" t="e">
        <f t="shared" si="18"/>
        <v>#REF!</v>
      </c>
      <c r="AH27" s="148" t="e">
        <f t="shared" si="2"/>
        <v>#REF!</v>
      </c>
    </row>
    <row r="28" spans="1:34" s="136" customFormat="1" x14ac:dyDescent="0.2">
      <c r="A28" s="155" t="s">
        <v>230</v>
      </c>
      <c r="B28" s="149" t="e">
        <f>-#REF!</f>
        <v>#REF!</v>
      </c>
      <c r="C28" s="138"/>
      <c r="D28" s="147" t="e">
        <f t="shared" ref="D28:O43" si="20">($B28/$P$8)*D$8</f>
        <v>#REF!</v>
      </c>
      <c r="E28" s="147" t="e">
        <f t="shared" si="20"/>
        <v>#REF!</v>
      </c>
      <c r="F28" s="147" t="e">
        <f t="shared" si="20"/>
        <v>#REF!</v>
      </c>
      <c r="G28" s="147" t="e">
        <f t="shared" si="20"/>
        <v>#REF!</v>
      </c>
      <c r="H28" s="147" t="e">
        <f t="shared" si="20"/>
        <v>#REF!</v>
      </c>
      <c r="I28" s="147" t="e">
        <f t="shared" si="20"/>
        <v>#REF!</v>
      </c>
      <c r="J28" s="147" t="e">
        <f t="shared" si="20"/>
        <v>#REF!</v>
      </c>
      <c r="K28" s="147" t="e">
        <f t="shared" si="20"/>
        <v>#REF!</v>
      </c>
      <c r="L28" s="147" t="e">
        <f t="shared" si="20"/>
        <v>#REF!</v>
      </c>
      <c r="M28" s="147" t="e">
        <f t="shared" si="20"/>
        <v>#REF!</v>
      </c>
      <c r="N28" s="147" t="e">
        <f t="shared" si="20"/>
        <v>#REF!</v>
      </c>
      <c r="O28" s="147" t="e">
        <f t="shared" si="20"/>
        <v>#REF!</v>
      </c>
      <c r="P28" s="147" t="e">
        <f t="shared" ref="P28:P50" si="21">SUM(D28:O28)</f>
        <v>#REF!</v>
      </c>
      <c r="Q28" s="150"/>
      <c r="R28" s="147"/>
      <c r="S28" s="145" t="s">
        <v>231</v>
      </c>
      <c r="T28" s="136" t="str">
        <f t="shared" si="6"/>
        <v>0755</v>
      </c>
      <c r="U28" s="136" t="str">
        <f t="shared" si="0"/>
        <v>6130000755</v>
      </c>
      <c r="V28" s="147" t="e">
        <f t="shared" si="7"/>
        <v>#REF!</v>
      </c>
      <c r="W28" s="147" t="e">
        <f t="shared" si="8"/>
        <v>#REF!</v>
      </c>
      <c r="X28" s="147" t="e">
        <f t="shared" si="9"/>
        <v>#REF!</v>
      </c>
      <c r="Y28" s="147" t="e">
        <f t="shared" si="10"/>
        <v>#REF!</v>
      </c>
      <c r="Z28" s="147" t="e">
        <f t="shared" si="11"/>
        <v>#REF!</v>
      </c>
      <c r="AA28" s="147" t="e">
        <f t="shared" si="12"/>
        <v>#REF!</v>
      </c>
      <c r="AB28" s="147" t="e">
        <f t="shared" si="13"/>
        <v>#REF!</v>
      </c>
      <c r="AC28" s="147" t="e">
        <f t="shared" si="14"/>
        <v>#REF!</v>
      </c>
      <c r="AD28" s="147" t="e">
        <f t="shared" si="15"/>
        <v>#REF!</v>
      </c>
      <c r="AE28" s="147" t="e">
        <f t="shared" si="16"/>
        <v>#REF!</v>
      </c>
      <c r="AF28" s="147" t="e">
        <f t="shared" si="17"/>
        <v>#REF!</v>
      </c>
      <c r="AG28" s="147" t="e">
        <f t="shared" si="18"/>
        <v>#REF!</v>
      </c>
      <c r="AH28" s="148" t="e">
        <f t="shared" si="2"/>
        <v>#REF!</v>
      </c>
    </row>
    <row r="29" spans="1:34" s="136" customFormat="1" x14ac:dyDescent="0.2">
      <c r="A29" s="155" t="s">
        <v>232</v>
      </c>
      <c r="B29" s="149" t="e">
        <f>-#REF!</f>
        <v>#REF!</v>
      </c>
      <c r="C29" s="138"/>
      <c r="D29" s="147" t="e">
        <f t="shared" si="20"/>
        <v>#REF!</v>
      </c>
      <c r="E29" s="147" t="e">
        <f t="shared" si="20"/>
        <v>#REF!</v>
      </c>
      <c r="F29" s="147" t="e">
        <f t="shared" si="20"/>
        <v>#REF!</v>
      </c>
      <c r="G29" s="147" t="e">
        <f t="shared" si="20"/>
        <v>#REF!</v>
      </c>
      <c r="H29" s="147" t="e">
        <f t="shared" si="20"/>
        <v>#REF!</v>
      </c>
      <c r="I29" s="147" t="e">
        <f t="shared" si="20"/>
        <v>#REF!</v>
      </c>
      <c r="J29" s="147" t="e">
        <f t="shared" si="20"/>
        <v>#REF!</v>
      </c>
      <c r="K29" s="147" t="e">
        <f t="shared" si="20"/>
        <v>#REF!</v>
      </c>
      <c r="L29" s="147" t="e">
        <f t="shared" si="20"/>
        <v>#REF!</v>
      </c>
      <c r="M29" s="147" t="e">
        <f t="shared" si="20"/>
        <v>#REF!</v>
      </c>
      <c r="N29" s="147" t="e">
        <f t="shared" si="20"/>
        <v>#REF!</v>
      </c>
      <c r="O29" s="147" t="e">
        <f t="shared" si="20"/>
        <v>#REF!</v>
      </c>
      <c r="P29" s="147" t="e">
        <f t="shared" si="21"/>
        <v>#REF!</v>
      </c>
      <c r="Q29" s="150"/>
      <c r="R29" s="147"/>
      <c r="S29" s="145" t="s">
        <v>233</v>
      </c>
      <c r="T29" s="136" t="str">
        <f t="shared" si="6"/>
        <v>0755</v>
      </c>
      <c r="U29" s="136" t="str">
        <f t="shared" si="0"/>
        <v>6140000755</v>
      </c>
      <c r="V29" s="147" t="e">
        <f t="shared" si="7"/>
        <v>#REF!</v>
      </c>
      <c r="W29" s="147" t="e">
        <f t="shared" si="8"/>
        <v>#REF!</v>
      </c>
      <c r="X29" s="147" t="e">
        <f t="shared" si="9"/>
        <v>#REF!</v>
      </c>
      <c r="Y29" s="147" t="e">
        <f t="shared" si="10"/>
        <v>#REF!</v>
      </c>
      <c r="Z29" s="147" t="e">
        <f t="shared" si="11"/>
        <v>#REF!</v>
      </c>
      <c r="AA29" s="147" t="e">
        <f t="shared" si="12"/>
        <v>#REF!</v>
      </c>
      <c r="AB29" s="147" t="e">
        <f t="shared" si="13"/>
        <v>#REF!</v>
      </c>
      <c r="AC29" s="147" t="e">
        <f t="shared" si="14"/>
        <v>#REF!</v>
      </c>
      <c r="AD29" s="147" t="e">
        <f t="shared" si="15"/>
        <v>#REF!</v>
      </c>
      <c r="AE29" s="147" t="e">
        <f t="shared" si="16"/>
        <v>#REF!</v>
      </c>
      <c r="AF29" s="147" t="e">
        <f t="shared" si="17"/>
        <v>#REF!</v>
      </c>
      <c r="AG29" s="147" t="e">
        <f t="shared" si="18"/>
        <v>#REF!</v>
      </c>
      <c r="AH29" s="148" t="e">
        <f t="shared" si="2"/>
        <v>#REF!</v>
      </c>
    </row>
    <row r="30" spans="1:34" s="136" customFormat="1" x14ac:dyDescent="0.2">
      <c r="A30" s="155" t="s">
        <v>234</v>
      </c>
      <c r="B30" s="149" t="e">
        <f>-#REF!</f>
        <v>#REF!</v>
      </c>
      <c r="C30" s="138"/>
      <c r="D30" s="147" t="e">
        <f t="shared" si="20"/>
        <v>#REF!</v>
      </c>
      <c r="E30" s="147" t="e">
        <f t="shared" si="20"/>
        <v>#REF!</v>
      </c>
      <c r="F30" s="147" t="e">
        <f t="shared" si="20"/>
        <v>#REF!</v>
      </c>
      <c r="G30" s="147" t="e">
        <f t="shared" si="20"/>
        <v>#REF!</v>
      </c>
      <c r="H30" s="147" t="e">
        <f t="shared" si="20"/>
        <v>#REF!</v>
      </c>
      <c r="I30" s="147" t="e">
        <f t="shared" si="20"/>
        <v>#REF!</v>
      </c>
      <c r="J30" s="147" t="e">
        <f t="shared" si="20"/>
        <v>#REF!</v>
      </c>
      <c r="K30" s="147" t="e">
        <f t="shared" si="20"/>
        <v>#REF!</v>
      </c>
      <c r="L30" s="147" t="e">
        <f t="shared" si="20"/>
        <v>#REF!</v>
      </c>
      <c r="M30" s="147" t="e">
        <f t="shared" si="20"/>
        <v>#REF!</v>
      </c>
      <c r="N30" s="147" t="e">
        <f t="shared" si="20"/>
        <v>#REF!</v>
      </c>
      <c r="O30" s="147" t="e">
        <f t="shared" si="20"/>
        <v>#REF!</v>
      </c>
      <c r="P30" s="147" t="e">
        <f t="shared" si="21"/>
        <v>#REF!</v>
      </c>
      <c r="Q30" s="150"/>
      <c r="R30" s="147"/>
      <c r="S30" s="145" t="s">
        <v>235</v>
      </c>
      <c r="T30" s="136" t="str">
        <f t="shared" si="6"/>
        <v>0755</v>
      </c>
      <c r="U30" s="136" t="str">
        <f t="shared" si="0"/>
        <v>6260000755</v>
      </c>
      <c r="V30" s="147" t="e">
        <f t="shared" si="7"/>
        <v>#REF!</v>
      </c>
      <c r="W30" s="147" t="e">
        <f t="shared" si="8"/>
        <v>#REF!</v>
      </c>
      <c r="X30" s="147" t="e">
        <f t="shared" si="9"/>
        <v>#REF!</v>
      </c>
      <c r="Y30" s="147" t="e">
        <f t="shared" si="10"/>
        <v>#REF!</v>
      </c>
      <c r="Z30" s="147" t="e">
        <f t="shared" si="11"/>
        <v>#REF!</v>
      </c>
      <c r="AA30" s="147" t="e">
        <f t="shared" si="12"/>
        <v>#REF!</v>
      </c>
      <c r="AB30" s="147" t="e">
        <f t="shared" si="13"/>
        <v>#REF!</v>
      </c>
      <c r="AC30" s="147" t="e">
        <f t="shared" si="14"/>
        <v>#REF!</v>
      </c>
      <c r="AD30" s="147" t="e">
        <f t="shared" si="15"/>
        <v>#REF!</v>
      </c>
      <c r="AE30" s="147" t="e">
        <f t="shared" si="16"/>
        <v>#REF!</v>
      </c>
      <c r="AF30" s="147" t="e">
        <f t="shared" si="17"/>
        <v>#REF!</v>
      </c>
      <c r="AG30" s="147" t="e">
        <f t="shared" si="18"/>
        <v>#REF!</v>
      </c>
      <c r="AH30" s="148" t="e">
        <f t="shared" si="2"/>
        <v>#REF!</v>
      </c>
    </row>
    <row r="31" spans="1:34" s="136" customFormat="1" x14ac:dyDescent="0.2">
      <c r="A31" s="155" t="s">
        <v>236</v>
      </c>
      <c r="B31" s="149" t="e">
        <f>-#REF!</f>
        <v>#REF!</v>
      </c>
      <c r="C31" s="138"/>
      <c r="D31" s="147" t="e">
        <f t="shared" si="20"/>
        <v>#REF!</v>
      </c>
      <c r="E31" s="147" t="e">
        <f t="shared" si="20"/>
        <v>#REF!</v>
      </c>
      <c r="F31" s="147" t="e">
        <f t="shared" si="20"/>
        <v>#REF!</v>
      </c>
      <c r="G31" s="147" t="e">
        <f t="shared" si="20"/>
        <v>#REF!</v>
      </c>
      <c r="H31" s="147" t="e">
        <f t="shared" si="20"/>
        <v>#REF!</v>
      </c>
      <c r="I31" s="147" t="e">
        <f t="shared" si="20"/>
        <v>#REF!</v>
      </c>
      <c r="J31" s="147" t="e">
        <f t="shared" si="20"/>
        <v>#REF!</v>
      </c>
      <c r="K31" s="147" t="e">
        <f t="shared" si="20"/>
        <v>#REF!</v>
      </c>
      <c r="L31" s="147" t="e">
        <f t="shared" si="20"/>
        <v>#REF!</v>
      </c>
      <c r="M31" s="147" t="e">
        <f t="shared" si="20"/>
        <v>#REF!</v>
      </c>
      <c r="N31" s="147" t="e">
        <f t="shared" si="20"/>
        <v>#REF!</v>
      </c>
      <c r="O31" s="147" t="e">
        <f t="shared" si="20"/>
        <v>#REF!</v>
      </c>
      <c r="P31" s="147" t="e">
        <f t="shared" si="21"/>
        <v>#REF!</v>
      </c>
      <c r="Q31" s="150"/>
      <c r="R31" s="147"/>
      <c r="S31" s="145" t="s">
        <v>237</v>
      </c>
      <c r="T31" s="136" t="str">
        <f t="shared" si="6"/>
        <v>0755</v>
      </c>
      <c r="U31" s="136" t="str">
        <f t="shared" si="0"/>
        <v>6250000755</v>
      </c>
      <c r="V31" s="147" t="e">
        <f t="shared" si="7"/>
        <v>#REF!</v>
      </c>
      <c r="W31" s="147" t="e">
        <f t="shared" si="8"/>
        <v>#REF!</v>
      </c>
      <c r="X31" s="147" t="e">
        <f t="shared" si="9"/>
        <v>#REF!</v>
      </c>
      <c r="Y31" s="147" t="e">
        <f t="shared" si="10"/>
        <v>#REF!</v>
      </c>
      <c r="Z31" s="147" t="e">
        <f t="shared" si="11"/>
        <v>#REF!</v>
      </c>
      <c r="AA31" s="147" t="e">
        <f t="shared" si="12"/>
        <v>#REF!</v>
      </c>
      <c r="AB31" s="147" t="e">
        <f t="shared" si="13"/>
        <v>#REF!</v>
      </c>
      <c r="AC31" s="147" t="e">
        <f t="shared" si="14"/>
        <v>#REF!</v>
      </c>
      <c r="AD31" s="147" t="e">
        <f t="shared" si="15"/>
        <v>#REF!</v>
      </c>
      <c r="AE31" s="147" t="e">
        <f t="shared" si="16"/>
        <v>#REF!</v>
      </c>
      <c r="AF31" s="147" t="e">
        <f t="shared" si="17"/>
        <v>#REF!</v>
      </c>
      <c r="AG31" s="147" t="e">
        <f t="shared" si="18"/>
        <v>#REF!</v>
      </c>
      <c r="AH31" s="148" t="e">
        <f t="shared" si="2"/>
        <v>#REF!</v>
      </c>
    </row>
    <row r="32" spans="1:34" s="136" customFormat="1" x14ac:dyDescent="0.2">
      <c r="A32" s="155" t="s">
        <v>238</v>
      </c>
      <c r="B32" s="149" t="e">
        <f>-#REF!</f>
        <v>#REF!</v>
      </c>
      <c r="C32" s="138"/>
      <c r="D32" s="147" t="e">
        <f t="shared" si="20"/>
        <v>#REF!</v>
      </c>
      <c r="E32" s="147" t="e">
        <f t="shared" si="20"/>
        <v>#REF!</v>
      </c>
      <c r="F32" s="147" t="e">
        <f t="shared" si="20"/>
        <v>#REF!</v>
      </c>
      <c r="G32" s="147" t="e">
        <f t="shared" si="20"/>
        <v>#REF!</v>
      </c>
      <c r="H32" s="147" t="e">
        <f t="shared" si="20"/>
        <v>#REF!</v>
      </c>
      <c r="I32" s="147" t="e">
        <f t="shared" si="20"/>
        <v>#REF!</v>
      </c>
      <c r="J32" s="147" t="e">
        <f t="shared" si="20"/>
        <v>#REF!</v>
      </c>
      <c r="K32" s="147" t="e">
        <f t="shared" si="20"/>
        <v>#REF!</v>
      </c>
      <c r="L32" s="147" t="e">
        <f t="shared" si="20"/>
        <v>#REF!</v>
      </c>
      <c r="M32" s="147" t="e">
        <f t="shared" si="20"/>
        <v>#REF!</v>
      </c>
      <c r="N32" s="147" t="e">
        <f t="shared" si="20"/>
        <v>#REF!</v>
      </c>
      <c r="O32" s="147" t="e">
        <f t="shared" si="20"/>
        <v>#REF!</v>
      </c>
      <c r="P32" s="147" t="e">
        <f t="shared" si="21"/>
        <v>#REF!</v>
      </c>
      <c r="Q32" s="156"/>
      <c r="R32" s="147"/>
      <c r="S32" s="145" t="s">
        <v>239</v>
      </c>
      <c r="T32" s="136" t="str">
        <f t="shared" si="6"/>
        <v>0755</v>
      </c>
      <c r="U32" s="136" t="str">
        <f t="shared" si="0"/>
        <v>6210000755</v>
      </c>
      <c r="V32" s="147" t="e">
        <f t="shared" si="7"/>
        <v>#REF!</v>
      </c>
      <c r="W32" s="147" t="e">
        <f t="shared" si="8"/>
        <v>#REF!</v>
      </c>
      <c r="X32" s="147" t="e">
        <f t="shared" si="9"/>
        <v>#REF!</v>
      </c>
      <c r="Y32" s="147" t="e">
        <f t="shared" si="10"/>
        <v>#REF!</v>
      </c>
      <c r="Z32" s="147" t="e">
        <f t="shared" si="11"/>
        <v>#REF!</v>
      </c>
      <c r="AA32" s="147" t="e">
        <f t="shared" si="12"/>
        <v>#REF!</v>
      </c>
      <c r="AB32" s="147" t="e">
        <f t="shared" si="13"/>
        <v>#REF!</v>
      </c>
      <c r="AC32" s="147" t="e">
        <f t="shared" si="14"/>
        <v>#REF!</v>
      </c>
      <c r="AD32" s="147" t="e">
        <f t="shared" si="15"/>
        <v>#REF!</v>
      </c>
      <c r="AE32" s="147" t="e">
        <f t="shared" si="16"/>
        <v>#REF!</v>
      </c>
      <c r="AF32" s="147" t="e">
        <f t="shared" si="17"/>
        <v>#REF!</v>
      </c>
      <c r="AG32" s="147" t="e">
        <f t="shared" si="18"/>
        <v>#REF!</v>
      </c>
      <c r="AH32" s="148" t="e">
        <f t="shared" si="2"/>
        <v>#REF!</v>
      </c>
    </row>
    <row r="33" spans="1:34" s="136" customFormat="1" x14ac:dyDescent="0.2">
      <c r="A33" s="155" t="s">
        <v>240</v>
      </c>
      <c r="B33" s="149" t="e">
        <f>-#REF!</f>
        <v>#REF!</v>
      </c>
      <c r="C33" s="138"/>
      <c r="D33" s="147" t="e">
        <f t="shared" si="20"/>
        <v>#REF!</v>
      </c>
      <c r="E33" s="147" t="e">
        <f t="shared" si="20"/>
        <v>#REF!</v>
      </c>
      <c r="F33" s="147" t="e">
        <f t="shared" si="20"/>
        <v>#REF!</v>
      </c>
      <c r="G33" s="147" t="e">
        <f t="shared" si="20"/>
        <v>#REF!</v>
      </c>
      <c r="H33" s="147" t="e">
        <f t="shared" si="20"/>
        <v>#REF!</v>
      </c>
      <c r="I33" s="147" t="e">
        <f t="shared" si="20"/>
        <v>#REF!</v>
      </c>
      <c r="J33" s="147" t="e">
        <f t="shared" si="20"/>
        <v>#REF!</v>
      </c>
      <c r="K33" s="147" t="e">
        <f t="shared" si="20"/>
        <v>#REF!</v>
      </c>
      <c r="L33" s="147" t="e">
        <f t="shared" si="20"/>
        <v>#REF!</v>
      </c>
      <c r="M33" s="147" t="e">
        <f t="shared" si="20"/>
        <v>#REF!</v>
      </c>
      <c r="N33" s="147" t="e">
        <f t="shared" si="20"/>
        <v>#REF!</v>
      </c>
      <c r="O33" s="147" t="e">
        <f t="shared" si="20"/>
        <v>#REF!</v>
      </c>
      <c r="P33" s="147" t="e">
        <f t="shared" si="21"/>
        <v>#REF!</v>
      </c>
      <c r="Q33" s="150"/>
      <c r="R33" s="147"/>
      <c r="S33" s="145" t="s">
        <v>241</v>
      </c>
      <c r="T33" s="136" t="str">
        <f t="shared" si="6"/>
        <v>0755</v>
      </c>
      <c r="U33" s="136" t="str">
        <f t="shared" si="0"/>
        <v>6220000755</v>
      </c>
      <c r="V33" s="147" t="e">
        <f t="shared" si="7"/>
        <v>#REF!</v>
      </c>
      <c r="W33" s="147" t="e">
        <f t="shared" si="8"/>
        <v>#REF!</v>
      </c>
      <c r="X33" s="147" t="e">
        <f t="shared" si="9"/>
        <v>#REF!</v>
      </c>
      <c r="Y33" s="147" t="e">
        <f t="shared" si="10"/>
        <v>#REF!</v>
      </c>
      <c r="Z33" s="147" t="e">
        <f t="shared" si="11"/>
        <v>#REF!</v>
      </c>
      <c r="AA33" s="147" t="e">
        <f t="shared" si="12"/>
        <v>#REF!</v>
      </c>
      <c r="AB33" s="147" t="e">
        <f t="shared" si="13"/>
        <v>#REF!</v>
      </c>
      <c r="AC33" s="147" t="e">
        <f t="shared" si="14"/>
        <v>#REF!</v>
      </c>
      <c r="AD33" s="147" t="e">
        <f t="shared" si="15"/>
        <v>#REF!</v>
      </c>
      <c r="AE33" s="147" t="e">
        <f t="shared" si="16"/>
        <v>#REF!</v>
      </c>
      <c r="AF33" s="147" t="e">
        <f t="shared" si="17"/>
        <v>#REF!</v>
      </c>
      <c r="AG33" s="147" t="e">
        <f t="shared" si="18"/>
        <v>#REF!</v>
      </c>
      <c r="AH33" s="148" t="e">
        <f t="shared" si="2"/>
        <v>#REF!</v>
      </c>
    </row>
    <row r="34" spans="1:34" s="136" customFormat="1" x14ac:dyDescent="0.2">
      <c r="A34" s="155" t="s">
        <v>242</v>
      </c>
      <c r="B34" s="149" t="e">
        <f>-#REF!</f>
        <v>#REF!</v>
      </c>
      <c r="C34" s="138"/>
      <c r="D34" s="147" t="e">
        <f t="shared" si="20"/>
        <v>#REF!</v>
      </c>
      <c r="E34" s="147" t="e">
        <f t="shared" si="20"/>
        <v>#REF!</v>
      </c>
      <c r="F34" s="147" t="e">
        <f t="shared" si="20"/>
        <v>#REF!</v>
      </c>
      <c r="G34" s="147" t="e">
        <f t="shared" si="20"/>
        <v>#REF!</v>
      </c>
      <c r="H34" s="147" t="e">
        <f t="shared" si="20"/>
        <v>#REF!</v>
      </c>
      <c r="I34" s="147" t="e">
        <f t="shared" si="20"/>
        <v>#REF!</v>
      </c>
      <c r="J34" s="147" t="e">
        <f t="shared" si="20"/>
        <v>#REF!</v>
      </c>
      <c r="K34" s="147" t="e">
        <f t="shared" si="20"/>
        <v>#REF!</v>
      </c>
      <c r="L34" s="147" t="e">
        <f t="shared" si="20"/>
        <v>#REF!</v>
      </c>
      <c r="M34" s="147" t="e">
        <f t="shared" si="20"/>
        <v>#REF!</v>
      </c>
      <c r="N34" s="147" t="e">
        <f t="shared" si="20"/>
        <v>#REF!</v>
      </c>
      <c r="O34" s="147" t="e">
        <f t="shared" si="20"/>
        <v>#REF!</v>
      </c>
      <c r="P34" s="147" t="e">
        <f t="shared" si="21"/>
        <v>#REF!</v>
      </c>
      <c r="Q34" s="150"/>
      <c r="R34" s="147"/>
      <c r="S34" s="145" t="s">
        <v>243</v>
      </c>
      <c r="T34" s="136" t="str">
        <f t="shared" si="6"/>
        <v>0755</v>
      </c>
      <c r="U34" s="136" t="str">
        <f t="shared" si="0"/>
        <v>6270000755</v>
      </c>
      <c r="V34" s="147" t="e">
        <f t="shared" si="7"/>
        <v>#REF!</v>
      </c>
      <c r="W34" s="147" t="e">
        <f t="shared" si="8"/>
        <v>#REF!</v>
      </c>
      <c r="X34" s="147" t="e">
        <f t="shared" si="9"/>
        <v>#REF!</v>
      </c>
      <c r="Y34" s="147" t="e">
        <f t="shared" si="10"/>
        <v>#REF!</v>
      </c>
      <c r="Z34" s="147" t="e">
        <f t="shared" si="11"/>
        <v>#REF!</v>
      </c>
      <c r="AA34" s="147" t="e">
        <f t="shared" si="12"/>
        <v>#REF!</v>
      </c>
      <c r="AB34" s="147" t="e">
        <f t="shared" si="13"/>
        <v>#REF!</v>
      </c>
      <c r="AC34" s="147" t="e">
        <f t="shared" si="14"/>
        <v>#REF!</v>
      </c>
      <c r="AD34" s="147" t="e">
        <f t="shared" si="15"/>
        <v>#REF!</v>
      </c>
      <c r="AE34" s="147" t="e">
        <f t="shared" si="16"/>
        <v>#REF!</v>
      </c>
      <c r="AF34" s="147" t="e">
        <f t="shared" si="17"/>
        <v>#REF!</v>
      </c>
      <c r="AG34" s="147" t="e">
        <f t="shared" si="18"/>
        <v>#REF!</v>
      </c>
      <c r="AH34" s="148" t="e">
        <f t="shared" si="2"/>
        <v>#REF!</v>
      </c>
    </row>
    <row r="35" spans="1:34" s="136" customFormat="1" x14ac:dyDescent="0.2">
      <c r="A35" s="155" t="s">
        <v>244</v>
      </c>
      <c r="B35" s="149" t="e">
        <f>-#REF!</f>
        <v>#REF!</v>
      </c>
      <c r="C35" s="138"/>
      <c r="D35" s="147" t="e">
        <f t="shared" si="20"/>
        <v>#REF!</v>
      </c>
      <c r="E35" s="147" t="e">
        <f t="shared" si="20"/>
        <v>#REF!</v>
      </c>
      <c r="F35" s="147" t="e">
        <f t="shared" si="20"/>
        <v>#REF!</v>
      </c>
      <c r="G35" s="147" t="e">
        <f t="shared" si="20"/>
        <v>#REF!</v>
      </c>
      <c r="H35" s="147" t="e">
        <f t="shared" si="20"/>
        <v>#REF!</v>
      </c>
      <c r="I35" s="147" t="e">
        <f t="shared" si="20"/>
        <v>#REF!</v>
      </c>
      <c r="J35" s="147" t="e">
        <f t="shared" si="20"/>
        <v>#REF!</v>
      </c>
      <c r="K35" s="147" t="e">
        <f t="shared" si="20"/>
        <v>#REF!</v>
      </c>
      <c r="L35" s="147" t="e">
        <f t="shared" si="20"/>
        <v>#REF!</v>
      </c>
      <c r="M35" s="147" t="e">
        <f t="shared" si="20"/>
        <v>#REF!</v>
      </c>
      <c r="N35" s="147" t="e">
        <f t="shared" si="20"/>
        <v>#REF!</v>
      </c>
      <c r="O35" s="147" t="e">
        <f t="shared" si="20"/>
        <v>#REF!</v>
      </c>
      <c r="P35" s="147" t="e">
        <f t="shared" si="21"/>
        <v>#REF!</v>
      </c>
      <c r="Q35" s="150"/>
      <c r="R35" s="147"/>
      <c r="S35" s="145" t="s">
        <v>245</v>
      </c>
      <c r="T35" s="136" t="str">
        <f t="shared" si="6"/>
        <v>0755</v>
      </c>
      <c r="U35" s="136" t="str">
        <f t="shared" si="0"/>
        <v>6230000755</v>
      </c>
      <c r="V35" s="147" t="e">
        <f t="shared" si="7"/>
        <v>#REF!</v>
      </c>
      <c r="W35" s="147" t="e">
        <f t="shared" si="8"/>
        <v>#REF!</v>
      </c>
      <c r="X35" s="147" t="e">
        <f t="shared" si="9"/>
        <v>#REF!</v>
      </c>
      <c r="Y35" s="147" t="e">
        <f t="shared" si="10"/>
        <v>#REF!</v>
      </c>
      <c r="Z35" s="147" t="e">
        <f t="shared" si="11"/>
        <v>#REF!</v>
      </c>
      <c r="AA35" s="147" t="e">
        <f t="shared" si="12"/>
        <v>#REF!</v>
      </c>
      <c r="AB35" s="147" t="e">
        <f t="shared" si="13"/>
        <v>#REF!</v>
      </c>
      <c r="AC35" s="147" t="e">
        <f t="shared" si="14"/>
        <v>#REF!</v>
      </c>
      <c r="AD35" s="147" t="e">
        <f t="shared" si="15"/>
        <v>#REF!</v>
      </c>
      <c r="AE35" s="147" t="e">
        <f t="shared" si="16"/>
        <v>#REF!</v>
      </c>
      <c r="AF35" s="147" t="e">
        <f t="shared" si="17"/>
        <v>#REF!</v>
      </c>
      <c r="AG35" s="147" t="e">
        <f t="shared" si="18"/>
        <v>#REF!</v>
      </c>
      <c r="AH35" s="148" t="e">
        <f t="shared" si="2"/>
        <v>#REF!</v>
      </c>
    </row>
    <row r="36" spans="1:34" s="136" customFormat="1" x14ac:dyDescent="0.2">
      <c r="A36" s="155" t="s">
        <v>246</v>
      </c>
      <c r="B36" s="149" t="e">
        <f>-#REF!</f>
        <v>#REF!</v>
      </c>
      <c r="C36" s="138"/>
      <c r="D36" s="147" t="e">
        <f t="shared" si="20"/>
        <v>#REF!</v>
      </c>
      <c r="E36" s="147" t="e">
        <f t="shared" si="20"/>
        <v>#REF!</v>
      </c>
      <c r="F36" s="147" t="e">
        <f t="shared" si="20"/>
        <v>#REF!</v>
      </c>
      <c r="G36" s="147" t="e">
        <f t="shared" si="20"/>
        <v>#REF!</v>
      </c>
      <c r="H36" s="147" t="e">
        <f t="shared" si="20"/>
        <v>#REF!</v>
      </c>
      <c r="I36" s="147" t="e">
        <f t="shared" si="20"/>
        <v>#REF!</v>
      </c>
      <c r="J36" s="147" t="e">
        <f t="shared" si="20"/>
        <v>#REF!</v>
      </c>
      <c r="K36" s="147" t="e">
        <f t="shared" si="20"/>
        <v>#REF!</v>
      </c>
      <c r="L36" s="147" t="e">
        <f t="shared" si="20"/>
        <v>#REF!</v>
      </c>
      <c r="M36" s="147" t="e">
        <f t="shared" si="20"/>
        <v>#REF!</v>
      </c>
      <c r="N36" s="147" t="e">
        <f t="shared" si="20"/>
        <v>#REF!</v>
      </c>
      <c r="O36" s="147" t="e">
        <f t="shared" si="20"/>
        <v>#REF!</v>
      </c>
      <c r="P36" s="147" t="e">
        <f t="shared" si="21"/>
        <v>#REF!</v>
      </c>
      <c r="Q36" s="150"/>
      <c r="R36" s="147"/>
      <c r="S36" s="145" t="s">
        <v>247</v>
      </c>
      <c r="T36" s="136" t="str">
        <f t="shared" si="6"/>
        <v>0755</v>
      </c>
      <c r="U36" s="136" t="str">
        <f t="shared" si="0"/>
        <v>6280000755</v>
      </c>
      <c r="V36" s="147" t="e">
        <f t="shared" si="7"/>
        <v>#REF!</v>
      </c>
      <c r="W36" s="147" t="e">
        <f t="shared" si="8"/>
        <v>#REF!</v>
      </c>
      <c r="X36" s="147" t="e">
        <f t="shared" si="9"/>
        <v>#REF!</v>
      </c>
      <c r="Y36" s="147" t="e">
        <f t="shared" si="10"/>
        <v>#REF!</v>
      </c>
      <c r="Z36" s="147" t="e">
        <f t="shared" si="11"/>
        <v>#REF!</v>
      </c>
      <c r="AA36" s="147" t="e">
        <f t="shared" si="12"/>
        <v>#REF!</v>
      </c>
      <c r="AB36" s="147" t="e">
        <f t="shared" si="13"/>
        <v>#REF!</v>
      </c>
      <c r="AC36" s="147" t="e">
        <f t="shared" si="14"/>
        <v>#REF!</v>
      </c>
      <c r="AD36" s="147" t="e">
        <f t="shared" si="15"/>
        <v>#REF!</v>
      </c>
      <c r="AE36" s="147" t="e">
        <f t="shared" si="16"/>
        <v>#REF!</v>
      </c>
      <c r="AF36" s="147" t="e">
        <f t="shared" si="17"/>
        <v>#REF!</v>
      </c>
      <c r="AG36" s="147" t="e">
        <f t="shared" si="18"/>
        <v>#REF!</v>
      </c>
      <c r="AH36" s="148" t="e">
        <f t="shared" si="2"/>
        <v>#REF!</v>
      </c>
    </row>
    <row r="37" spans="1:34" s="136" customFormat="1" x14ac:dyDescent="0.2">
      <c r="A37" s="155" t="s">
        <v>248</v>
      </c>
      <c r="B37" s="149" t="e">
        <f>-#REF!</f>
        <v>#REF!</v>
      </c>
      <c r="C37" s="138"/>
      <c r="D37" s="147" t="e">
        <f t="shared" si="20"/>
        <v>#REF!</v>
      </c>
      <c r="E37" s="147" t="e">
        <f t="shared" si="20"/>
        <v>#REF!</v>
      </c>
      <c r="F37" s="147" t="e">
        <f t="shared" si="20"/>
        <v>#REF!</v>
      </c>
      <c r="G37" s="147" t="e">
        <f t="shared" si="20"/>
        <v>#REF!</v>
      </c>
      <c r="H37" s="147" t="e">
        <f t="shared" si="20"/>
        <v>#REF!</v>
      </c>
      <c r="I37" s="147" t="e">
        <f t="shared" si="20"/>
        <v>#REF!</v>
      </c>
      <c r="J37" s="147" t="e">
        <f t="shared" si="20"/>
        <v>#REF!</v>
      </c>
      <c r="K37" s="147" t="e">
        <f t="shared" si="20"/>
        <v>#REF!</v>
      </c>
      <c r="L37" s="147" t="e">
        <f t="shared" si="20"/>
        <v>#REF!</v>
      </c>
      <c r="M37" s="147" t="e">
        <f t="shared" si="20"/>
        <v>#REF!</v>
      </c>
      <c r="N37" s="147" t="e">
        <f t="shared" si="20"/>
        <v>#REF!</v>
      </c>
      <c r="O37" s="147" t="e">
        <f t="shared" si="20"/>
        <v>#REF!</v>
      </c>
      <c r="P37" s="147" t="e">
        <f t="shared" si="21"/>
        <v>#REF!</v>
      </c>
      <c r="Q37" s="150"/>
      <c r="R37" s="147"/>
      <c r="S37" s="145" t="s">
        <v>249</v>
      </c>
      <c r="T37" s="136" t="str">
        <f t="shared" si="6"/>
        <v>0755</v>
      </c>
      <c r="U37" s="136" t="str">
        <f t="shared" si="0"/>
        <v>6290000755</v>
      </c>
      <c r="V37" s="147" t="e">
        <f t="shared" si="7"/>
        <v>#REF!</v>
      </c>
      <c r="W37" s="147" t="e">
        <f t="shared" si="8"/>
        <v>#REF!</v>
      </c>
      <c r="X37" s="147" t="e">
        <f t="shared" si="9"/>
        <v>#REF!</v>
      </c>
      <c r="Y37" s="147" t="e">
        <f t="shared" si="10"/>
        <v>#REF!</v>
      </c>
      <c r="Z37" s="147" t="e">
        <f t="shared" si="11"/>
        <v>#REF!</v>
      </c>
      <c r="AA37" s="147" t="e">
        <f t="shared" si="12"/>
        <v>#REF!</v>
      </c>
      <c r="AB37" s="147" t="e">
        <f t="shared" si="13"/>
        <v>#REF!</v>
      </c>
      <c r="AC37" s="147" t="e">
        <f t="shared" si="14"/>
        <v>#REF!</v>
      </c>
      <c r="AD37" s="147" t="e">
        <f t="shared" si="15"/>
        <v>#REF!</v>
      </c>
      <c r="AE37" s="147" t="e">
        <f t="shared" si="16"/>
        <v>#REF!</v>
      </c>
      <c r="AF37" s="147" t="e">
        <f t="shared" si="17"/>
        <v>#REF!</v>
      </c>
      <c r="AG37" s="147" t="e">
        <f t="shared" si="18"/>
        <v>#REF!</v>
      </c>
      <c r="AH37" s="148" t="e">
        <f t="shared" si="2"/>
        <v>#REF!</v>
      </c>
    </row>
    <row r="38" spans="1:34" s="136" customFormat="1" x14ac:dyDescent="0.2">
      <c r="A38" s="155" t="s">
        <v>250</v>
      </c>
      <c r="B38" s="149" t="e">
        <f>-#REF!</f>
        <v>#REF!</v>
      </c>
      <c r="C38" s="138"/>
      <c r="D38" s="147" t="e">
        <f t="shared" si="20"/>
        <v>#REF!</v>
      </c>
      <c r="E38" s="147" t="e">
        <f t="shared" si="20"/>
        <v>#REF!</v>
      </c>
      <c r="F38" s="147" t="e">
        <f t="shared" si="20"/>
        <v>#REF!</v>
      </c>
      <c r="G38" s="147" t="e">
        <f t="shared" si="20"/>
        <v>#REF!</v>
      </c>
      <c r="H38" s="147" t="e">
        <f t="shared" si="20"/>
        <v>#REF!</v>
      </c>
      <c r="I38" s="147" t="e">
        <f t="shared" si="20"/>
        <v>#REF!</v>
      </c>
      <c r="J38" s="147" t="e">
        <f t="shared" si="20"/>
        <v>#REF!</v>
      </c>
      <c r="K38" s="147" t="e">
        <f t="shared" si="20"/>
        <v>#REF!</v>
      </c>
      <c r="L38" s="147" t="e">
        <f t="shared" si="20"/>
        <v>#REF!</v>
      </c>
      <c r="M38" s="147" t="e">
        <f t="shared" si="20"/>
        <v>#REF!</v>
      </c>
      <c r="N38" s="147" t="e">
        <f t="shared" si="20"/>
        <v>#REF!</v>
      </c>
      <c r="O38" s="147" t="e">
        <f t="shared" si="20"/>
        <v>#REF!</v>
      </c>
      <c r="P38" s="147" t="e">
        <f t="shared" si="21"/>
        <v>#REF!</v>
      </c>
      <c r="Q38" s="150"/>
      <c r="R38" s="147"/>
      <c r="S38" s="145" t="s">
        <v>251</v>
      </c>
      <c r="T38" s="136" t="str">
        <f t="shared" si="6"/>
        <v>0755</v>
      </c>
      <c r="U38" s="136" t="str">
        <f t="shared" si="0"/>
        <v>6310000755</v>
      </c>
      <c r="V38" s="147" t="e">
        <f t="shared" si="7"/>
        <v>#REF!</v>
      </c>
      <c r="W38" s="147" t="e">
        <f t="shared" si="8"/>
        <v>#REF!</v>
      </c>
      <c r="X38" s="147" t="e">
        <f t="shared" si="9"/>
        <v>#REF!</v>
      </c>
      <c r="Y38" s="147" t="e">
        <f t="shared" si="10"/>
        <v>#REF!</v>
      </c>
      <c r="Z38" s="147" t="e">
        <f t="shared" si="11"/>
        <v>#REF!</v>
      </c>
      <c r="AA38" s="147" t="e">
        <f t="shared" si="12"/>
        <v>#REF!</v>
      </c>
      <c r="AB38" s="147" t="e">
        <f t="shared" si="13"/>
        <v>#REF!</v>
      </c>
      <c r="AC38" s="147" t="e">
        <f t="shared" si="14"/>
        <v>#REF!</v>
      </c>
      <c r="AD38" s="147" t="e">
        <f t="shared" si="15"/>
        <v>#REF!</v>
      </c>
      <c r="AE38" s="147" t="e">
        <f t="shared" si="16"/>
        <v>#REF!</v>
      </c>
      <c r="AF38" s="147" t="e">
        <f t="shared" si="17"/>
        <v>#REF!</v>
      </c>
      <c r="AG38" s="147" t="e">
        <f t="shared" si="18"/>
        <v>#REF!</v>
      </c>
      <c r="AH38" s="148" t="e">
        <f t="shared" si="2"/>
        <v>#REF!</v>
      </c>
    </row>
    <row r="39" spans="1:34" s="136" customFormat="1" x14ac:dyDescent="0.2">
      <c r="A39" s="155" t="s">
        <v>252</v>
      </c>
      <c r="B39" s="149" t="e">
        <f>-#REF!</f>
        <v>#REF!</v>
      </c>
      <c r="C39" s="138"/>
      <c r="D39" s="147" t="e">
        <f t="shared" si="20"/>
        <v>#REF!</v>
      </c>
      <c r="E39" s="147" t="e">
        <f t="shared" si="20"/>
        <v>#REF!</v>
      </c>
      <c r="F39" s="147" t="e">
        <f t="shared" si="20"/>
        <v>#REF!</v>
      </c>
      <c r="G39" s="147" t="e">
        <f t="shared" si="20"/>
        <v>#REF!</v>
      </c>
      <c r="H39" s="147" t="e">
        <f t="shared" si="20"/>
        <v>#REF!</v>
      </c>
      <c r="I39" s="147" t="e">
        <f t="shared" si="20"/>
        <v>#REF!</v>
      </c>
      <c r="J39" s="147" t="e">
        <f t="shared" si="20"/>
        <v>#REF!</v>
      </c>
      <c r="K39" s="147" t="e">
        <f t="shared" si="20"/>
        <v>#REF!</v>
      </c>
      <c r="L39" s="147" t="e">
        <f t="shared" si="20"/>
        <v>#REF!</v>
      </c>
      <c r="M39" s="147" t="e">
        <f t="shared" si="20"/>
        <v>#REF!</v>
      </c>
      <c r="N39" s="147" t="e">
        <f t="shared" si="20"/>
        <v>#REF!</v>
      </c>
      <c r="O39" s="147" t="e">
        <f t="shared" si="20"/>
        <v>#REF!</v>
      </c>
      <c r="P39" s="147" t="e">
        <f t="shared" si="21"/>
        <v>#REF!</v>
      </c>
      <c r="Q39" s="150"/>
      <c r="R39" s="147"/>
      <c r="S39" s="145" t="s">
        <v>253</v>
      </c>
      <c r="T39" s="136" t="str">
        <f t="shared" si="6"/>
        <v>0755</v>
      </c>
      <c r="U39" s="136" t="str">
        <f t="shared" si="0"/>
        <v>6320000755</v>
      </c>
      <c r="V39" s="147" t="e">
        <f t="shared" si="7"/>
        <v>#REF!</v>
      </c>
      <c r="W39" s="147" t="e">
        <f t="shared" si="8"/>
        <v>#REF!</v>
      </c>
      <c r="X39" s="147" t="e">
        <f t="shared" si="9"/>
        <v>#REF!</v>
      </c>
      <c r="Y39" s="147" t="e">
        <f t="shared" si="10"/>
        <v>#REF!</v>
      </c>
      <c r="Z39" s="147" t="e">
        <f t="shared" si="11"/>
        <v>#REF!</v>
      </c>
      <c r="AA39" s="147" t="e">
        <f t="shared" si="12"/>
        <v>#REF!</v>
      </c>
      <c r="AB39" s="147" t="e">
        <f t="shared" si="13"/>
        <v>#REF!</v>
      </c>
      <c r="AC39" s="147" t="e">
        <f t="shared" si="14"/>
        <v>#REF!</v>
      </c>
      <c r="AD39" s="147" t="e">
        <f t="shared" si="15"/>
        <v>#REF!</v>
      </c>
      <c r="AE39" s="147" t="e">
        <f t="shared" si="16"/>
        <v>#REF!</v>
      </c>
      <c r="AF39" s="147" t="e">
        <f t="shared" si="17"/>
        <v>#REF!</v>
      </c>
      <c r="AG39" s="147" t="e">
        <f t="shared" si="18"/>
        <v>#REF!</v>
      </c>
      <c r="AH39" s="148" t="e">
        <f t="shared" si="2"/>
        <v>#REF!</v>
      </c>
    </row>
    <row r="40" spans="1:34" s="136" customFormat="1" x14ac:dyDescent="0.2">
      <c r="A40" s="155" t="s">
        <v>254</v>
      </c>
      <c r="B40" s="149" t="e">
        <f>-#REF!</f>
        <v>#REF!</v>
      </c>
      <c r="C40" s="138"/>
      <c r="D40" s="147" t="e">
        <f t="shared" si="20"/>
        <v>#REF!</v>
      </c>
      <c r="E40" s="147" t="e">
        <f t="shared" si="20"/>
        <v>#REF!</v>
      </c>
      <c r="F40" s="147" t="e">
        <f t="shared" si="20"/>
        <v>#REF!</v>
      </c>
      <c r="G40" s="147" t="e">
        <f t="shared" si="20"/>
        <v>#REF!</v>
      </c>
      <c r="H40" s="147" t="e">
        <f t="shared" si="20"/>
        <v>#REF!</v>
      </c>
      <c r="I40" s="147" t="e">
        <f t="shared" si="20"/>
        <v>#REF!</v>
      </c>
      <c r="J40" s="147" t="e">
        <f t="shared" si="20"/>
        <v>#REF!</v>
      </c>
      <c r="K40" s="147" t="e">
        <f t="shared" si="20"/>
        <v>#REF!</v>
      </c>
      <c r="L40" s="147" t="e">
        <f t="shared" si="20"/>
        <v>#REF!</v>
      </c>
      <c r="M40" s="147" t="e">
        <f t="shared" si="20"/>
        <v>#REF!</v>
      </c>
      <c r="N40" s="147" t="e">
        <f t="shared" si="20"/>
        <v>#REF!</v>
      </c>
      <c r="O40" s="147" t="e">
        <f t="shared" si="20"/>
        <v>#REF!</v>
      </c>
      <c r="P40" s="147" t="e">
        <f t="shared" si="21"/>
        <v>#REF!</v>
      </c>
      <c r="Q40" s="150"/>
      <c r="R40" s="147"/>
      <c r="S40" s="145" t="s">
        <v>255</v>
      </c>
      <c r="T40" s="136" t="str">
        <f t="shared" si="6"/>
        <v>0755</v>
      </c>
      <c r="U40" s="136" t="str">
        <f t="shared" si="0"/>
        <v>6240000755</v>
      </c>
      <c r="V40" s="147" t="e">
        <f t="shared" si="7"/>
        <v>#REF!</v>
      </c>
      <c r="W40" s="147" t="e">
        <f t="shared" si="8"/>
        <v>#REF!</v>
      </c>
      <c r="X40" s="147" t="e">
        <f t="shared" si="9"/>
        <v>#REF!</v>
      </c>
      <c r="Y40" s="147" t="e">
        <f t="shared" si="10"/>
        <v>#REF!</v>
      </c>
      <c r="Z40" s="147" t="e">
        <f t="shared" si="11"/>
        <v>#REF!</v>
      </c>
      <c r="AA40" s="147" t="e">
        <f t="shared" si="12"/>
        <v>#REF!</v>
      </c>
      <c r="AB40" s="147" t="e">
        <f t="shared" si="13"/>
        <v>#REF!</v>
      </c>
      <c r="AC40" s="147" t="e">
        <f t="shared" si="14"/>
        <v>#REF!</v>
      </c>
      <c r="AD40" s="147" t="e">
        <f t="shared" si="15"/>
        <v>#REF!</v>
      </c>
      <c r="AE40" s="147" t="e">
        <f t="shared" si="16"/>
        <v>#REF!</v>
      </c>
      <c r="AF40" s="147" t="e">
        <f t="shared" si="17"/>
        <v>#REF!</v>
      </c>
      <c r="AG40" s="147" t="e">
        <f t="shared" si="18"/>
        <v>#REF!</v>
      </c>
      <c r="AH40" s="148" t="e">
        <f t="shared" si="2"/>
        <v>#REF!</v>
      </c>
    </row>
    <row r="41" spans="1:34" s="136" customFormat="1" x14ac:dyDescent="0.2">
      <c r="A41" s="155" t="s">
        <v>256</v>
      </c>
      <c r="B41" s="149" t="e">
        <f>-#REF!</f>
        <v>#REF!</v>
      </c>
      <c r="C41" s="138"/>
      <c r="D41" s="147" t="e">
        <f t="shared" si="20"/>
        <v>#REF!</v>
      </c>
      <c r="E41" s="147" t="e">
        <f t="shared" si="20"/>
        <v>#REF!</v>
      </c>
      <c r="F41" s="147" t="e">
        <f t="shared" si="20"/>
        <v>#REF!</v>
      </c>
      <c r="G41" s="147" t="e">
        <f t="shared" si="20"/>
        <v>#REF!</v>
      </c>
      <c r="H41" s="147" t="e">
        <f t="shared" si="20"/>
        <v>#REF!</v>
      </c>
      <c r="I41" s="147" t="e">
        <f t="shared" si="20"/>
        <v>#REF!</v>
      </c>
      <c r="J41" s="147" t="e">
        <f t="shared" si="20"/>
        <v>#REF!</v>
      </c>
      <c r="K41" s="147" t="e">
        <f t="shared" si="20"/>
        <v>#REF!</v>
      </c>
      <c r="L41" s="147" t="e">
        <f t="shared" si="20"/>
        <v>#REF!</v>
      </c>
      <c r="M41" s="147" t="e">
        <f t="shared" si="20"/>
        <v>#REF!</v>
      </c>
      <c r="N41" s="147" t="e">
        <f t="shared" si="20"/>
        <v>#REF!</v>
      </c>
      <c r="O41" s="147" t="e">
        <f t="shared" si="20"/>
        <v>#REF!</v>
      </c>
      <c r="P41" s="147" t="e">
        <f t="shared" si="21"/>
        <v>#REF!</v>
      </c>
      <c r="Q41" s="150"/>
      <c r="R41" s="147"/>
      <c r="S41" s="145" t="s">
        <v>257</v>
      </c>
      <c r="T41" s="136" t="str">
        <f t="shared" si="6"/>
        <v>0755</v>
      </c>
      <c r="U41" s="136" t="str">
        <f t="shared" si="0"/>
        <v>4020000755</v>
      </c>
      <c r="V41" s="147" t="e">
        <f t="shared" si="7"/>
        <v>#REF!</v>
      </c>
      <c r="W41" s="147" t="e">
        <f t="shared" si="8"/>
        <v>#REF!</v>
      </c>
      <c r="X41" s="147" t="e">
        <f t="shared" si="9"/>
        <v>#REF!</v>
      </c>
      <c r="Y41" s="147" t="e">
        <f t="shared" si="10"/>
        <v>#REF!</v>
      </c>
      <c r="Z41" s="147" t="e">
        <f t="shared" si="11"/>
        <v>#REF!</v>
      </c>
      <c r="AA41" s="147" t="e">
        <f t="shared" si="12"/>
        <v>#REF!</v>
      </c>
      <c r="AB41" s="147" t="e">
        <f t="shared" si="13"/>
        <v>#REF!</v>
      </c>
      <c r="AC41" s="147" t="e">
        <f t="shared" si="14"/>
        <v>#REF!</v>
      </c>
      <c r="AD41" s="147" t="e">
        <f t="shared" si="15"/>
        <v>#REF!</v>
      </c>
      <c r="AE41" s="147" t="e">
        <f t="shared" si="16"/>
        <v>#REF!</v>
      </c>
      <c r="AF41" s="147" t="e">
        <f t="shared" si="17"/>
        <v>#REF!</v>
      </c>
      <c r="AG41" s="147" t="e">
        <f t="shared" si="18"/>
        <v>#REF!</v>
      </c>
      <c r="AH41" s="148" t="e">
        <f t="shared" si="2"/>
        <v>#REF!</v>
      </c>
    </row>
    <row r="42" spans="1:34" s="136" customFormat="1" x14ac:dyDescent="0.2">
      <c r="A42" s="155" t="s">
        <v>258</v>
      </c>
      <c r="B42" s="149" t="e">
        <f>-#REF!</f>
        <v>#REF!</v>
      </c>
      <c r="C42" s="138"/>
      <c r="D42" s="147" t="e">
        <f t="shared" si="20"/>
        <v>#REF!</v>
      </c>
      <c r="E42" s="147" t="e">
        <f t="shared" si="20"/>
        <v>#REF!</v>
      </c>
      <c r="F42" s="147" t="e">
        <f t="shared" si="20"/>
        <v>#REF!</v>
      </c>
      <c r="G42" s="147" t="e">
        <f t="shared" si="20"/>
        <v>#REF!</v>
      </c>
      <c r="H42" s="147" t="e">
        <f t="shared" si="20"/>
        <v>#REF!</v>
      </c>
      <c r="I42" s="147" t="e">
        <f t="shared" si="20"/>
        <v>#REF!</v>
      </c>
      <c r="J42" s="147" t="e">
        <f t="shared" si="20"/>
        <v>#REF!</v>
      </c>
      <c r="K42" s="147" t="e">
        <f t="shared" si="20"/>
        <v>#REF!</v>
      </c>
      <c r="L42" s="147" t="e">
        <f t="shared" si="20"/>
        <v>#REF!</v>
      </c>
      <c r="M42" s="147" t="e">
        <f t="shared" si="20"/>
        <v>#REF!</v>
      </c>
      <c r="N42" s="147" t="e">
        <f t="shared" si="20"/>
        <v>#REF!</v>
      </c>
      <c r="O42" s="147" t="e">
        <f t="shared" si="20"/>
        <v>#REF!</v>
      </c>
      <c r="P42" s="147" t="e">
        <f t="shared" si="21"/>
        <v>#REF!</v>
      </c>
      <c r="Q42" s="150"/>
      <c r="R42" s="147"/>
      <c r="S42" s="157" t="s">
        <v>259</v>
      </c>
      <c r="T42" s="136" t="str">
        <f t="shared" si="6"/>
        <v>0755</v>
      </c>
      <c r="U42" s="136" t="str">
        <f t="shared" si="0"/>
        <v>4040000755</v>
      </c>
      <c r="V42" s="147" t="e">
        <f t="shared" si="7"/>
        <v>#REF!</v>
      </c>
      <c r="W42" s="147" t="e">
        <f t="shared" si="8"/>
        <v>#REF!</v>
      </c>
      <c r="X42" s="147" t="e">
        <f t="shared" si="9"/>
        <v>#REF!</v>
      </c>
      <c r="Y42" s="147" t="e">
        <f t="shared" si="10"/>
        <v>#REF!</v>
      </c>
      <c r="Z42" s="147" t="e">
        <f t="shared" si="11"/>
        <v>#REF!</v>
      </c>
      <c r="AA42" s="147" t="e">
        <f t="shared" si="12"/>
        <v>#REF!</v>
      </c>
      <c r="AB42" s="147" t="e">
        <f t="shared" si="13"/>
        <v>#REF!</v>
      </c>
      <c r="AC42" s="147" t="e">
        <f t="shared" si="14"/>
        <v>#REF!</v>
      </c>
      <c r="AD42" s="147" t="e">
        <f t="shared" si="15"/>
        <v>#REF!</v>
      </c>
      <c r="AE42" s="147" t="e">
        <f t="shared" si="16"/>
        <v>#REF!</v>
      </c>
      <c r="AF42" s="147" t="e">
        <f t="shared" si="17"/>
        <v>#REF!</v>
      </c>
      <c r="AG42" s="147" t="e">
        <f t="shared" si="18"/>
        <v>#REF!</v>
      </c>
      <c r="AH42" s="148" t="e">
        <f t="shared" ref="AH42:AH73" si="22">SUM(V42:AG42)</f>
        <v>#REF!</v>
      </c>
    </row>
    <row r="43" spans="1:34" s="136" customFormat="1" x14ac:dyDescent="0.2">
      <c r="A43" s="155" t="s">
        <v>260</v>
      </c>
      <c r="B43" s="149" t="e">
        <f>-#REF!</f>
        <v>#REF!</v>
      </c>
      <c r="C43" s="138"/>
      <c r="D43" s="147" t="e">
        <f t="shared" si="20"/>
        <v>#REF!</v>
      </c>
      <c r="E43" s="147" t="e">
        <f t="shared" si="20"/>
        <v>#REF!</v>
      </c>
      <c r="F43" s="147" t="e">
        <f t="shared" si="20"/>
        <v>#REF!</v>
      </c>
      <c r="G43" s="147" t="e">
        <f t="shared" si="20"/>
        <v>#REF!</v>
      </c>
      <c r="H43" s="147" t="e">
        <f t="shared" si="20"/>
        <v>#REF!</v>
      </c>
      <c r="I43" s="147" t="e">
        <f t="shared" si="20"/>
        <v>#REF!</v>
      </c>
      <c r="J43" s="147" t="e">
        <f t="shared" si="20"/>
        <v>#REF!</v>
      </c>
      <c r="K43" s="147" t="e">
        <f t="shared" si="20"/>
        <v>#REF!</v>
      </c>
      <c r="L43" s="147" t="e">
        <f t="shared" si="20"/>
        <v>#REF!</v>
      </c>
      <c r="M43" s="147" t="e">
        <f t="shared" si="20"/>
        <v>#REF!</v>
      </c>
      <c r="N43" s="147" t="e">
        <f t="shared" si="20"/>
        <v>#REF!</v>
      </c>
      <c r="O43" s="147" t="e">
        <f t="shared" si="20"/>
        <v>#REF!</v>
      </c>
      <c r="P43" s="147" t="e">
        <f t="shared" si="21"/>
        <v>#REF!</v>
      </c>
      <c r="Q43" s="150"/>
      <c r="R43" s="147"/>
      <c r="S43" s="145" t="s">
        <v>261</v>
      </c>
      <c r="T43" s="136" t="str">
        <f t="shared" si="6"/>
        <v>0755</v>
      </c>
      <c r="U43" s="136" t="str">
        <f t="shared" si="0"/>
        <v>6400000755</v>
      </c>
      <c r="V43" s="147" t="e">
        <f t="shared" ref="V43:AG43" si="23">D54</f>
        <v>#REF!</v>
      </c>
      <c r="W43" s="147" t="e">
        <f t="shared" si="23"/>
        <v>#REF!</v>
      </c>
      <c r="X43" s="147" t="e">
        <f t="shared" si="23"/>
        <v>#REF!</v>
      </c>
      <c r="Y43" s="147" t="e">
        <f t="shared" si="23"/>
        <v>#REF!</v>
      </c>
      <c r="Z43" s="147" t="e">
        <f t="shared" si="23"/>
        <v>#REF!</v>
      </c>
      <c r="AA43" s="147" t="e">
        <f t="shared" si="23"/>
        <v>#REF!</v>
      </c>
      <c r="AB43" s="147" t="e">
        <f t="shared" si="23"/>
        <v>#REF!</v>
      </c>
      <c r="AC43" s="147" t="e">
        <f t="shared" si="23"/>
        <v>#REF!</v>
      </c>
      <c r="AD43" s="147" t="e">
        <f t="shared" si="23"/>
        <v>#REF!</v>
      </c>
      <c r="AE43" s="147" t="e">
        <f t="shared" si="23"/>
        <v>#REF!</v>
      </c>
      <c r="AF43" s="147" t="e">
        <f t="shared" si="23"/>
        <v>#REF!</v>
      </c>
      <c r="AG43" s="147" t="e">
        <f t="shared" si="23"/>
        <v>#REF!</v>
      </c>
      <c r="AH43" s="148" t="e">
        <f t="shared" si="22"/>
        <v>#REF!</v>
      </c>
    </row>
    <row r="44" spans="1:34" s="136" customFormat="1" x14ac:dyDescent="0.2">
      <c r="A44" s="155" t="s">
        <v>262</v>
      </c>
      <c r="B44" s="149" t="e">
        <f>-#REF!</f>
        <v>#REF!</v>
      </c>
      <c r="C44" s="138"/>
      <c r="D44" s="147" t="e">
        <f t="shared" ref="D44:O50" si="24">($B44/$P$8)*D$8</f>
        <v>#REF!</v>
      </c>
      <c r="E44" s="147" t="e">
        <f t="shared" si="24"/>
        <v>#REF!</v>
      </c>
      <c r="F44" s="147" t="e">
        <f t="shared" si="24"/>
        <v>#REF!</v>
      </c>
      <c r="G44" s="147" t="e">
        <f t="shared" si="24"/>
        <v>#REF!</v>
      </c>
      <c r="H44" s="147" t="e">
        <f t="shared" si="24"/>
        <v>#REF!</v>
      </c>
      <c r="I44" s="147" t="e">
        <f t="shared" si="24"/>
        <v>#REF!</v>
      </c>
      <c r="J44" s="147" t="e">
        <f t="shared" si="24"/>
        <v>#REF!</v>
      </c>
      <c r="K44" s="147" t="e">
        <f t="shared" si="24"/>
        <v>#REF!</v>
      </c>
      <c r="L44" s="147" t="e">
        <f t="shared" si="24"/>
        <v>#REF!</v>
      </c>
      <c r="M44" s="147" t="e">
        <f t="shared" si="24"/>
        <v>#REF!</v>
      </c>
      <c r="N44" s="147" t="e">
        <f t="shared" si="24"/>
        <v>#REF!</v>
      </c>
      <c r="O44" s="147" t="e">
        <f t="shared" si="24"/>
        <v>#REF!</v>
      </c>
      <c r="P44" s="147" t="e">
        <f t="shared" si="21"/>
        <v>#REF!</v>
      </c>
      <c r="Q44" s="150"/>
      <c r="R44" s="147"/>
      <c r="S44" s="145" t="s">
        <v>263</v>
      </c>
      <c r="T44" s="136" t="str">
        <f t="shared" si="6"/>
        <v>0755</v>
      </c>
      <c r="U44" s="136" t="str">
        <f t="shared" si="0"/>
        <v>6410000755</v>
      </c>
      <c r="V44" s="147" t="e">
        <f t="shared" ref="V44:AG48" si="25">D56</f>
        <v>#REF!</v>
      </c>
      <c r="W44" s="147" t="e">
        <f t="shared" si="25"/>
        <v>#REF!</v>
      </c>
      <c r="X44" s="147" t="e">
        <f t="shared" si="25"/>
        <v>#REF!</v>
      </c>
      <c r="Y44" s="147" t="e">
        <f t="shared" si="25"/>
        <v>#REF!</v>
      </c>
      <c r="Z44" s="147" t="e">
        <f t="shared" si="25"/>
        <v>#REF!</v>
      </c>
      <c r="AA44" s="147" t="e">
        <f t="shared" si="25"/>
        <v>#REF!</v>
      </c>
      <c r="AB44" s="147" t="e">
        <f t="shared" si="25"/>
        <v>#REF!</v>
      </c>
      <c r="AC44" s="147" t="e">
        <f t="shared" si="25"/>
        <v>#REF!</v>
      </c>
      <c r="AD44" s="147" t="e">
        <f t="shared" si="25"/>
        <v>#REF!</v>
      </c>
      <c r="AE44" s="147" t="e">
        <f t="shared" si="25"/>
        <v>#REF!</v>
      </c>
      <c r="AF44" s="147" t="e">
        <f t="shared" si="25"/>
        <v>#REF!</v>
      </c>
      <c r="AG44" s="147" t="e">
        <f t="shared" si="25"/>
        <v>#REF!</v>
      </c>
      <c r="AH44" s="148" t="e">
        <f t="shared" si="22"/>
        <v>#REF!</v>
      </c>
    </row>
    <row r="45" spans="1:34" s="136" customFormat="1" x14ac:dyDescent="0.2">
      <c r="A45" s="155" t="s">
        <v>264</v>
      </c>
      <c r="B45" s="149" t="e">
        <f>-#REF!</f>
        <v>#REF!</v>
      </c>
      <c r="C45" s="138"/>
      <c r="D45" s="147" t="e">
        <f t="shared" si="24"/>
        <v>#REF!</v>
      </c>
      <c r="E45" s="147" t="e">
        <f t="shared" si="24"/>
        <v>#REF!</v>
      </c>
      <c r="F45" s="147" t="e">
        <f t="shared" si="24"/>
        <v>#REF!</v>
      </c>
      <c r="G45" s="147" t="e">
        <f t="shared" si="24"/>
        <v>#REF!</v>
      </c>
      <c r="H45" s="147" t="e">
        <f t="shared" si="24"/>
        <v>#REF!</v>
      </c>
      <c r="I45" s="147" t="e">
        <f t="shared" si="24"/>
        <v>#REF!</v>
      </c>
      <c r="J45" s="147" t="e">
        <f t="shared" si="24"/>
        <v>#REF!</v>
      </c>
      <c r="K45" s="147" t="e">
        <f t="shared" si="24"/>
        <v>#REF!</v>
      </c>
      <c r="L45" s="147" t="e">
        <f t="shared" si="24"/>
        <v>#REF!</v>
      </c>
      <c r="M45" s="147" t="e">
        <f t="shared" si="24"/>
        <v>#REF!</v>
      </c>
      <c r="N45" s="147" t="e">
        <f t="shared" si="24"/>
        <v>#REF!</v>
      </c>
      <c r="O45" s="147" t="e">
        <f t="shared" si="24"/>
        <v>#REF!</v>
      </c>
      <c r="P45" s="147" t="e">
        <f t="shared" si="21"/>
        <v>#REF!</v>
      </c>
      <c r="Q45" s="150"/>
      <c r="R45" s="147"/>
      <c r="S45" s="145" t="s">
        <v>265</v>
      </c>
      <c r="T45" s="136" t="str">
        <f t="shared" si="6"/>
        <v>0755</v>
      </c>
      <c r="U45" s="136" t="str">
        <f t="shared" si="0"/>
        <v>6450000755</v>
      </c>
      <c r="V45" s="147" t="e">
        <f t="shared" si="25"/>
        <v>#REF!</v>
      </c>
      <c r="W45" s="147" t="e">
        <f t="shared" si="25"/>
        <v>#REF!</v>
      </c>
      <c r="X45" s="147" t="e">
        <f t="shared" si="25"/>
        <v>#REF!</v>
      </c>
      <c r="Y45" s="147" t="e">
        <f t="shared" si="25"/>
        <v>#REF!</v>
      </c>
      <c r="Z45" s="147" t="e">
        <f t="shared" si="25"/>
        <v>#REF!</v>
      </c>
      <c r="AA45" s="147" t="e">
        <f t="shared" si="25"/>
        <v>#REF!</v>
      </c>
      <c r="AB45" s="147" t="e">
        <f t="shared" si="25"/>
        <v>#REF!</v>
      </c>
      <c r="AC45" s="147" t="e">
        <f t="shared" si="25"/>
        <v>#REF!</v>
      </c>
      <c r="AD45" s="147" t="e">
        <f t="shared" si="25"/>
        <v>#REF!</v>
      </c>
      <c r="AE45" s="147" t="e">
        <f t="shared" si="25"/>
        <v>#REF!</v>
      </c>
      <c r="AF45" s="147" t="e">
        <f t="shared" si="25"/>
        <v>#REF!</v>
      </c>
      <c r="AG45" s="147" t="e">
        <f t="shared" si="25"/>
        <v>#REF!</v>
      </c>
      <c r="AH45" s="148" t="e">
        <f t="shared" si="22"/>
        <v>#REF!</v>
      </c>
    </row>
    <row r="46" spans="1:34" s="136" customFormat="1" x14ac:dyDescent="0.2">
      <c r="A46" s="155" t="s">
        <v>266</v>
      </c>
      <c r="B46" s="149" t="e">
        <f>-#REF!</f>
        <v>#REF!</v>
      </c>
      <c r="C46" s="138"/>
      <c r="D46" s="147" t="e">
        <f t="shared" si="24"/>
        <v>#REF!</v>
      </c>
      <c r="E46" s="147" t="e">
        <f t="shared" si="24"/>
        <v>#REF!</v>
      </c>
      <c r="F46" s="147" t="e">
        <f t="shared" si="24"/>
        <v>#REF!</v>
      </c>
      <c r="G46" s="147" t="e">
        <f t="shared" si="24"/>
        <v>#REF!</v>
      </c>
      <c r="H46" s="147" t="e">
        <f t="shared" si="24"/>
        <v>#REF!</v>
      </c>
      <c r="I46" s="147" t="e">
        <f t="shared" si="24"/>
        <v>#REF!</v>
      </c>
      <c r="J46" s="147" t="e">
        <f t="shared" si="24"/>
        <v>#REF!</v>
      </c>
      <c r="K46" s="147" t="e">
        <f t="shared" si="24"/>
        <v>#REF!</v>
      </c>
      <c r="L46" s="147" t="e">
        <f t="shared" si="24"/>
        <v>#REF!</v>
      </c>
      <c r="M46" s="147" t="e">
        <f t="shared" si="24"/>
        <v>#REF!</v>
      </c>
      <c r="N46" s="147" t="e">
        <f t="shared" si="24"/>
        <v>#REF!</v>
      </c>
      <c r="O46" s="147" t="e">
        <f t="shared" si="24"/>
        <v>#REF!</v>
      </c>
      <c r="P46" s="147" t="e">
        <f t="shared" si="21"/>
        <v>#REF!</v>
      </c>
      <c r="Q46" s="150"/>
      <c r="R46" s="147"/>
      <c r="S46" s="145" t="s">
        <v>267</v>
      </c>
      <c r="T46" s="136" t="str">
        <f t="shared" si="6"/>
        <v>0755</v>
      </c>
      <c r="U46" s="136" t="str">
        <f t="shared" si="0"/>
        <v>6460000755</v>
      </c>
      <c r="V46" s="147" t="e">
        <f t="shared" si="25"/>
        <v>#REF!</v>
      </c>
      <c r="W46" s="147" t="e">
        <f t="shared" si="25"/>
        <v>#REF!</v>
      </c>
      <c r="X46" s="147" t="e">
        <f t="shared" si="25"/>
        <v>#REF!</v>
      </c>
      <c r="Y46" s="147" t="e">
        <f t="shared" si="25"/>
        <v>#REF!</v>
      </c>
      <c r="Z46" s="147" t="e">
        <f t="shared" si="25"/>
        <v>#REF!</v>
      </c>
      <c r="AA46" s="147" t="e">
        <f t="shared" si="25"/>
        <v>#REF!</v>
      </c>
      <c r="AB46" s="147" t="e">
        <f t="shared" si="25"/>
        <v>#REF!</v>
      </c>
      <c r="AC46" s="147" t="e">
        <f t="shared" si="25"/>
        <v>#REF!</v>
      </c>
      <c r="AD46" s="147" t="e">
        <f t="shared" si="25"/>
        <v>#REF!</v>
      </c>
      <c r="AE46" s="147" t="e">
        <f t="shared" si="25"/>
        <v>#REF!</v>
      </c>
      <c r="AF46" s="147" t="e">
        <f t="shared" si="25"/>
        <v>#REF!</v>
      </c>
      <c r="AG46" s="147" t="e">
        <f t="shared" si="25"/>
        <v>#REF!</v>
      </c>
      <c r="AH46" s="148" t="e">
        <f t="shared" si="22"/>
        <v>#REF!</v>
      </c>
    </row>
    <row r="47" spans="1:34" s="136" customFormat="1" x14ac:dyDescent="0.2">
      <c r="A47" s="155" t="s">
        <v>268</v>
      </c>
      <c r="B47" s="149" t="e">
        <f>-#REF!</f>
        <v>#REF!</v>
      </c>
      <c r="C47" s="138"/>
      <c r="D47" s="147" t="e">
        <f t="shared" si="24"/>
        <v>#REF!</v>
      </c>
      <c r="E47" s="147" t="e">
        <f t="shared" si="24"/>
        <v>#REF!</v>
      </c>
      <c r="F47" s="147" t="e">
        <f t="shared" si="24"/>
        <v>#REF!</v>
      </c>
      <c r="G47" s="147" t="e">
        <f t="shared" si="24"/>
        <v>#REF!</v>
      </c>
      <c r="H47" s="147" t="e">
        <f t="shared" si="24"/>
        <v>#REF!</v>
      </c>
      <c r="I47" s="147" t="e">
        <f t="shared" si="24"/>
        <v>#REF!</v>
      </c>
      <c r="J47" s="147" t="e">
        <f t="shared" si="24"/>
        <v>#REF!</v>
      </c>
      <c r="K47" s="147" t="e">
        <f t="shared" si="24"/>
        <v>#REF!</v>
      </c>
      <c r="L47" s="147" t="e">
        <f t="shared" si="24"/>
        <v>#REF!</v>
      </c>
      <c r="M47" s="147" t="e">
        <f t="shared" si="24"/>
        <v>#REF!</v>
      </c>
      <c r="N47" s="147" t="e">
        <f t="shared" si="24"/>
        <v>#REF!</v>
      </c>
      <c r="O47" s="147" t="e">
        <f t="shared" si="24"/>
        <v>#REF!</v>
      </c>
      <c r="P47" s="147" t="e">
        <f t="shared" si="21"/>
        <v>#REF!</v>
      </c>
      <c r="Q47" s="150"/>
      <c r="R47" s="147"/>
      <c r="S47" s="145" t="s">
        <v>269</v>
      </c>
      <c r="T47" s="136" t="str">
        <f t="shared" si="6"/>
        <v>0755</v>
      </c>
      <c r="U47" s="136" t="str">
        <f t="shared" si="0"/>
        <v>6910000755</v>
      </c>
      <c r="V47" s="147" t="e">
        <f t="shared" si="25"/>
        <v>#REF!</v>
      </c>
      <c r="W47" s="147" t="e">
        <f t="shared" si="25"/>
        <v>#REF!</v>
      </c>
      <c r="X47" s="147" t="e">
        <f t="shared" si="25"/>
        <v>#REF!</v>
      </c>
      <c r="Y47" s="147" t="e">
        <f t="shared" si="25"/>
        <v>#REF!</v>
      </c>
      <c r="Z47" s="147" t="e">
        <f t="shared" si="25"/>
        <v>#REF!</v>
      </c>
      <c r="AA47" s="147" t="e">
        <f t="shared" si="25"/>
        <v>#REF!</v>
      </c>
      <c r="AB47" s="147" t="e">
        <f t="shared" si="25"/>
        <v>#REF!</v>
      </c>
      <c r="AC47" s="147" t="e">
        <f t="shared" si="25"/>
        <v>#REF!</v>
      </c>
      <c r="AD47" s="147" t="e">
        <f t="shared" si="25"/>
        <v>#REF!</v>
      </c>
      <c r="AE47" s="147" t="e">
        <f t="shared" si="25"/>
        <v>#REF!</v>
      </c>
      <c r="AF47" s="147" t="e">
        <f t="shared" si="25"/>
        <v>#REF!</v>
      </c>
      <c r="AG47" s="147" t="e">
        <f t="shared" si="25"/>
        <v>#REF!</v>
      </c>
      <c r="AH47" s="148" t="e">
        <f t="shared" si="22"/>
        <v>#REF!</v>
      </c>
    </row>
    <row r="48" spans="1:34" s="136" customFormat="1" x14ac:dyDescent="0.2">
      <c r="A48" s="155" t="s">
        <v>270</v>
      </c>
      <c r="B48" s="149" t="e">
        <f>-#REF!</f>
        <v>#REF!</v>
      </c>
      <c r="C48" s="138"/>
      <c r="D48" s="147" t="e">
        <f t="shared" si="24"/>
        <v>#REF!</v>
      </c>
      <c r="E48" s="147" t="e">
        <f t="shared" si="24"/>
        <v>#REF!</v>
      </c>
      <c r="F48" s="147" t="e">
        <f t="shared" si="24"/>
        <v>#REF!</v>
      </c>
      <c r="G48" s="147" t="e">
        <f t="shared" si="24"/>
        <v>#REF!</v>
      </c>
      <c r="H48" s="147" t="e">
        <f t="shared" si="24"/>
        <v>#REF!</v>
      </c>
      <c r="I48" s="147" t="e">
        <f t="shared" si="24"/>
        <v>#REF!</v>
      </c>
      <c r="J48" s="147" t="e">
        <f t="shared" si="24"/>
        <v>#REF!</v>
      </c>
      <c r="K48" s="147" t="e">
        <f t="shared" si="24"/>
        <v>#REF!</v>
      </c>
      <c r="L48" s="147" t="e">
        <f t="shared" si="24"/>
        <v>#REF!</v>
      </c>
      <c r="M48" s="147" t="e">
        <f t="shared" si="24"/>
        <v>#REF!</v>
      </c>
      <c r="N48" s="147" t="e">
        <f t="shared" si="24"/>
        <v>#REF!</v>
      </c>
      <c r="O48" s="147" t="e">
        <f t="shared" si="24"/>
        <v>#REF!</v>
      </c>
      <c r="P48" s="147" t="e">
        <f t="shared" si="21"/>
        <v>#REF!</v>
      </c>
      <c r="Q48" s="150"/>
      <c r="R48" s="147"/>
      <c r="S48" s="145" t="s">
        <v>271</v>
      </c>
      <c r="T48" s="136" t="str">
        <f t="shared" si="6"/>
        <v>0755</v>
      </c>
      <c r="U48" s="136" t="str">
        <f t="shared" si="0"/>
        <v>6440000755</v>
      </c>
      <c r="V48" s="147" t="e">
        <f t="shared" si="25"/>
        <v>#REF!</v>
      </c>
      <c r="W48" s="147" t="e">
        <f t="shared" si="25"/>
        <v>#REF!</v>
      </c>
      <c r="X48" s="147" t="e">
        <f t="shared" si="25"/>
        <v>#REF!</v>
      </c>
      <c r="Y48" s="147" t="e">
        <f t="shared" si="25"/>
        <v>#REF!</v>
      </c>
      <c r="Z48" s="147" t="e">
        <f t="shared" si="25"/>
        <v>#REF!</v>
      </c>
      <c r="AA48" s="147" t="e">
        <f t="shared" si="25"/>
        <v>#REF!</v>
      </c>
      <c r="AB48" s="147" t="e">
        <f t="shared" si="25"/>
        <v>#REF!</v>
      </c>
      <c r="AC48" s="147" t="e">
        <f t="shared" si="25"/>
        <v>#REF!</v>
      </c>
      <c r="AD48" s="147" t="e">
        <f t="shared" si="25"/>
        <v>#REF!</v>
      </c>
      <c r="AE48" s="147" t="e">
        <f t="shared" si="25"/>
        <v>#REF!</v>
      </c>
      <c r="AF48" s="147" t="e">
        <f t="shared" si="25"/>
        <v>#REF!</v>
      </c>
      <c r="AG48" s="147" t="e">
        <f t="shared" si="25"/>
        <v>#REF!</v>
      </c>
      <c r="AH48" s="148" t="e">
        <f t="shared" si="22"/>
        <v>#REF!</v>
      </c>
    </row>
    <row r="49" spans="1:38" s="158" customFormat="1" x14ac:dyDescent="0.2">
      <c r="A49" s="155" t="s">
        <v>272</v>
      </c>
      <c r="B49" s="149" t="e">
        <f>-#REF!</f>
        <v>#REF!</v>
      </c>
      <c r="C49" s="138"/>
      <c r="D49" s="147" t="e">
        <f t="shared" si="24"/>
        <v>#REF!</v>
      </c>
      <c r="E49" s="147" t="e">
        <f t="shared" si="24"/>
        <v>#REF!</v>
      </c>
      <c r="F49" s="147" t="e">
        <f t="shared" si="24"/>
        <v>#REF!</v>
      </c>
      <c r="G49" s="147" t="e">
        <f t="shared" si="24"/>
        <v>#REF!</v>
      </c>
      <c r="H49" s="147" t="e">
        <f t="shared" si="24"/>
        <v>#REF!</v>
      </c>
      <c r="I49" s="147" t="e">
        <f t="shared" si="24"/>
        <v>#REF!</v>
      </c>
      <c r="J49" s="147" t="e">
        <f t="shared" si="24"/>
        <v>#REF!</v>
      </c>
      <c r="K49" s="147" t="e">
        <f t="shared" si="24"/>
        <v>#REF!</v>
      </c>
      <c r="L49" s="147" t="e">
        <f t="shared" si="24"/>
        <v>#REF!</v>
      </c>
      <c r="M49" s="147" t="e">
        <f t="shared" si="24"/>
        <v>#REF!</v>
      </c>
      <c r="N49" s="147" t="e">
        <f t="shared" si="24"/>
        <v>#REF!</v>
      </c>
      <c r="O49" s="147" t="e">
        <f t="shared" si="24"/>
        <v>#REF!</v>
      </c>
      <c r="P49" s="147" t="e">
        <f t="shared" si="21"/>
        <v>#REF!</v>
      </c>
      <c r="Q49" s="150"/>
      <c r="R49" s="147"/>
      <c r="S49" s="145" t="s">
        <v>273</v>
      </c>
      <c r="T49" s="136" t="str">
        <f t="shared" si="6"/>
        <v>0755</v>
      </c>
      <c r="U49" s="136" t="str">
        <f t="shared" si="0"/>
        <v>6920000755</v>
      </c>
      <c r="V49" s="147" t="e">
        <f t="shared" ref="V49:AG51" si="26">D70</f>
        <v>#REF!</v>
      </c>
      <c r="W49" s="147" t="e">
        <f t="shared" si="26"/>
        <v>#REF!</v>
      </c>
      <c r="X49" s="147" t="e">
        <f t="shared" si="26"/>
        <v>#REF!</v>
      </c>
      <c r="Y49" s="147" t="e">
        <f t="shared" si="26"/>
        <v>#REF!</v>
      </c>
      <c r="Z49" s="147" t="e">
        <f t="shared" si="26"/>
        <v>#REF!</v>
      </c>
      <c r="AA49" s="147" t="e">
        <f t="shared" si="26"/>
        <v>#REF!</v>
      </c>
      <c r="AB49" s="147" t="e">
        <f t="shared" si="26"/>
        <v>#REF!</v>
      </c>
      <c r="AC49" s="147" t="e">
        <f t="shared" si="26"/>
        <v>#REF!</v>
      </c>
      <c r="AD49" s="147" t="e">
        <f t="shared" si="26"/>
        <v>#REF!</v>
      </c>
      <c r="AE49" s="147" t="e">
        <f t="shared" si="26"/>
        <v>#REF!</v>
      </c>
      <c r="AF49" s="147" t="e">
        <f t="shared" si="26"/>
        <v>#REF!</v>
      </c>
      <c r="AG49" s="147" t="e">
        <f t="shared" si="26"/>
        <v>#REF!</v>
      </c>
      <c r="AH49" s="148" t="e">
        <f t="shared" si="22"/>
        <v>#REF!</v>
      </c>
      <c r="AI49" s="136"/>
      <c r="AJ49" s="136"/>
      <c r="AK49" s="136"/>
      <c r="AL49" s="136"/>
    </row>
    <row r="50" spans="1:38" s="158" customFormat="1" x14ac:dyDescent="0.2">
      <c r="A50" s="159" t="s">
        <v>274</v>
      </c>
      <c r="B50" s="149" t="e">
        <f>-#REF!</f>
        <v>#REF!</v>
      </c>
      <c r="C50" s="138"/>
      <c r="D50" s="147" t="e">
        <f t="shared" si="24"/>
        <v>#REF!</v>
      </c>
      <c r="E50" s="147" t="e">
        <f t="shared" si="24"/>
        <v>#REF!</v>
      </c>
      <c r="F50" s="147" t="e">
        <f t="shared" si="24"/>
        <v>#REF!</v>
      </c>
      <c r="G50" s="147" t="e">
        <f t="shared" si="24"/>
        <v>#REF!</v>
      </c>
      <c r="H50" s="147" t="e">
        <f t="shared" si="24"/>
        <v>#REF!</v>
      </c>
      <c r="I50" s="147" t="e">
        <f t="shared" si="24"/>
        <v>#REF!</v>
      </c>
      <c r="J50" s="147" t="e">
        <f t="shared" si="24"/>
        <v>#REF!</v>
      </c>
      <c r="K50" s="147" t="e">
        <f t="shared" si="24"/>
        <v>#REF!</v>
      </c>
      <c r="L50" s="147" t="e">
        <f t="shared" si="24"/>
        <v>#REF!</v>
      </c>
      <c r="M50" s="147" t="e">
        <f t="shared" si="24"/>
        <v>#REF!</v>
      </c>
      <c r="N50" s="147" t="e">
        <f t="shared" si="24"/>
        <v>#REF!</v>
      </c>
      <c r="O50" s="147" t="e">
        <f t="shared" si="24"/>
        <v>#REF!</v>
      </c>
      <c r="P50" s="147" t="e">
        <f t="shared" si="21"/>
        <v>#REF!</v>
      </c>
      <c r="Q50" s="160"/>
      <c r="R50" s="147"/>
      <c r="S50" s="145" t="s">
        <v>275</v>
      </c>
      <c r="T50" s="136" t="str">
        <f t="shared" si="6"/>
        <v>0755</v>
      </c>
      <c r="U50" s="136" t="str">
        <f t="shared" si="0"/>
        <v>6950000755</v>
      </c>
      <c r="V50" s="147" t="e">
        <f t="shared" si="26"/>
        <v>#REF!</v>
      </c>
      <c r="W50" s="147" t="e">
        <f t="shared" si="26"/>
        <v>#REF!</v>
      </c>
      <c r="X50" s="147" t="e">
        <f t="shared" si="26"/>
        <v>#REF!</v>
      </c>
      <c r="Y50" s="147" t="e">
        <f t="shared" si="26"/>
        <v>#REF!</v>
      </c>
      <c r="Z50" s="147" t="e">
        <f t="shared" si="26"/>
        <v>#REF!</v>
      </c>
      <c r="AA50" s="147" t="e">
        <f t="shared" si="26"/>
        <v>#REF!</v>
      </c>
      <c r="AB50" s="147" t="e">
        <f t="shared" si="26"/>
        <v>#REF!</v>
      </c>
      <c r="AC50" s="147" t="e">
        <f t="shared" si="26"/>
        <v>#REF!</v>
      </c>
      <c r="AD50" s="147" t="e">
        <f t="shared" si="26"/>
        <v>#REF!</v>
      </c>
      <c r="AE50" s="147" t="e">
        <f t="shared" si="26"/>
        <v>#REF!</v>
      </c>
      <c r="AF50" s="147" t="e">
        <f t="shared" si="26"/>
        <v>#REF!</v>
      </c>
      <c r="AG50" s="147" t="e">
        <f t="shared" si="26"/>
        <v>#REF!</v>
      </c>
      <c r="AH50" s="148" t="e">
        <f t="shared" si="22"/>
        <v>#REF!</v>
      </c>
      <c r="AI50" s="136"/>
      <c r="AJ50" s="136"/>
      <c r="AK50" s="136"/>
      <c r="AL50" s="136"/>
    </row>
    <row r="51" spans="1:38" s="136" customFormat="1" x14ac:dyDescent="0.2">
      <c r="A51" s="158"/>
      <c r="B51" s="161"/>
      <c r="C51" s="138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3"/>
      <c r="Q51" s="160"/>
      <c r="R51" s="163"/>
      <c r="S51" s="145" t="s">
        <v>276</v>
      </c>
      <c r="T51" s="136" t="str">
        <f t="shared" si="6"/>
        <v>0755</v>
      </c>
      <c r="U51" s="136" t="str">
        <f t="shared" si="0"/>
        <v>6940000755</v>
      </c>
      <c r="V51" s="147" t="e">
        <f t="shared" si="26"/>
        <v>#REF!</v>
      </c>
      <c r="W51" s="147" t="e">
        <f t="shared" si="26"/>
        <v>#REF!</v>
      </c>
      <c r="X51" s="147" t="e">
        <f t="shared" si="26"/>
        <v>#REF!</v>
      </c>
      <c r="Y51" s="147" t="e">
        <f t="shared" si="26"/>
        <v>#REF!</v>
      </c>
      <c r="Z51" s="147" t="e">
        <f t="shared" si="26"/>
        <v>#REF!</v>
      </c>
      <c r="AA51" s="147" t="e">
        <f t="shared" si="26"/>
        <v>#REF!</v>
      </c>
      <c r="AB51" s="147" t="e">
        <f t="shared" si="26"/>
        <v>#REF!</v>
      </c>
      <c r="AC51" s="147" t="e">
        <f t="shared" si="26"/>
        <v>#REF!</v>
      </c>
      <c r="AD51" s="147" t="e">
        <f t="shared" si="26"/>
        <v>#REF!</v>
      </c>
      <c r="AE51" s="147" t="e">
        <f t="shared" si="26"/>
        <v>#REF!</v>
      </c>
      <c r="AF51" s="147" t="e">
        <f t="shared" si="26"/>
        <v>#REF!</v>
      </c>
      <c r="AG51" s="147" t="e">
        <f t="shared" si="26"/>
        <v>#REF!</v>
      </c>
      <c r="AH51" s="148" t="e">
        <f t="shared" si="22"/>
        <v>#REF!</v>
      </c>
      <c r="AI51" s="158"/>
      <c r="AJ51" s="158"/>
      <c r="AK51" s="158"/>
      <c r="AL51" s="158"/>
    </row>
    <row r="52" spans="1:38" s="136" customFormat="1" x14ac:dyDescent="0.2">
      <c r="A52" s="155" t="s">
        <v>277</v>
      </c>
      <c r="B52" s="149" t="e">
        <f>SUM(B28:B51)</f>
        <v>#REF!</v>
      </c>
      <c r="C52" s="138"/>
      <c r="D52" s="164" t="e">
        <f t="shared" ref="D52:P52" si="27">SUM(D28:D51)</f>
        <v>#REF!</v>
      </c>
      <c r="E52" s="164" t="e">
        <f t="shared" si="27"/>
        <v>#REF!</v>
      </c>
      <c r="F52" s="164" t="e">
        <f t="shared" si="27"/>
        <v>#REF!</v>
      </c>
      <c r="G52" s="164" t="e">
        <f t="shared" si="27"/>
        <v>#REF!</v>
      </c>
      <c r="H52" s="164" t="e">
        <f t="shared" si="27"/>
        <v>#REF!</v>
      </c>
      <c r="I52" s="164" t="e">
        <f t="shared" si="27"/>
        <v>#REF!</v>
      </c>
      <c r="J52" s="164" t="e">
        <f t="shared" si="27"/>
        <v>#REF!</v>
      </c>
      <c r="K52" s="164" t="e">
        <f t="shared" si="27"/>
        <v>#REF!</v>
      </c>
      <c r="L52" s="164" t="e">
        <f t="shared" si="27"/>
        <v>#REF!</v>
      </c>
      <c r="M52" s="164" t="e">
        <f t="shared" si="27"/>
        <v>#REF!</v>
      </c>
      <c r="N52" s="164" t="e">
        <f t="shared" si="27"/>
        <v>#REF!</v>
      </c>
      <c r="O52" s="164" t="e">
        <f t="shared" si="27"/>
        <v>#REF!</v>
      </c>
      <c r="P52" s="164" t="e">
        <f t="shared" si="27"/>
        <v>#REF!</v>
      </c>
      <c r="Q52" s="150"/>
      <c r="R52" s="147"/>
      <c r="S52" s="145" t="s">
        <v>278</v>
      </c>
      <c r="T52" s="136" t="str">
        <f t="shared" si="6"/>
        <v>0755</v>
      </c>
      <c r="U52" s="136" t="str">
        <f t="shared" si="0"/>
        <v>6840000755</v>
      </c>
      <c r="V52" s="147" t="e">
        <f t="shared" ref="V52:AG53" si="28">D78</f>
        <v>#REF!</v>
      </c>
      <c r="W52" s="147" t="e">
        <f t="shared" si="28"/>
        <v>#REF!</v>
      </c>
      <c r="X52" s="147" t="e">
        <f t="shared" si="28"/>
        <v>#REF!</v>
      </c>
      <c r="Y52" s="147" t="e">
        <f t="shared" si="28"/>
        <v>#REF!</v>
      </c>
      <c r="Z52" s="147" t="e">
        <f t="shared" si="28"/>
        <v>#REF!</v>
      </c>
      <c r="AA52" s="147" t="e">
        <f t="shared" si="28"/>
        <v>#REF!</v>
      </c>
      <c r="AB52" s="147" t="e">
        <f t="shared" si="28"/>
        <v>#REF!</v>
      </c>
      <c r="AC52" s="147" t="e">
        <f t="shared" si="28"/>
        <v>#REF!</v>
      </c>
      <c r="AD52" s="147" t="e">
        <f t="shared" si="28"/>
        <v>#REF!</v>
      </c>
      <c r="AE52" s="147" t="e">
        <f t="shared" si="28"/>
        <v>#REF!</v>
      </c>
      <c r="AF52" s="147" t="e">
        <f t="shared" si="28"/>
        <v>#REF!</v>
      </c>
      <c r="AG52" s="147" t="e">
        <f t="shared" si="28"/>
        <v>#REF!</v>
      </c>
      <c r="AH52" s="148" t="e">
        <f t="shared" si="22"/>
        <v>#REF!</v>
      </c>
      <c r="AI52" s="158"/>
      <c r="AJ52" s="158"/>
      <c r="AK52" s="158"/>
      <c r="AL52" s="158"/>
    </row>
    <row r="53" spans="1:38" s="136" customFormat="1" x14ac:dyDescent="0.2">
      <c r="B53" s="149"/>
      <c r="C53" s="13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50"/>
      <c r="R53" s="147"/>
      <c r="S53" s="145" t="s">
        <v>279</v>
      </c>
      <c r="T53" s="136" t="str">
        <f t="shared" si="6"/>
        <v>0755</v>
      </c>
      <c r="U53" s="136" t="str">
        <f t="shared" si="0"/>
        <v>6850000755</v>
      </c>
      <c r="V53" s="147" t="e">
        <f t="shared" si="28"/>
        <v>#REF!</v>
      </c>
      <c r="W53" s="147" t="e">
        <f t="shared" si="28"/>
        <v>#REF!</v>
      </c>
      <c r="X53" s="147" t="e">
        <f t="shared" si="28"/>
        <v>#REF!</v>
      </c>
      <c r="Y53" s="147" t="e">
        <f t="shared" si="28"/>
        <v>#REF!</v>
      </c>
      <c r="Z53" s="147" t="e">
        <f t="shared" si="28"/>
        <v>#REF!</v>
      </c>
      <c r="AA53" s="147" t="e">
        <f t="shared" si="28"/>
        <v>#REF!</v>
      </c>
      <c r="AB53" s="147" t="e">
        <f t="shared" si="28"/>
        <v>#REF!</v>
      </c>
      <c r="AC53" s="147" t="e">
        <f t="shared" si="28"/>
        <v>#REF!</v>
      </c>
      <c r="AD53" s="147" t="e">
        <f t="shared" si="28"/>
        <v>#REF!</v>
      </c>
      <c r="AE53" s="147" t="e">
        <f t="shared" si="28"/>
        <v>#REF!</v>
      </c>
      <c r="AF53" s="147" t="e">
        <f t="shared" si="28"/>
        <v>#REF!</v>
      </c>
      <c r="AG53" s="147" t="e">
        <f t="shared" si="28"/>
        <v>#REF!</v>
      </c>
      <c r="AH53" s="148" t="e">
        <f t="shared" si="22"/>
        <v>#REF!</v>
      </c>
    </row>
    <row r="54" spans="1:38" s="136" customFormat="1" x14ac:dyDescent="0.2">
      <c r="A54" s="155" t="s">
        <v>280</v>
      </c>
      <c r="B54" s="149"/>
      <c r="C54" s="138"/>
      <c r="D54" s="147" t="e">
        <f t="shared" ref="D54:O54" si="29">($B54*12)*(D$8/$P$8)</f>
        <v>#REF!</v>
      </c>
      <c r="E54" s="147" t="e">
        <f t="shared" si="29"/>
        <v>#REF!</v>
      </c>
      <c r="F54" s="147" t="e">
        <f t="shared" si="29"/>
        <v>#REF!</v>
      </c>
      <c r="G54" s="147" t="e">
        <f t="shared" si="29"/>
        <v>#REF!</v>
      </c>
      <c r="H54" s="147" t="e">
        <f t="shared" si="29"/>
        <v>#REF!</v>
      </c>
      <c r="I54" s="147" t="e">
        <f t="shared" si="29"/>
        <v>#REF!</v>
      </c>
      <c r="J54" s="147" t="e">
        <f t="shared" si="29"/>
        <v>#REF!</v>
      </c>
      <c r="K54" s="147" t="e">
        <f t="shared" si="29"/>
        <v>#REF!</v>
      </c>
      <c r="L54" s="147" t="e">
        <f t="shared" si="29"/>
        <v>#REF!</v>
      </c>
      <c r="M54" s="147" t="e">
        <f t="shared" si="29"/>
        <v>#REF!</v>
      </c>
      <c r="N54" s="147" t="e">
        <f t="shared" si="29"/>
        <v>#REF!</v>
      </c>
      <c r="O54" s="147" t="e">
        <f t="shared" si="29"/>
        <v>#REF!</v>
      </c>
      <c r="P54" s="147" t="e">
        <f>SUM(D54:O54)</f>
        <v>#REF!</v>
      </c>
      <c r="Q54" s="150"/>
      <c r="R54" s="147"/>
      <c r="S54" s="145" t="s">
        <v>281</v>
      </c>
      <c r="T54" s="136" t="str">
        <f t="shared" si="6"/>
        <v>0755</v>
      </c>
      <c r="U54" s="136" t="str">
        <f t="shared" si="0"/>
        <v>6860000755</v>
      </c>
      <c r="V54" s="147" t="e">
        <f t="shared" ref="V54:AG58" si="30">D81</f>
        <v>#REF!</v>
      </c>
      <c r="W54" s="147" t="e">
        <f t="shared" si="30"/>
        <v>#REF!</v>
      </c>
      <c r="X54" s="147" t="e">
        <f t="shared" si="30"/>
        <v>#REF!</v>
      </c>
      <c r="Y54" s="147" t="e">
        <f t="shared" si="30"/>
        <v>#REF!</v>
      </c>
      <c r="Z54" s="147" t="e">
        <f t="shared" si="30"/>
        <v>#REF!</v>
      </c>
      <c r="AA54" s="147" t="e">
        <f t="shared" si="30"/>
        <v>#REF!</v>
      </c>
      <c r="AB54" s="147" t="e">
        <f t="shared" si="30"/>
        <v>#REF!</v>
      </c>
      <c r="AC54" s="147" t="e">
        <f t="shared" si="30"/>
        <v>#REF!</v>
      </c>
      <c r="AD54" s="147" t="e">
        <f t="shared" si="30"/>
        <v>#REF!</v>
      </c>
      <c r="AE54" s="147" t="e">
        <f t="shared" si="30"/>
        <v>#REF!</v>
      </c>
      <c r="AF54" s="147" t="e">
        <f t="shared" si="30"/>
        <v>#REF!</v>
      </c>
      <c r="AG54" s="147" t="e">
        <f t="shared" si="30"/>
        <v>#REF!</v>
      </c>
      <c r="AH54" s="148" t="e">
        <f t="shared" si="22"/>
        <v>#REF!</v>
      </c>
    </row>
    <row r="55" spans="1:38" s="136" customFormat="1" x14ac:dyDescent="0.2">
      <c r="B55" s="149"/>
      <c r="C55" s="13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50"/>
      <c r="R55" s="147"/>
      <c r="S55" s="145" t="s">
        <v>282</v>
      </c>
      <c r="T55" s="136" t="str">
        <f t="shared" si="6"/>
        <v>0755</v>
      </c>
      <c r="U55" s="136" t="str">
        <f t="shared" si="0"/>
        <v>6870000755</v>
      </c>
      <c r="V55" s="147" t="e">
        <f t="shared" si="30"/>
        <v>#REF!</v>
      </c>
      <c r="W55" s="147" t="e">
        <f t="shared" si="30"/>
        <v>#REF!</v>
      </c>
      <c r="X55" s="147" t="e">
        <f t="shared" si="30"/>
        <v>#REF!</v>
      </c>
      <c r="Y55" s="147" t="e">
        <f t="shared" si="30"/>
        <v>#REF!</v>
      </c>
      <c r="Z55" s="147" t="e">
        <f t="shared" si="30"/>
        <v>#REF!</v>
      </c>
      <c r="AA55" s="147" t="e">
        <f t="shared" si="30"/>
        <v>#REF!</v>
      </c>
      <c r="AB55" s="147" t="e">
        <f t="shared" si="30"/>
        <v>#REF!</v>
      </c>
      <c r="AC55" s="147" t="e">
        <f t="shared" si="30"/>
        <v>#REF!</v>
      </c>
      <c r="AD55" s="147" t="e">
        <f t="shared" si="30"/>
        <v>#REF!</v>
      </c>
      <c r="AE55" s="147" t="e">
        <f t="shared" si="30"/>
        <v>#REF!</v>
      </c>
      <c r="AF55" s="147" t="e">
        <f t="shared" si="30"/>
        <v>#REF!</v>
      </c>
      <c r="AG55" s="147" t="e">
        <f t="shared" si="30"/>
        <v>#REF!</v>
      </c>
      <c r="AH55" s="148" t="e">
        <f t="shared" si="22"/>
        <v>#REF!</v>
      </c>
    </row>
    <row r="56" spans="1:38" s="136" customFormat="1" x14ac:dyDescent="0.2">
      <c r="A56" s="155" t="s">
        <v>283</v>
      </c>
      <c r="B56" s="149" t="e">
        <f>-#REF!</f>
        <v>#REF!</v>
      </c>
      <c r="C56" s="138"/>
      <c r="D56" s="165" t="e">
        <f>-#REF!</f>
        <v>#REF!</v>
      </c>
      <c r="E56" s="165" t="e">
        <f>-#REF!</f>
        <v>#REF!</v>
      </c>
      <c r="F56" s="165" t="e">
        <f>-#REF!</f>
        <v>#REF!</v>
      </c>
      <c r="G56" s="165" t="e">
        <f>-#REF!</f>
        <v>#REF!</v>
      </c>
      <c r="H56" s="165" t="e">
        <f>-#REF!</f>
        <v>#REF!</v>
      </c>
      <c r="I56" s="165" t="e">
        <f>-#REF!</f>
        <v>#REF!</v>
      </c>
      <c r="J56" s="165" t="e">
        <f>-#REF!</f>
        <v>#REF!</v>
      </c>
      <c r="K56" s="165" t="e">
        <f>-#REF!</f>
        <v>#REF!</v>
      </c>
      <c r="L56" s="165" t="e">
        <f>-#REF!</f>
        <v>#REF!</v>
      </c>
      <c r="M56" s="165" t="e">
        <f>-#REF!</f>
        <v>#REF!</v>
      </c>
      <c r="N56" s="165" t="e">
        <f>-#REF!</f>
        <v>#REF!</v>
      </c>
      <c r="O56" s="165" t="e">
        <f>-#REF!</f>
        <v>#REF!</v>
      </c>
      <c r="P56" s="165" t="e">
        <f>SUM(D56:O56)</f>
        <v>#REF!</v>
      </c>
      <c r="Q56" s="150"/>
      <c r="R56" s="147"/>
      <c r="S56" s="145" t="s">
        <v>284</v>
      </c>
      <c r="T56" s="136" t="str">
        <f t="shared" si="6"/>
        <v>0755</v>
      </c>
      <c r="U56" s="136" t="str">
        <f t="shared" si="0"/>
        <v>6820000755</v>
      </c>
      <c r="V56" s="147" t="e">
        <f t="shared" si="30"/>
        <v>#REF!</v>
      </c>
      <c r="W56" s="147" t="e">
        <f t="shared" si="30"/>
        <v>#REF!</v>
      </c>
      <c r="X56" s="147" t="e">
        <f t="shared" si="30"/>
        <v>#REF!</v>
      </c>
      <c r="Y56" s="147" t="e">
        <f t="shared" si="30"/>
        <v>#REF!</v>
      </c>
      <c r="Z56" s="147" t="e">
        <f t="shared" si="30"/>
        <v>#REF!</v>
      </c>
      <c r="AA56" s="147" t="e">
        <f t="shared" si="30"/>
        <v>#REF!</v>
      </c>
      <c r="AB56" s="147" t="e">
        <f t="shared" si="30"/>
        <v>#REF!</v>
      </c>
      <c r="AC56" s="147" t="e">
        <f t="shared" si="30"/>
        <v>#REF!</v>
      </c>
      <c r="AD56" s="147" t="e">
        <f t="shared" si="30"/>
        <v>#REF!</v>
      </c>
      <c r="AE56" s="147" t="e">
        <f t="shared" si="30"/>
        <v>#REF!</v>
      </c>
      <c r="AF56" s="147" t="e">
        <f t="shared" si="30"/>
        <v>#REF!</v>
      </c>
      <c r="AG56" s="147" t="e">
        <f t="shared" si="30"/>
        <v>#REF!</v>
      </c>
      <c r="AH56" s="148" t="e">
        <f t="shared" si="22"/>
        <v>#REF!</v>
      </c>
    </row>
    <row r="57" spans="1:38" s="136" customFormat="1" x14ac:dyDescent="0.2">
      <c r="A57" s="155" t="s">
        <v>285</v>
      </c>
      <c r="B57" s="149" t="e">
        <f>-#REF!</f>
        <v>#REF!</v>
      </c>
      <c r="C57" s="138"/>
      <c r="D57" s="147" t="e">
        <f t="shared" ref="D57:O60" si="31">($B57/$P$8)*D$8</f>
        <v>#REF!</v>
      </c>
      <c r="E57" s="147" t="e">
        <f t="shared" si="31"/>
        <v>#REF!</v>
      </c>
      <c r="F57" s="147" t="e">
        <f t="shared" si="31"/>
        <v>#REF!</v>
      </c>
      <c r="G57" s="147" t="e">
        <f t="shared" si="31"/>
        <v>#REF!</v>
      </c>
      <c r="H57" s="147" t="e">
        <f t="shared" si="31"/>
        <v>#REF!</v>
      </c>
      <c r="I57" s="147" t="e">
        <f t="shared" si="31"/>
        <v>#REF!</v>
      </c>
      <c r="J57" s="147" t="e">
        <f t="shared" si="31"/>
        <v>#REF!</v>
      </c>
      <c r="K57" s="147" t="e">
        <f t="shared" si="31"/>
        <v>#REF!</v>
      </c>
      <c r="L57" s="147" t="e">
        <f t="shared" si="31"/>
        <v>#REF!</v>
      </c>
      <c r="M57" s="147" t="e">
        <f t="shared" si="31"/>
        <v>#REF!</v>
      </c>
      <c r="N57" s="147" t="e">
        <f t="shared" si="31"/>
        <v>#REF!</v>
      </c>
      <c r="O57" s="147" t="e">
        <f t="shared" si="31"/>
        <v>#REF!</v>
      </c>
      <c r="P57" s="147" t="e">
        <f>SUM(D57:O57)</f>
        <v>#REF!</v>
      </c>
      <c r="Q57" s="167"/>
      <c r="R57" s="147"/>
      <c r="S57" s="145" t="s">
        <v>286</v>
      </c>
      <c r="T57" s="136" t="str">
        <f t="shared" si="6"/>
        <v>0755</v>
      </c>
      <c r="U57" s="136" t="str">
        <f t="shared" si="0"/>
        <v>6890000755</v>
      </c>
      <c r="V57" s="147" t="e">
        <f t="shared" si="30"/>
        <v>#REF!</v>
      </c>
      <c r="W57" s="147" t="e">
        <f t="shared" si="30"/>
        <v>#REF!</v>
      </c>
      <c r="X57" s="147" t="e">
        <f t="shared" si="30"/>
        <v>#REF!</v>
      </c>
      <c r="Y57" s="147" t="e">
        <f t="shared" si="30"/>
        <v>#REF!</v>
      </c>
      <c r="Z57" s="147" t="e">
        <f t="shared" si="30"/>
        <v>#REF!</v>
      </c>
      <c r="AA57" s="147" t="e">
        <f t="shared" si="30"/>
        <v>#REF!</v>
      </c>
      <c r="AB57" s="147" t="e">
        <f t="shared" si="30"/>
        <v>#REF!</v>
      </c>
      <c r="AC57" s="147" t="e">
        <f t="shared" si="30"/>
        <v>#REF!</v>
      </c>
      <c r="AD57" s="147" t="e">
        <f t="shared" si="30"/>
        <v>#REF!</v>
      </c>
      <c r="AE57" s="147" t="e">
        <f t="shared" si="30"/>
        <v>#REF!</v>
      </c>
      <c r="AF57" s="147" t="e">
        <f t="shared" si="30"/>
        <v>#REF!</v>
      </c>
      <c r="AG57" s="147" t="e">
        <f t="shared" si="30"/>
        <v>#REF!</v>
      </c>
      <c r="AH57" s="148" t="e">
        <f t="shared" si="22"/>
        <v>#REF!</v>
      </c>
    </row>
    <row r="58" spans="1:38" s="136" customFormat="1" x14ac:dyDescent="0.2">
      <c r="A58" s="155" t="s">
        <v>287</v>
      </c>
      <c r="B58" s="149" t="e">
        <f>-#REF!</f>
        <v>#REF!</v>
      </c>
      <c r="C58" s="138"/>
      <c r="D58" s="147" t="e">
        <f t="shared" si="31"/>
        <v>#REF!</v>
      </c>
      <c r="E58" s="147" t="e">
        <f t="shared" si="31"/>
        <v>#REF!</v>
      </c>
      <c r="F58" s="147" t="e">
        <f t="shared" si="31"/>
        <v>#REF!</v>
      </c>
      <c r="G58" s="147" t="e">
        <f t="shared" si="31"/>
        <v>#REF!</v>
      </c>
      <c r="H58" s="147" t="e">
        <f t="shared" si="31"/>
        <v>#REF!</v>
      </c>
      <c r="I58" s="147" t="e">
        <f t="shared" si="31"/>
        <v>#REF!</v>
      </c>
      <c r="J58" s="147" t="e">
        <f t="shared" si="31"/>
        <v>#REF!</v>
      </c>
      <c r="K58" s="147" t="e">
        <f t="shared" si="31"/>
        <v>#REF!</v>
      </c>
      <c r="L58" s="147" t="e">
        <f t="shared" si="31"/>
        <v>#REF!</v>
      </c>
      <c r="M58" s="147" t="e">
        <f t="shared" si="31"/>
        <v>#REF!</v>
      </c>
      <c r="N58" s="147" t="e">
        <f t="shared" si="31"/>
        <v>#REF!</v>
      </c>
      <c r="O58" s="147" t="e">
        <f t="shared" si="31"/>
        <v>#REF!</v>
      </c>
      <c r="P58" s="147" t="e">
        <f>SUM(D58:O58)</f>
        <v>#REF!</v>
      </c>
      <c r="Q58" s="167"/>
      <c r="R58" s="147"/>
      <c r="S58" s="145" t="s">
        <v>288</v>
      </c>
      <c r="T58" s="136" t="str">
        <f t="shared" si="6"/>
        <v>0755</v>
      </c>
      <c r="U58" s="136" t="str">
        <f t="shared" si="0"/>
        <v>6900000755</v>
      </c>
      <c r="V58" s="147" t="e">
        <f t="shared" si="30"/>
        <v>#REF!</v>
      </c>
      <c r="W58" s="147" t="e">
        <f t="shared" si="30"/>
        <v>#REF!</v>
      </c>
      <c r="X58" s="147" t="e">
        <f t="shared" si="30"/>
        <v>#REF!</v>
      </c>
      <c r="Y58" s="147" t="e">
        <f t="shared" si="30"/>
        <v>#REF!</v>
      </c>
      <c r="Z58" s="147" t="e">
        <f t="shared" si="30"/>
        <v>#REF!</v>
      </c>
      <c r="AA58" s="147" t="e">
        <f t="shared" si="30"/>
        <v>#REF!</v>
      </c>
      <c r="AB58" s="147" t="e">
        <f t="shared" si="30"/>
        <v>#REF!</v>
      </c>
      <c r="AC58" s="147" t="e">
        <f t="shared" si="30"/>
        <v>#REF!</v>
      </c>
      <c r="AD58" s="147" t="e">
        <f t="shared" si="30"/>
        <v>#REF!</v>
      </c>
      <c r="AE58" s="147" t="e">
        <f t="shared" si="30"/>
        <v>#REF!</v>
      </c>
      <c r="AF58" s="147" t="e">
        <f t="shared" si="30"/>
        <v>#REF!</v>
      </c>
      <c r="AG58" s="147" t="e">
        <f t="shared" si="30"/>
        <v>#REF!</v>
      </c>
      <c r="AH58" s="148" t="e">
        <f t="shared" si="22"/>
        <v>#REF!</v>
      </c>
    </row>
    <row r="59" spans="1:38" s="136" customFormat="1" x14ac:dyDescent="0.2">
      <c r="A59" s="155" t="s">
        <v>289</v>
      </c>
      <c r="B59" s="149" t="e">
        <f>-#REF!</f>
        <v>#REF!</v>
      </c>
      <c r="C59" s="138"/>
      <c r="D59" s="147" t="e">
        <f t="shared" si="31"/>
        <v>#REF!</v>
      </c>
      <c r="E59" s="147" t="e">
        <f t="shared" si="31"/>
        <v>#REF!</v>
      </c>
      <c r="F59" s="147" t="e">
        <f t="shared" si="31"/>
        <v>#REF!</v>
      </c>
      <c r="G59" s="147" t="e">
        <f t="shared" si="31"/>
        <v>#REF!</v>
      </c>
      <c r="H59" s="147" t="e">
        <f t="shared" si="31"/>
        <v>#REF!</v>
      </c>
      <c r="I59" s="147" t="e">
        <f t="shared" si="31"/>
        <v>#REF!</v>
      </c>
      <c r="J59" s="147" t="e">
        <f t="shared" si="31"/>
        <v>#REF!</v>
      </c>
      <c r="K59" s="147" t="e">
        <f t="shared" si="31"/>
        <v>#REF!</v>
      </c>
      <c r="L59" s="147" t="e">
        <f t="shared" si="31"/>
        <v>#REF!</v>
      </c>
      <c r="M59" s="147" t="e">
        <f t="shared" si="31"/>
        <v>#REF!</v>
      </c>
      <c r="N59" s="147" t="e">
        <f t="shared" si="31"/>
        <v>#REF!</v>
      </c>
      <c r="O59" s="147" t="e">
        <f t="shared" si="31"/>
        <v>#REF!</v>
      </c>
      <c r="P59" s="147" t="e">
        <f>SUM(D59:O59)</f>
        <v>#REF!</v>
      </c>
      <c r="Q59" s="150"/>
      <c r="R59" s="147"/>
      <c r="S59" s="145" t="s">
        <v>290</v>
      </c>
      <c r="T59" s="136" t="str">
        <f t="shared" si="6"/>
        <v>0755</v>
      </c>
      <c r="U59" s="136" t="str">
        <f t="shared" si="0"/>
        <v>7000000755</v>
      </c>
      <c r="V59" s="147" t="e">
        <f t="shared" ref="V59:AG62" si="32">D94</f>
        <v>#REF!</v>
      </c>
      <c r="W59" s="147" t="e">
        <f t="shared" si="32"/>
        <v>#REF!</v>
      </c>
      <c r="X59" s="147" t="e">
        <f t="shared" si="32"/>
        <v>#REF!</v>
      </c>
      <c r="Y59" s="147" t="e">
        <f t="shared" si="32"/>
        <v>#REF!</v>
      </c>
      <c r="Z59" s="147" t="e">
        <f t="shared" si="32"/>
        <v>#REF!</v>
      </c>
      <c r="AA59" s="147" t="e">
        <f t="shared" si="32"/>
        <v>#REF!</v>
      </c>
      <c r="AB59" s="147" t="e">
        <f t="shared" si="32"/>
        <v>#REF!</v>
      </c>
      <c r="AC59" s="147" t="e">
        <f t="shared" si="32"/>
        <v>#REF!</v>
      </c>
      <c r="AD59" s="147" t="e">
        <f t="shared" si="32"/>
        <v>#REF!</v>
      </c>
      <c r="AE59" s="147" t="e">
        <f t="shared" si="32"/>
        <v>#REF!</v>
      </c>
      <c r="AF59" s="147" t="e">
        <f t="shared" si="32"/>
        <v>#REF!</v>
      </c>
      <c r="AG59" s="147" t="e">
        <f t="shared" si="32"/>
        <v>#REF!</v>
      </c>
      <c r="AH59" s="148" t="e">
        <f t="shared" si="22"/>
        <v>#REF!</v>
      </c>
    </row>
    <row r="60" spans="1:38" s="136" customFormat="1" x14ac:dyDescent="0.2">
      <c r="A60" s="155" t="s">
        <v>291</v>
      </c>
      <c r="B60" s="149" t="e">
        <f>-#REF!</f>
        <v>#REF!</v>
      </c>
      <c r="C60" s="138"/>
      <c r="D60" s="147" t="e">
        <f t="shared" si="31"/>
        <v>#REF!</v>
      </c>
      <c r="E60" s="147" t="e">
        <f t="shared" si="31"/>
        <v>#REF!</v>
      </c>
      <c r="F60" s="147" t="e">
        <f t="shared" si="31"/>
        <v>#REF!</v>
      </c>
      <c r="G60" s="147" t="e">
        <f t="shared" si="31"/>
        <v>#REF!</v>
      </c>
      <c r="H60" s="147" t="e">
        <f t="shared" si="31"/>
        <v>#REF!</v>
      </c>
      <c r="I60" s="147" t="e">
        <f t="shared" si="31"/>
        <v>#REF!</v>
      </c>
      <c r="J60" s="147" t="e">
        <f t="shared" si="31"/>
        <v>#REF!</v>
      </c>
      <c r="K60" s="147" t="e">
        <f t="shared" si="31"/>
        <v>#REF!</v>
      </c>
      <c r="L60" s="147" t="e">
        <f t="shared" si="31"/>
        <v>#REF!</v>
      </c>
      <c r="M60" s="147" t="e">
        <f t="shared" si="31"/>
        <v>#REF!</v>
      </c>
      <c r="N60" s="147" t="e">
        <f t="shared" si="31"/>
        <v>#REF!</v>
      </c>
      <c r="O60" s="147" t="e">
        <f t="shared" si="31"/>
        <v>#REF!</v>
      </c>
      <c r="P60" s="147" t="e">
        <f>SUM(D60:O60)</f>
        <v>#REF!</v>
      </c>
      <c r="Q60" s="150"/>
      <c r="R60" s="147"/>
      <c r="S60" s="145" t="s">
        <v>292</v>
      </c>
      <c r="T60" s="136" t="str">
        <f t="shared" si="6"/>
        <v>0755</v>
      </c>
      <c r="U60" s="136" t="str">
        <f t="shared" si="0"/>
        <v>7010000755</v>
      </c>
      <c r="V60" s="147" t="e">
        <f t="shared" si="32"/>
        <v>#REF!</v>
      </c>
      <c r="W60" s="147" t="e">
        <f t="shared" si="32"/>
        <v>#REF!</v>
      </c>
      <c r="X60" s="147" t="e">
        <f t="shared" si="32"/>
        <v>#REF!</v>
      </c>
      <c r="Y60" s="147" t="e">
        <f t="shared" si="32"/>
        <v>#REF!</v>
      </c>
      <c r="Z60" s="147" t="e">
        <f t="shared" si="32"/>
        <v>#REF!</v>
      </c>
      <c r="AA60" s="147" t="e">
        <f t="shared" si="32"/>
        <v>#REF!</v>
      </c>
      <c r="AB60" s="147" t="e">
        <f t="shared" si="32"/>
        <v>#REF!</v>
      </c>
      <c r="AC60" s="147" t="e">
        <f t="shared" si="32"/>
        <v>#REF!</v>
      </c>
      <c r="AD60" s="147" t="e">
        <f t="shared" si="32"/>
        <v>#REF!</v>
      </c>
      <c r="AE60" s="147" t="e">
        <f t="shared" si="32"/>
        <v>#REF!</v>
      </c>
      <c r="AF60" s="147" t="e">
        <f t="shared" si="32"/>
        <v>#REF!</v>
      </c>
      <c r="AG60" s="147" t="e">
        <f t="shared" si="32"/>
        <v>#REF!</v>
      </c>
      <c r="AH60" s="148" t="e">
        <f t="shared" si="22"/>
        <v>#REF!</v>
      </c>
    </row>
    <row r="61" spans="1:38" s="168" customFormat="1" x14ac:dyDescent="0.2">
      <c r="A61" s="136"/>
      <c r="B61" s="161"/>
      <c r="C61" s="138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0"/>
      <c r="R61" s="147"/>
      <c r="S61" s="145" t="s">
        <v>293</v>
      </c>
      <c r="T61" s="136" t="str">
        <f t="shared" si="6"/>
        <v>0755</v>
      </c>
      <c r="U61" s="136" t="str">
        <f t="shared" si="0"/>
        <v>7020000755</v>
      </c>
      <c r="V61" s="147" t="e">
        <f t="shared" si="32"/>
        <v>#REF!</v>
      </c>
      <c r="W61" s="147" t="e">
        <f t="shared" si="32"/>
        <v>#REF!</v>
      </c>
      <c r="X61" s="147" t="e">
        <f t="shared" si="32"/>
        <v>#REF!</v>
      </c>
      <c r="Y61" s="147" t="e">
        <f t="shared" si="32"/>
        <v>#REF!</v>
      </c>
      <c r="Z61" s="147" t="e">
        <f t="shared" si="32"/>
        <v>#REF!</v>
      </c>
      <c r="AA61" s="147" t="e">
        <f t="shared" si="32"/>
        <v>#REF!</v>
      </c>
      <c r="AB61" s="147" t="e">
        <f t="shared" si="32"/>
        <v>#REF!</v>
      </c>
      <c r="AC61" s="147" t="e">
        <f t="shared" si="32"/>
        <v>#REF!</v>
      </c>
      <c r="AD61" s="147" t="e">
        <f t="shared" si="32"/>
        <v>#REF!</v>
      </c>
      <c r="AE61" s="147" t="e">
        <f t="shared" si="32"/>
        <v>#REF!</v>
      </c>
      <c r="AF61" s="147" t="e">
        <f t="shared" si="32"/>
        <v>#REF!</v>
      </c>
      <c r="AG61" s="147" t="e">
        <f t="shared" si="32"/>
        <v>#REF!</v>
      </c>
      <c r="AH61" s="148" t="e">
        <f t="shared" si="22"/>
        <v>#REF!</v>
      </c>
      <c r="AI61" s="136"/>
      <c r="AJ61" s="136"/>
      <c r="AK61" s="136"/>
      <c r="AL61" s="136"/>
    </row>
    <row r="62" spans="1:38" s="136" customFormat="1" x14ac:dyDescent="0.2">
      <c r="A62" s="155" t="s">
        <v>294</v>
      </c>
      <c r="B62" s="149" t="e">
        <f>SUM(B56:B61)</f>
        <v>#REF!</v>
      </c>
      <c r="C62" s="138"/>
      <c r="D62" s="164" t="e">
        <f t="shared" ref="D62:P62" si="33">SUM(D56:D61)</f>
        <v>#REF!</v>
      </c>
      <c r="E62" s="164" t="e">
        <f t="shared" si="33"/>
        <v>#REF!</v>
      </c>
      <c r="F62" s="164" t="e">
        <f t="shared" si="33"/>
        <v>#REF!</v>
      </c>
      <c r="G62" s="164" t="e">
        <f t="shared" si="33"/>
        <v>#REF!</v>
      </c>
      <c r="H62" s="164" t="e">
        <f>SUM(H56:H61)</f>
        <v>#REF!</v>
      </c>
      <c r="I62" s="164" t="e">
        <f t="shared" si="33"/>
        <v>#REF!</v>
      </c>
      <c r="J62" s="164" t="e">
        <f t="shared" si="33"/>
        <v>#REF!</v>
      </c>
      <c r="K62" s="164" t="e">
        <f t="shared" si="33"/>
        <v>#REF!</v>
      </c>
      <c r="L62" s="164" t="e">
        <f t="shared" si="33"/>
        <v>#REF!</v>
      </c>
      <c r="M62" s="164" t="e">
        <f t="shared" si="33"/>
        <v>#REF!</v>
      </c>
      <c r="N62" s="164" t="e">
        <f t="shared" si="33"/>
        <v>#REF!</v>
      </c>
      <c r="O62" s="164" t="e">
        <f t="shared" si="33"/>
        <v>#REF!</v>
      </c>
      <c r="P62" s="164" t="e">
        <f t="shared" si="33"/>
        <v>#REF!</v>
      </c>
      <c r="Q62" s="150"/>
      <c r="R62" s="147"/>
      <c r="S62" s="145" t="s">
        <v>600</v>
      </c>
      <c r="T62" s="136" t="str">
        <f t="shared" si="6"/>
        <v>0755</v>
      </c>
      <c r="U62" s="136" t="str">
        <f t="shared" si="0"/>
        <v>7470000755</v>
      </c>
      <c r="V62" s="147" t="e">
        <f t="shared" si="32"/>
        <v>#REF!</v>
      </c>
      <c r="W62" s="147" t="e">
        <f t="shared" si="32"/>
        <v>#REF!</v>
      </c>
      <c r="X62" s="147" t="e">
        <f t="shared" si="32"/>
        <v>#REF!</v>
      </c>
      <c r="Y62" s="147" t="e">
        <f t="shared" si="32"/>
        <v>#REF!</v>
      </c>
      <c r="Z62" s="147" t="e">
        <f t="shared" si="32"/>
        <v>#REF!</v>
      </c>
      <c r="AA62" s="147" t="e">
        <f t="shared" si="32"/>
        <v>#REF!</v>
      </c>
      <c r="AB62" s="147" t="e">
        <f t="shared" si="32"/>
        <v>#REF!</v>
      </c>
      <c r="AC62" s="147" t="e">
        <f t="shared" si="32"/>
        <v>#REF!</v>
      </c>
      <c r="AD62" s="147" t="e">
        <f t="shared" si="32"/>
        <v>#REF!</v>
      </c>
      <c r="AE62" s="147" t="e">
        <f t="shared" si="32"/>
        <v>#REF!</v>
      </c>
      <c r="AF62" s="147" t="e">
        <f t="shared" si="32"/>
        <v>#REF!</v>
      </c>
      <c r="AG62" s="147" t="e">
        <f t="shared" si="32"/>
        <v>#REF!</v>
      </c>
      <c r="AH62" s="148" t="e">
        <f t="shared" si="22"/>
        <v>#REF!</v>
      </c>
    </row>
    <row r="63" spans="1:38" s="136" customFormat="1" x14ac:dyDescent="0.2">
      <c r="A63" s="169" t="s">
        <v>296</v>
      </c>
      <c r="B63" s="170" t="e">
        <f>B62/B52</f>
        <v>#REF!</v>
      </c>
      <c r="C63" s="138"/>
      <c r="D63" s="171" t="e">
        <f t="shared" ref="D63:P63" si="34">D62/D52</f>
        <v>#REF!</v>
      </c>
      <c r="E63" s="171" t="e">
        <f t="shared" si="34"/>
        <v>#REF!</v>
      </c>
      <c r="F63" s="171" t="e">
        <f t="shared" si="34"/>
        <v>#REF!</v>
      </c>
      <c r="G63" s="171" t="e">
        <f t="shared" si="34"/>
        <v>#REF!</v>
      </c>
      <c r="H63" s="171" t="e">
        <f t="shared" si="34"/>
        <v>#REF!</v>
      </c>
      <c r="I63" s="171" t="e">
        <f t="shared" si="34"/>
        <v>#REF!</v>
      </c>
      <c r="J63" s="171" t="e">
        <f t="shared" si="34"/>
        <v>#REF!</v>
      </c>
      <c r="K63" s="171" t="e">
        <f t="shared" si="34"/>
        <v>#REF!</v>
      </c>
      <c r="L63" s="171" t="e">
        <f t="shared" si="34"/>
        <v>#REF!</v>
      </c>
      <c r="M63" s="171" t="e">
        <f t="shared" si="34"/>
        <v>#REF!</v>
      </c>
      <c r="N63" s="171" t="e">
        <f t="shared" si="34"/>
        <v>#REF!</v>
      </c>
      <c r="O63" s="171" t="e">
        <f t="shared" si="34"/>
        <v>#REF!</v>
      </c>
      <c r="P63" s="171" t="e">
        <f t="shared" si="34"/>
        <v>#REF!</v>
      </c>
      <c r="Q63" s="168"/>
      <c r="R63" s="147"/>
      <c r="S63" s="145" t="s">
        <v>297</v>
      </c>
      <c r="T63" s="136" t="str">
        <f t="shared" si="6"/>
        <v>0755</v>
      </c>
      <c r="U63" s="136" t="str">
        <f t="shared" si="0"/>
        <v>7400000755</v>
      </c>
      <c r="V63" s="147" t="e">
        <f t="shared" ref="V63:AG63" si="35">D102</f>
        <v>#REF!</v>
      </c>
      <c r="W63" s="147" t="e">
        <f t="shared" si="35"/>
        <v>#REF!</v>
      </c>
      <c r="X63" s="147" t="e">
        <f t="shared" si="35"/>
        <v>#REF!</v>
      </c>
      <c r="Y63" s="147" t="e">
        <f t="shared" si="35"/>
        <v>#REF!</v>
      </c>
      <c r="Z63" s="147" t="e">
        <f t="shared" si="35"/>
        <v>#REF!</v>
      </c>
      <c r="AA63" s="147" t="e">
        <f t="shared" si="35"/>
        <v>#REF!</v>
      </c>
      <c r="AB63" s="147" t="e">
        <f t="shared" si="35"/>
        <v>#REF!</v>
      </c>
      <c r="AC63" s="147" t="e">
        <f t="shared" si="35"/>
        <v>#REF!</v>
      </c>
      <c r="AD63" s="147" t="e">
        <f t="shared" si="35"/>
        <v>#REF!</v>
      </c>
      <c r="AE63" s="147" t="e">
        <f t="shared" si="35"/>
        <v>#REF!</v>
      </c>
      <c r="AF63" s="147" t="e">
        <f t="shared" si="35"/>
        <v>#REF!</v>
      </c>
      <c r="AG63" s="147" t="e">
        <f t="shared" si="35"/>
        <v>#REF!</v>
      </c>
      <c r="AH63" s="148" t="e">
        <f t="shared" si="22"/>
        <v>#REF!</v>
      </c>
      <c r="AI63" s="168"/>
      <c r="AJ63" s="168"/>
      <c r="AK63" s="168"/>
      <c r="AL63" s="168"/>
    </row>
    <row r="64" spans="1:38" s="136" customFormat="1" x14ac:dyDescent="0.2">
      <c r="B64" s="149"/>
      <c r="C64" s="138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50"/>
      <c r="R64" s="147"/>
      <c r="S64" s="145" t="s">
        <v>298</v>
      </c>
      <c r="T64" s="136" t="str">
        <f t="shared" si="6"/>
        <v>0755</v>
      </c>
      <c r="U64" s="136" t="str">
        <f t="shared" si="0"/>
        <v>7480000755</v>
      </c>
      <c r="V64" s="147" t="e">
        <f t="shared" ref="V64:AG65" si="36">D107</f>
        <v>#REF!</v>
      </c>
      <c r="W64" s="147" t="e">
        <f t="shared" si="36"/>
        <v>#REF!</v>
      </c>
      <c r="X64" s="147" t="e">
        <f t="shared" si="36"/>
        <v>#REF!</v>
      </c>
      <c r="Y64" s="147" t="e">
        <f t="shared" si="36"/>
        <v>#REF!</v>
      </c>
      <c r="Z64" s="147" t="e">
        <f t="shared" si="36"/>
        <v>#REF!</v>
      </c>
      <c r="AA64" s="147" t="e">
        <f t="shared" si="36"/>
        <v>#REF!</v>
      </c>
      <c r="AB64" s="147" t="e">
        <f t="shared" si="36"/>
        <v>#REF!</v>
      </c>
      <c r="AC64" s="147" t="e">
        <f t="shared" si="36"/>
        <v>#REF!</v>
      </c>
      <c r="AD64" s="147" t="e">
        <f t="shared" si="36"/>
        <v>#REF!</v>
      </c>
      <c r="AE64" s="147" t="e">
        <f t="shared" si="36"/>
        <v>#REF!</v>
      </c>
      <c r="AF64" s="147" t="e">
        <f t="shared" si="36"/>
        <v>#REF!</v>
      </c>
      <c r="AG64" s="147" t="e">
        <f t="shared" si="36"/>
        <v>#REF!</v>
      </c>
      <c r="AH64" s="148" t="e">
        <f t="shared" si="22"/>
        <v>#REF!</v>
      </c>
    </row>
    <row r="65" spans="1:38" s="168" customFormat="1" x14ac:dyDescent="0.2">
      <c r="A65" s="136"/>
      <c r="B65" s="149"/>
      <c r="C65" s="138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0"/>
      <c r="R65" s="147"/>
      <c r="S65" s="145" t="s">
        <v>299</v>
      </c>
      <c r="T65" s="136" t="str">
        <f t="shared" si="6"/>
        <v>0755</v>
      </c>
      <c r="U65" s="136" t="str">
        <f t="shared" si="0"/>
        <v>7410000755</v>
      </c>
      <c r="V65" s="147" t="e">
        <f t="shared" si="36"/>
        <v>#REF!</v>
      </c>
      <c r="W65" s="147" t="e">
        <f t="shared" si="36"/>
        <v>#REF!</v>
      </c>
      <c r="X65" s="147" t="e">
        <f t="shared" si="36"/>
        <v>#REF!</v>
      </c>
      <c r="Y65" s="147" t="e">
        <f t="shared" si="36"/>
        <v>#REF!</v>
      </c>
      <c r="Z65" s="147" t="e">
        <f t="shared" si="36"/>
        <v>#REF!</v>
      </c>
      <c r="AA65" s="147" t="e">
        <f t="shared" si="36"/>
        <v>#REF!</v>
      </c>
      <c r="AB65" s="147" t="e">
        <f t="shared" si="36"/>
        <v>#REF!</v>
      </c>
      <c r="AC65" s="147" t="e">
        <f t="shared" si="36"/>
        <v>#REF!</v>
      </c>
      <c r="AD65" s="147" t="e">
        <f t="shared" si="36"/>
        <v>#REF!</v>
      </c>
      <c r="AE65" s="147" t="e">
        <f t="shared" si="36"/>
        <v>#REF!</v>
      </c>
      <c r="AF65" s="147" t="e">
        <f t="shared" si="36"/>
        <v>#REF!</v>
      </c>
      <c r="AG65" s="147" t="e">
        <f t="shared" si="36"/>
        <v>#REF!</v>
      </c>
      <c r="AH65" s="148" t="e">
        <f t="shared" si="22"/>
        <v>#REF!</v>
      </c>
      <c r="AI65" s="136"/>
      <c r="AJ65" s="136"/>
      <c r="AK65" s="136"/>
      <c r="AL65" s="136"/>
    </row>
    <row r="66" spans="1:38" s="136" customFormat="1" ht="13.5" thickBot="1" x14ac:dyDescent="0.25">
      <c r="A66" s="155" t="s">
        <v>300</v>
      </c>
      <c r="B66" s="172" t="e">
        <f>B52+B54+B62</f>
        <v>#REF!</v>
      </c>
      <c r="C66" s="138"/>
      <c r="D66" s="173" t="e">
        <f t="shared" ref="D66:P66" si="37">D52+D54+D62</f>
        <v>#REF!</v>
      </c>
      <c r="E66" s="173" t="e">
        <f t="shared" si="37"/>
        <v>#REF!</v>
      </c>
      <c r="F66" s="173" t="e">
        <f t="shared" si="37"/>
        <v>#REF!</v>
      </c>
      <c r="G66" s="173" t="e">
        <f t="shared" si="37"/>
        <v>#REF!</v>
      </c>
      <c r="H66" s="173" t="e">
        <f t="shared" si="37"/>
        <v>#REF!</v>
      </c>
      <c r="I66" s="173" t="e">
        <f t="shared" si="37"/>
        <v>#REF!</v>
      </c>
      <c r="J66" s="173" t="e">
        <f t="shared" si="37"/>
        <v>#REF!</v>
      </c>
      <c r="K66" s="173" t="e">
        <f t="shared" si="37"/>
        <v>#REF!</v>
      </c>
      <c r="L66" s="173" t="e">
        <f t="shared" si="37"/>
        <v>#REF!</v>
      </c>
      <c r="M66" s="173" t="e">
        <f t="shared" si="37"/>
        <v>#REF!</v>
      </c>
      <c r="N66" s="173" t="e">
        <f t="shared" si="37"/>
        <v>#REF!</v>
      </c>
      <c r="O66" s="173" t="e">
        <f t="shared" si="37"/>
        <v>#REF!</v>
      </c>
      <c r="P66" s="173" t="e">
        <f t="shared" si="37"/>
        <v>#REF!</v>
      </c>
      <c r="Q66" s="150"/>
      <c r="R66" s="147"/>
      <c r="S66" s="145" t="s">
        <v>301</v>
      </c>
      <c r="T66" s="136" t="str">
        <f t="shared" si="6"/>
        <v>0755</v>
      </c>
      <c r="U66" s="136" t="str">
        <f t="shared" si="0"/>
        <v>7430000755</v>
      </c>
      <c r="V66" s="147" t="e">
        <f t="shared" ref="V66:AG67" si="38">D103</f>
        <v>#REF!</v>
      </c>
      <c r="W66" s="147" t="e">
        <f t="shared" si="38"/>
        <v>#REF!</v>
      </c>
      <c r="X66" s="147" t="e">
        <f t="shared" si="38"/>
        <v>#REF!</v>
      </c>
      <c r="Y66" s="147" t="e">
        <f t="shared" si="38"/>
        <v>#REF!</v>
      </c>
      <c r="Z66" s="147" t="e">
        <f t="shared" si="38"/>
        <v>#REF!</v>
      </c>
      <c r="AA66" s="147" t="e">
        <f t="shared" si="38"/>
        <v>#REF!</v>
      </c>
      <c r="AB66" s="147" t="e">
        <f t="shared" si="38"/>
        <v>#REF!</v>
      </c>
      <c r="AC66" s="147" t="e">
        <f t="shared" si="38"/>
        <v>#REF!</v>
      </c>
      <c r="AD66" s="147" t="e">
        <f t="shared" si="38"/>
        <v>#REF!</v>
      </c>
      <c r="AE66" s="147" t="e">
        <f t="shared" si="38"/>
        <v>#REF!</v>
      </c>
      <c r="AF66" s="147" t="e">
        <f t="shared" si="38"/>
        <v>#REF!</v>
      </c>
      <c r="AG66" s="147" t="e">
        <f t="shared" si="38"/>
        <v>#REF!</v>
      </c>
      <c r="AH66" s="148" t="e">
        <f t="shared" si="22"/>
        <v>#REF!</v>
      </c>
    </row>
    <row r="67" spans="1:38" s="136" customFormat="1" ht="13.5" thickTop="1" x14ac:dyDescent="0.2">
      <c r="A67" s="168"/>
      <c r="B67" s="149"/>
      <c r="C67" s="138"/>
      <c r="D67" s="174" t="e">
        <f t="shared" ref="D67:P67" si="39">D66/D$23</f>
        <v>#REF!</v>
      </c>
      <c r="E67" s="174" t="e">
        <f t="shared" si="39"/>
        <v>#REF!</v>
      </c>
      <c r="F67" s="174" t="e">
        <f t="shared" si="39"/>
        <v>#REF!</v>
      </c>
      <c r="G67" s="174" t="e">
        <f t="shared" si="39"/>
        <v>#REF!</v>
      </c>
      <c r="H67" s="174" t="e">
        <f t="shared" si="39"/>
        <v>#REF!</v>
      </c>
      <c r="I67" s="174" t="e">
        <f t="shared" si="39"/>
        <v>#REF!</v>
      </c>
      <c r="J67" s="174" t="e">
        <f t="shared" si="39"/>
        <v>#REF!</v>
      </c>
      <c r="K67" s="174" t="e">
        <f t="shared" si="39"/>
        <v>#REF!</v>
      </c>
      <c r="L67" s="174" t="e">
        <f t="shared" si="39"/>
        <v>#REF!</v>
      </c>
      <c r="M67" s="174" t="e">
        <f t="shared" si="39"/>
        <v>#REF!</v>
      </c>
      <c r="N67" s="174" t="e">
        <f t="shared" si="39"/>
        <v>#REF!</v>
      </c>
      <c r="O67" s="174" t="e">
        <f t="shared" si="39"/>
        <v>#REF!</v>
      </c>
      <c r="P67" s="174" t="e">
        <f t="shared" si="39"/>
        <v>#REF!</v>
      </c>
      <c r="Q67" s="168"/>
      <c r="R67" s="147"/>
      <c r="S67" s="145" t="s">
        <v>302</v>
      </c>
      <c r="T67" s="136" t="str">
        <f t="shared" si="6"/>
        <v>0755</v>
      </c>
      <c r="U67" s="136" t="str">
        <f t="shared" si="0"/>
        <v>7440000755</v>
      </c>
      <c r="V67" s="147" t="e">
        <f t="shared" si="38"/>
        <v>#REF!</v>
      </c>
      <c r="W67" s="147" t="e">
        <f t="shared" si="38"/>
        <v>#REF!</v>
      </c>
      <c r="X67" s="147" t="e">
        <f t="shared" si="38"/>
        <v>#REF!</v>
      </c>
      <c r="Y67" s="147" t="e">
        <f t="shared" si="38"/>
        <v>#REF!</v>
      </c>
      <c r="Z67" s="147" t="e">
        <f t="shared" si="38"/>
        <v>#REF!</v>
      </c>
      <c r="AA67" s="147" t="e">
        <f t="shared" si="38"/>
        <v>#REF!</v>
      </c>
      <c r="AB67" s="147" t="e">
        <f t="shared" si="38"/>
        <v>#REF!</v>
      </c>
      <c r="AC67" s="147" t="e">
        <f t="shared" si="38"/>
        <v>#REF!</v>
      </c>
      <c r="AD67" s="147" t="e">
        <f t="shared" si="38"/>
        <v>#REF!</v>
      </c>
      <c r="AE67" s="147" t="e">
        <f t="shared" si="38"/>
        <v>#REF!</v>
      </c>
      <c r="AF67" s="147" t="e">
        <f t="shared" si="38"/>
        <v>#REF!</v>
      </c>
      <c r="AG67" s="147" t="e">
        <f t="shared" si="38"/>
        <v>#REF!</v>
      </c>
      <c r="AH67" s="148" t="e">
        <f t="shared" si="22"/>
        <v>#REF!</v>
      </c>
      <c r="AK67" s="168"/>
      <c r="AL67" s="168"/>
    </row>
    <row r="68" spans="1:38" s="136" customFormat="1" x14ac:dyDescent="0.2">
      <c r="B68" s="149"/>
      <c r="C68" s="138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47"/>
      <c r="S68" s="145" t="s">
        <v>303</v>
      </c>
      <c r="T68" s="136" t="str">
        <f t="shared" si="6"/>
        <v>0755</v>
      </c>
      <c r="U68" s="136" t="str">
        <f t="shared" si="0"/>
        <v>7450000755</v>
      </c>
      <c r="V68" s="147" t="e">
        <f t="shared" ref="V68:AG68" si="40">D106</f>
        <v>#REF!</v>
      </c>
      <c r="W68" s="147" t="e">
        <f t="shared" si="40"/>
        <v>#REF!</v>
      </c>
      <c r="X68" s="147" t="e">
        <f t="shared" si="40"/>
        <v>#REF!</v>
      </c>
      <c r="Y68" s="147" t="e">
        <f t="shared" si="40"/>
        <v>#REF!</v>
      </c>
      <c r="Z68" s="147" t="e">
        <f t="shared" si="40"/>
        <v>#REF!</v>
      </c>
      <c r="AA68" s="147" t="e">
        <f t="shared" si="40"/>
        <v>#REF!</v>
      </c>
      <c r="AB68" s="147" t="e">
        <f t="shared" si="40"/>
        <v>#REF!</v>
      </c>
      <c r="AC68" s="147" t="e">
        <f t="shared" si="40"/>
        <v>#REF!</v>
      </c>
      <c r="AD68" s="147" t="e">
        <f t="shared" si="40"/>
        <v>#REF!</v>
      </c>
      <c r="AE68" s="147" t="e">
        <f t="shared" si="40"/>
        <v>#REF!</v>
      </c>
      <c r="AF68" s="147" t="e">
        <f t="shared" si="40"/>
        <v>#REF!</v>
      </c>
      <c r="AG68" s="147" t="e">
        <f t="shared" si="40"/>
        <v>#REF!</v>
      </c>
      <c r="AH68" s="148" t="e">
        <f t="shared" si="22"/>
        <v>#REF!</v>
      </c>
    </row>
    <row r="69" spans="1:38" s="136" customFormat="1" x14ac:dyDescent="0.2">
      <c r="A69" s="155" t="s">
        <v>304</v>
      </c>
      <c r="B69" s="149"/>
      <c r="C69" s="138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50"/>
      <c r="R69" s="147"/>
      <c r="S69" s="145" t="s">
        <v>305</v>
      </c>
      <c r="T69" s="136" t="str">
        <f t="shared" si="6"/>
        <v>0755</v>
      </c>
      <c r="U69" s="136" t="str">
        <f t="shared" si="0"/>
        <v>7310000755</v>
      </c>
      <c r="V69" s="147" t="e">
        <f t="shared" ref="V69:AG71" si="41">D113</f>
        <v>#REF!</v>
      </c>
      <c r="W69" s="147" t="e">
        <f t="shared" si="41"/>
        <v>#REF!</v>
      </c>
      <c r="X69" s="147" t="e">
        <f t="shared" si="41"/>
        <v>#REF!</v>
      </c>
      <c r="Y69" s="147" t="e">
        <f t="shared" si="41"/>
        <v>#REF!</v>
      </c>
      <c r="Z69" s="147" t="e">
        <f t="shared" si="41"/>
        <v>#REF!</v>
      </c>
      <c r="AA69" s="147" t="e">
        <f t="shared" si="41"/>
        <v>#REF!</v>
      </c>
      <c r="AB69" s="147" t="e">
        <f t="shared" si="41"/>
        <v>#REF!</v>
      </c>
      <c r="AC69" s="147" t="e">
        <f t="shared" si="41"/>
        <v>#REF!</v>
      </c>
      <c r="AD69" s="147" t="e">
        <f t="shared" si="41"/>
        <v>#REF!</v>
      </c>
      <c r="AE69" s="147" t="e">
        <f t="shared" si="41"/>
        <v>#REF!</v>
      </c>
      <c r="AF69" s="147" t="e">
        <f t="shared" si="41"/>
        <v>#REF!</v>
      </c>
      <c r="AG69" s="147" t="e">
        <f t="shared" si="41"/>
        <v>#REF!</v>
      </c>
      <c r="AH69" s="148" t="e">
        <f t="shared" si="22"/>
        <v>#REF!</v>
      </c>
    </row>
    <row r="70" spans="1:38" s="136" customFormat="1" x14ac:dyDescent="0.2">
      <c r="A70" s="155" t="s">
        <v>5</v>
      </c>
      <c r="B70" s="149" t="e">
        <f>-#REF!</f>
        <v>#REF!</v>
      </c>
      <c r="C70" s="138"/>
      <c r="D70" s="147" t="e">
        <f t="shared" ref="D70:O72" si="42">($B70/$P$8)*D$8</f>
        <v>#REF!</v>
      </c>
      <c r="E70" s="147" t="e">
        <f t="shared" si="42"/>
        <v>#REF!</v>
      </c>
      <c r="F70" s="147" t="e">
        <f t="shared" si="42"/>
        <v>#REF!</v>
      </c>
      <c r="G70" s="147" t="e">
        <f t="shared" si="42"/>
        <v>#REF!</v>
      </c>
      <c r="H70" s="147" t="e">
        <f t="shared" si="42"/>
        <v>#REF!</v>
      </c>
      <c r="I70" s="147" t="e">
        <f t="shared" si="42"/>
        <v>#REF!</v>
      </c>
      <c r="J70" s="147" t="e">
        <f t="shared" si="42"/>
        <v>#REF!</v>
      </c>
      <c r="K70" s="147" t="e">
        <f t="shared" si="42"/>
        <v>#REF!</v>
      </c>
      <c r="L70" s="147" t="e">
        <f t="shared" si="42"/>
        <v>#REF!</v>
      </c>
      <c r="M70" s="147" t="e">
        <f t="shared" si="42"/>
        <v>#REF!</v>
      </c>
      <c r="N70" s="147" t="e">
        <f t="shared" si="42"/>
        <v>#REF!</v>
      </c>
      <c r="O70" s="147" t="e">
        <f t="shared" si="42"/>
        <v>#REF!</v>
      </c>
      <c r="P70" s="147" t="e">
        <f>SUM(D70:O70)</f>
        <v>#REF!</v>
      </c>
      <c r="Q70" s="150"/>
      <c r="R70" s="147"/>
      <c r="S70" s="145" t="s">
        <v>306</v>
      </c>
      <c r="T70" s="136" t="str">
        <f t="shared" si="6"/>
        <v>0755</v>
      </c>
      <c r="U70" s="136" t="str">
        <f t="shared" si="0"/>
        <v>7320000755</v>
      </c>
      <c r="V70" s="147" t="e">
        <f t="shared" si="41"/>
        <v>#REF!</v>
      </c>
      <c r="W70" s="147" t="e">
        <f t="shared" si="41"/>
        <v>#REF!</v>
      </c>
      <c r="X70" s="147" t="e">
        <f t="shared" si="41"/>
        <v>#REF!</v>
      </c>
      <c r="Y70" s="147" t="e">
        <f t="shared" si="41"/>
        <v>#REF!</v>
      </c>
      <c r="Z70" s="147" t="e">
        <f t="shared" si="41"/>
        <v>#REF!</v>
      </c>
      <c r="AA70" s="147" t="e">
        <f t="shared" si="41"/>
        <v>#REF!</v>
      </c>
      <c r="AB70" s="147" t="e">
        <f t="shared" si="41"/>
        <v>#REF!</v>
      </c>
      <c r="AC70" s="147" t="e">
        <f t="shared" si="41"/>
        <v>#REF!</v>
      </c>
      <c r="AD70" s="147" t="e">
        <f t="shared" si="41"/>
        <v>#REF!</v>
      </c>
      <c r="AE70" s="147" t="e">
        <f t="shared" si="41"/>
        <v>#REF!</v>
      </c>
      <c r="AF70" s="147" t="e">
        <f t="shared" si="41"/>
        <v>#REF!</v>
      </c>
      <c r="AG70" s="147" t="e">
        <f t="shared" si="41"/>
        <v>#REF!</v>
      </c>
      <c r="AH70" s="148" t="e">
        <f t="shared" si="22"/>
        <v>#REF!</v>
      </c>
      <c r="AI70" s="168"/>
      <c r="AJ70" s="168"/>
    </row>
    <row r="71" spans="1:38" s="136" customFormat="1" x14ac:dyDescent="0.2">
      <c r="A71" s="155" t="s">
        <v>307</v>
      </c>
      <c r="B71" s="149" t="e">
        <f>-#REF!</f>
        <v>#REF!</v>
      </c>
      <c r="C71" s="138"/>
      <c r="D71" s="147" t="e">
        <f t="shared" si="42"/>
        <v>#REF!</v>
      </c>
      <c r="E71" s="147" t="e">
        <f t="shared" si="42"/>
        <v>#REF!</v>
      </c>
      <c r="F71" s="147" t="e">
        <f t="shared" si="42"/>
        <v>#REF!</v>
      </c>
      <c r="G71" s="147" t="e">
        <f t="shared" si="42"/>
        <v>#REF!</v>
      </c>
      <c r="H71" s="147" t="e">
        <f t="shared" si="42"/>
        <v>#REF!</v>
      </c>
      <c r="I71" s="147" t="e">
        <f t="shared" si="42"/>
        <v>#REF!</v>
      </c>
      <c r="J71" s="147" t="e">
        <f t="shared" si="42"/>
        <v>#REF!</v>
      </c>
      <c r="K71" s="147" t="e">
        <f t="shared" si="42"/>
        <v>#REF!</v>
      </c>
      <c r="L71" s="147" t="e">
        <f t="shared" si="42"/>
        <v>#REF!</v>
      </c>
      <c r="M71" s="147" t="e">
        <f t="shared" si="42"/>
        <v>#REF!</v>
      </c>
      <c r="N71" s="147" t="e">
        <f t="shared" si="42"/>
        <v>#REF!</v>
      </c>
      <c r="O71" s="147" t="e">
        <f t="shared" si="42"/>
        <v>#REF!</v>
      </c>
      <c r="P71" s="147" t="e">
        <f>SUM(D71:O71)</f>
        <v>#REF!</v>
      </c>
      <c r="Q71" s="150"/>
      <c r="R71" s="147"/>
      <c r="S71" s="145" t="s">
        <v>308</v>
      </c>
      <c r="T71" s="136" t="str">
        <f t="shared" si="6"/>
        <v>0755</v>
      </c>
      <c r="U71" s="136" t="str">
        <f t="shared" si="0"/>
        <v>7210000755</v>
      </c>
      <c r="V71" s="147" t="e">
        <f t="shared" si="41"/>
        <v>#REF!</v>
      </c>
      <c r="W71" s="147" t="e">
        <f t="shared" si="41"/>
        <v>#REF!</v>
      </c>
      <c r="X71" s="147" t="e">
        <f t="shared" si="41"/>
        <v>#REF!</v>
      </c>
      <c r="Y71" s="147" t="e">
        <f t="shared" si="41"/>
        <v>#REF!</v>
      </c>
      <c r="Z71" s="147" t="e">
        <f t="shared" si="41"/>
        <v>#REF!</v>
      </c>
      <c r="AA71" s="147" t="e">
        <f t="shared" si="41"/>
        <v>#REF!</v>
      </c>
      <c r="AB71" s="147" t="e">
        <f t="shared" si="41"/>
        <v>#REF!</v>
      </c>
      <c r="AC71" s="147" t="e">
        <f t="shared" si="41"/>
        <v>#REF!</v>
      </c>
      <c r="AD71" s="147" t="e">
        <f t="shared" si="41"/>
        <v>#REF!</v>
      </c>
      <c r="AE71" s="147" t="e">
        <f t="shared" si="41"/>
        <v>#REF!</v>
      </c>
      <c r="AF71" s="147" t="e">
        <f t="shared" si="41"/>
        <v>#REF!</v>
      </c>
      <c r="AG71" s="147" t="e">
        <f t="shared" si="41"/>
        <v>#REF!</v>
      </c>
      <c r="AH71" s="148" t="e">
        <f t="shared" si="22"/>
        <v>#REF!</v>
      </c>
    </row>
    <row r="72" spans="1:38" s="136" customFormat="1" x14ac:dyDescent="0.2">
      <c r="A72" s="155" t="s">
        <v>309</v>
      </c>
      <c r="B72" s="149" t="e">
        <f>-#REF!</f>
        <v>#REF!</v>
      </c>
      <c r="C72" s="138"/>
      <c r="D72" s="147" t="e">
        <f t="shared" si="42"/>
        <v>#REF!</v>
      </c>
      <c r="E72" s="147" t="e">
        <f t="shared" si="42"/>
        <v>#REF!</v>
      </c>
      <c r="F72" s="147" t="e">
        <f t="shared" si="42"/>
        <v>#REF!</v>
      </c>
      <c r="G72" s="147" t="e">
        <f t="shared" si="42"/>
        <v>#REF!</v>
      </c>
      <c r="H72" s="147" t="e">
        <f t="shared" si="42"/>
        <v>#REF!</v>
      </c>
      <c r="I72" s="147" t="e">
        <f t="shared" si="42"/>
        <v>#REF!</v>
      </c>
      <c r="J72" s="147" t="e">
        <f t="shared" si="42"/>
        <v>#REF!</v>
      </c>
      <c r="K72" s="147" t="e">
        <f t="shared" si="42"/>
        <v>#REF!</v>
      </c>
      <c r="L72" s="147" t="e">
        <f t="shared" si="42"/>
        <v>#REF!</v>
      </c>
      <c r="M72" s="147" t="e">
        <f t="shared" si="42"/>
        <v>#REF!</v>
      </c>
      <c r="N72" s="147" t="e">
        <f t="shared" si="42"/>
        <v>#REF!</v>
      </c>
      <c r="O72" s="147" t="e">
        <f t="shared" si="42"/>
        <v>#REF!</v>
      </c>
      <c r="P72" s="147" t="e">
        <f>SUM(D72:O72)</f>
        <v>#REF!</v>
      </c>
      <c r="Q72" s="150"/>
      <c r="R72" s="147"/>
      <c r="S72" s="145" t="s">
        <v>310</v>
      </c>
      <c r="T72" s="136" t="str">
        <f t="shared" si="6"/>
        <v>0755</v>
      </c>
      <c r="U72" s="136" t="str">
        <f t="shared" si="0"/>
        <v>7500000755</v>
      </c>
      <c r="V72" s="147" t="e">
        <f t="shared" ref="V72:AG75" si="43">D120</f>
        <v>#REF!</v>
      </c>
      <c r="W72" s="147" t="e">
        <f t="shared" si="43"/>
        <v>#REF!</v>
      </c>
      <c r="X72" s="147" t="e">
        <f t="shared" si="43"/>
        <v>#REF!</v>
      </c>
      <c r="Y72" s="147" t="e">
        <f t="shared" si="43"/>
        <v>#REF!</v>
      </c>
      <c r="Z72" s="147" t="e">
        <f t="shared" si="43"/>
        <v>#REF!</v>
      </c>
      <c r="AA72" s="147" t="e">
        <f t="shared" si="43"/>
        <v>#REF!</v>
      </c>
      <c r="AB72" s="147" t="e">
        <f t="shared" si="43"/>
        <v>#REF!</v>
      </c>
      <c r="AC72" s="147" t="e">
        <f t="shared" si="43"/>
        <v>#REF!</v>
      </c>
      <c r="AD72" s="147" t="e">
        <f t="shared" si="43"/>
        <v>#REF!</v>
      </c>
      <c r="AE72" s="147" t="e">
        <f t="shared" si="43"/>
        <v>#REF!</v>
      </c>
      <c r="AF72" s="147" t="e">
        <f t="shared" si="43"/>
        <v>#REF!</v>
      </c>
      <c r="AG72" s="147" t="e">
        <f t="shared" si="43"/>
        <v>#REF!</v>
      </c>
      <c r="AH72" s="148" t="e">
        <f t="shared" si="22"/>
        <v>#REF!</v>
      </c>
    </row>
    <row r="73" spans="1:38" s="168" customFormat="1" x14ac:dyDescent="0.2">
      <c r="A73" s="136"/>
      <c r="B73" s="161"/>
      <c r="C73" s="138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0"/>
      <c r="R73" s="147"/>
      <c r="S73" s="145" t="s">
        <v>311</v>
      </c>
      <c r="T73" s="136" t="str">
        <f t="shared" si="6"/>
        <v>0755</v>
      </c>
      <c r="U73" s="136" t="str">
        <f t="shared" si="0"/>
        <v>7510000755</v>
      </c>
      <c r="V73" s="147" t="e">
        <f t="shared" si="43"/>
        <v>#REF!</v>
      </c>
      <c r="W73" s="147" t="e">
        <f t="shared" si="43"/>
        <v>#REF!</v>
      </c>
      <c r="X73" s="147" t="e">
        <f t="shared" si="43"/>
        <v>#REF!</v>
      </c>
      <c r="Y73" s="147" t="e">
        <f t="shared" si="43"/>
        <v>#REF!</v>
      </c>
      <c r="Z73" s="147" t="e">
        <f t="shared" si="43"/>
        <v>#REF!</v>
      </c>
      <c r="AA73" s="147" t="e">
        <f t="shared" si="43"/>
        <v>#REF!</v>
      </c>
      <c r="AB73" s="147" t="e">
        <f t="shared" si="43"/>
        <v>#REF!</v>
      </c>
      <c r="AC73" s="147" t="e">
        <f t="shared" si="43"/>
        <v>#REF!</v>
      </c>
      <c r="AD73" s="147" t="e">
        <f t="shared" si="43"/>
        <v>#REF!</v>
      </c>
      <c r="AE73" s="147" t="e">
        <f t="shared" si="43"/>
        <v>#REF!</v>
      </c>
      <c r="AF73" s="147" t="e">
        <f t="shared" si="43"/>
        <v>#REF!</v>
      </c>
      <c r="AG73" s="147" t="e">
        <f t="shared" si="43"/>
        <v>#REF!</v>
      </c>
      <c r="AH73" s="148" t="e">
        <f t="shared" si="22"/>
        <v>#REF!</v>
      </c>
      <c r="AI73" s="136"/>
      <c r="AJ73" s="136"/>
      <c r="AK73" s="136"/>
      <c r="AL73" s="136"/>
    </row>
    <row r="74" spans="1:38" s="136" customFormat="1" x14ac:dyDescent="0.2">
      <c r="A74" s="155" t="s">
        <v>312</v>
      </c>
      <c r="B74" s="175" t="e">
        <f>SUM(B70:B73)</f>
        <v>#REF!</v>
      </c>
      <c r="C74" s="138"/>
      <c r="D74" s="164" t="e">
        <f t="shared" ref="D74:P74" si="44">SUM(D70:D73)</f>
        <v>#REF!</v>
      </c>
      <c r="E74" s="164" t="e">
        <f t="shared" si="44"/>
        <v>#REF!</v>
      </c>
      <c r="F74" s="164" t="e">
        <f t="shared" si="44"/>
        <v>#REF!</v>
      </c>
      <c r="G74" s="164" t="e">
        <f t="shared" si="44"/>
        <v>#REF!</v>
      </c>
      <c r="H74" s="164" t="e">
        <f t="shared" si="44"/>
        <v>#REF!</v>
      </c>
      <c r="I74" s="164" t="e">
        <f t="shared" si="44"/>
        <v>#REF!</v>
      </c>
      <c r="J74" s="164" t="e">
        <f t="shared" si="44"/>
        <v>#REF!</v>
      </c>
      <c r="K74" s="164" t="e">
        <f t="shared" si="44"/>
        <v>#REF!</v>
      </c>
      <c r="L74" s="164" t="e">
        <f t="shared" si="44"/>
        <v>#REF!</v>
      </c>
      <c r="M74" s="164" t="e">
        <f t="shared" si="44"/>
        <v>#REF!</v>
      </c>
      <c r="N74" s="164" t="e">
        <f t="shared" si="44"/>
        <v>#REF!</v>
      </c>
      <c r="O74" s="164" t="e">
        <f t="shared" si="44"/>
        <v>#REF!</v>
      </c>
      <c r="P74" s="164" t="e">
        <f t="shared" si="44"/>
        <v>#REF!</v>
      </c>
      <c r="Q74" s="150"/>
      <c r="R74" s="147"/>
      <c r="S74" s="145" t="s">
        <v>313</v>
      </c>
      <c r="T74" s="136" t="str">
        <f t="shared" si="6"/>
        <v>0755</v>
      </c>
      <c r="U74" s="136" t="str">
        <f t="shared" ref="U74:U126" si="45">CONCATENATE(S74,T74)</f>
        <v>6640000755</v>
      </c>
      <c r="V74" s="147" t="e">
        <f t="shared" si="43"/>
        <v>#REF!</v>
      </c>
      <c r="W74" s="147" t="e">
        <f t="shared" si="43"/>
        <v>#REF!</v>
      </c>
      <c r="X74" s="147" t="e">
        <f t="shared" si="43"/>
        <v>#REF!</v>
      </c>
      <c r="Y74" s="147" t="e">
        <f t="shared" si="43"/>
        <v>#REF!</v>
      </c>
      <c r="Z74" s="147" t="e">
        <f t="shared" si="43"/>
        <v>#REF!</v>
      </c>
      <c r="AA74" s="147" t="e">
        <f t="shared" si="43"/>
        <v>#REF!</v>
      </c>
      <c r="AB74" s="147" t="e">
        <f t="shared" si="43"/>
        <v>#REF!</v>
      </c>
      <c r="AC74" s="147" t="e">
        <f t="shared" si="43"/>
        <v>#REF!</v>
      </c>
      <c r="AD74" s="147" t="e">
        <f t="shared" si="43"/>
        <v>#REF!</v>
      </c>
      <c r="AE74" s="147" t="e">
        <f t="shared" si="43"/>
        <v>#REF!</v>
      </c>
      <c r="AF74" s="147" t="e">
        <f t="shared" si="43"/>
        <v>#REF!</v>
      </c>
      <c r="AG74" s="147" t="e">
        <f t="shared" si="43"/>
        <v>#REF!</v>
      </c>
      <c r="AH74" s="148" t="e">
        <f t="shared" ref="AH74:AH106" si="46">SUM(V74:AG74)</f>
        <v>#REF!</v>
      </c>
    </row>
    <row r="75" spans="1:38" s="136" customFormat="1" x14ac:dyDescent="0.2">
      <c r="A75" s="168"/>
      <c r="B75" s="176" t="e">
        <f>B74/B$23</f>
        <v>#REF!</v>
      </c>
      <c r="C75" s="138"/>
      <c r="D75" s="174" t="e">
        <f t="shared" ref="D75:P75" si="47">D74/D$23</f>
        <v>#REF!</v>
      </c>
      <c r="E75" s="174" t="e">
        <f t="shared" si="47"/>
        <v>#REF!</v>
      </c>
      <c r="F75" s="174" t="e">
        <f t="shared" si="47"/>
        <v>#REF!</v>
      </c>
      <c r="G75" s="174" t="e">
        <f t="shared" si="47"/>
        <v>#REF!</v>
      </c>
      <c r="H75" s="174" t="e">
        <f t="shared" si="47"/>
        <v>#REF!</v>
      </c>
      <c r="I75" s="174" t="e">
        <f t="shared" si="47"/>
        <v>#REF!</v>
      </c>
      <c r="J75" s="174" t="e">
        <f t="shared" si="47"/>
        <v>#REF!</v>
      </c>
      <c r="K75" s="174" t="e">
        <f t="shared" si="47"/>
        <v>#REF!</v>
      </c>
      <c r="L75" s="174" t="e">
        <f t="shared" si="47"/>
        <v>#REF!</v>
      </c>
      <c r="M75" s="174" t="e">
        <f t="shared" si="47"/>
        <v>#REF!</v>
      </c>
      <c r="N75" s="174" t="e">
        <f t="shared" si="47"/>
        <v>#REF!</v>
      </c>
      <c r="O75" s="174" t="e">
        <f t="shared" si="47"/>
        <v>#REF!</v>
      </c>
      <c r="P75" s="174" t="e">
        <f t="shared" si="47"/>
        <v>#REF!</v>
      </c>
      <c r="Q75" s="168"/>
      <c r="R75" s="147"/>
      <c r="S75" s="145" t="s">
        <v>314</v>
      </c>
      <c r="T75" s="136" t="str">
        <f t="shared" si="6"/>
        <v>0755</v>
      </c>
      <c r="U75" s="136" t="str">
        <f t="shared" si="45"/>
        <v>7520000755</v>
      </c>
      <c r="V75" s="147" t="e">
        <f t="shared" si="43"/>
        <v>#REF!</v>
      </c>
      <c r="W75" s="147" t="e">
        <f t="shared" si="43"/>
        <v>#REF!</v>
      </c>
      <c r="X75" s="147" t="e">
        <f t="shared" si="43"/>
        <v>#REF!</v>
      </c>
      <c r="Y75" s="147" t="e">
        <f t="shared" si="43"/>
        <v>#REF!</v>
      </c>
      <c r="Z75" s="147" t="e">
        <f t="shared" si="43"/>
        <v>#REF!</v>
      </c>
      <c r="AA75" s="147" t="e">
        <f t="shared" si="43"/>
        <v>#REF!</v>
      </c>
      <c r="AB75" s="147" t="e">
        <f t="shared" si="43"/>
        <v>#REF!</v>
      </c>
      <c r="AC75" s="147" t="e">
        <f t="shared" si="43"/>
        <v>#REF!</v>
      </c>
      <c r="AD75" s="147" t="e">
        <f t="shared" si="43"/>
        <v>#REF!</v>
      </c>
      <c r="AE75" s="147" t="e">
        <f t="shared" si="43"/>
        <v>#REF!</v>
      </c>
      <c r="AF75" s="147" t="e">
        <f t="shared" si="43"/>
        <v>#REF!</v>
      </c>
      <c r="AG75" s="147" t="e">
        <f t="shared" si="43"/>
        <v>#REF!</v>
      </c>
      <c r="AH75" s="148" t="e">
        <f t="shared" si="46"/>
        <v>#REF!</v>
      </c>
      <c r="AK75" s="168"/>
      <c r="AL75" s="168"/>
    </row>
    <row r="76" spans="1:38" s="136" customFormat="1" x14ac:dyDescent="0.2">
      <c r="B76" s="149"/>
      <c r="C76" s="138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50"/>
      <c r="R76" s="147"/>
      <c r="S76" s="145" t="s">
        <v>315</v>
      </c>
      <c r="T76" s="136" t="str">
        <f t="shared" si="6"/>
        <v>0755</v>
      </c>
      <c r="U76" s="136" t="str">
        <f t="shared" si="45"/>
        <v>7100000755</v>
      </c>
      <c r="V76" s="147" t="e">
        <f t="shared" ref="V76:AG79" si="48">D132</f>
        <v>#REF!</v>
      </c>
      <c r="W76" s="147" t="e">
        <f t="shared" si="48"/>
        <v>#REF!</v>
      </c>
      <c r="X76" s="147" t="e">
        <f t="shared" si="48"/>
        <v>#REF!</v>
      </c>
      <c r="Y76" s="147" t="e">
        <f t="shared" si="48"/>
        <v>#REF!</v>
      </c>
      <c r="Z76" s="147" t="e">
        <f t="shared" si="48"/>
        <v>#REF!</v>
      </c>
      <c r="AA76" s="147" t="e">
        <f t="shared" si="48"/>
        <v>#REF!</v>
      </c>
      <c r="AB76" s="147" t="e">
        <f t="shared" si="48"/>
        <v>#REF!</v>
      </c>
      <c r="AC76" s="147" t="e">
        <f t="shared" si="48"/>
        <v>#REF!</v>
      </c>
      <c r="AD76" s="147" t="e">
        <f t="shared" si="48"/>
        <v>#REF!</v>
      </c>
      <c r="AE76" s="147" t="e">
        <f t="shared" si="48"/>
        <v>#REF!</v>
      </c>
      <c r="AF76" s="147" t="e">
        <f t="shared" si="48"/>
        <v>#REF!</v>
      </c>
      <c r="AG76" s="147" t="e">
        <f t="shared" si="48"/>
        <v>#REF!</v>
      </c>
      <c r="AH76" s="148" t="e">
        <f t="shared" si="46"/>
        <v>#REF!</v>
      </c>
    </row>
    <row r="77" spans="1:38" s="136" customFormat="1" x14ac:dyDescent="0.2">
      <c r="A77" s="155" t="s">
        <v>316</v>
      </c>
      <c r="B77" s="149"/>
      <c r="C77" s="138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50"/>
      <c r="R77" s="147"/>
      <c r="S77" s="145" t="s">
        <v>317</v>
      </c>
      <c r="T77" s="136" t="str">
        <f t="shared" ref="T77:T126" si="49">+$T$10</f>
        <v>0755</v>
      </c>
      <c r="U77" s="136" t="str">
        <f t="shared" si="45"/>
        <v>7150000755</v>
      </c>
      <c r="V77" s="147" t="e">
        <f t="shared" si="48"/>
        <v>#REF!</v>
      </c>
      <c r="W77" s="147" t="e">
        <f t="shared" si="48"/>
        <v>#REF!</v>
      </c>
      <c r="X77" s="147" t="e">
        <f t="shared" si="48"/>
        <v>#REF!</v>
      </c>
      <c r="Y77" s="147" t="e">
        <f t="shared" si="48"/>
        <v>#REF!</v>
      </c>
      <c r="Z77" s="147" t="e">
        <f t="shared" si="48"/>
        <v>#REF!</v>
      </c>
      <c r="AA77" s="147" t="e">
        <f t="shared" si="48"/>
        <v>#REF!</v>
      </c>
      <c r="AB77" s="147" t="e">
        <f t="shared" si="48"/>
        <v>#REF!</v>
      </c>
      <c r="AC77" s="147" t="e">
        <f t="shared" si="48"/>
        <v>#REF!</v>
      </c>
      <c r="AD77" s="147" t="e">
        <f t="shared" si="48"/>
        <v>#REF!</v>
      </c>
      <c r="AE77" s="147" t="e">
        <f t="shared" si="48"/>
        <v>#REF!</v>
      </c>
      <c r="AF77" s="147" t="e">
        <f t="shared" si="48"/>
        <v>#REF!</v>
      </c>
      <c r="AG77" s="147" t="e">
        <f t="shared" si="48"/>
        <v>#REF!</v>
      </c>
      <c r="AH77" s="148" t="e">
        <f t="shared" si="46"/>
        <v>#REF!</v>
      </c>
    </row>
    <row r="78" spans="1:38" s="136" customFormat="1" x14ac:dyDescent="0.2">
      <c r="A78" s="155" t="s">
        <v>318</v>
      </c>
      <c r="B78" s="149" t="e">
        <f>-#REF!</f>
        <v>#REF!</v>
      </c>
      <c r="C78" s="138"/>
      <c r="D78" s="147" t="e">
        <f>(($B78/$P$8)*D$8)</f>
        <v>#REF!</v>
      </c>
      <c r="E78" s="147" t="e">
        <f>(($B78/$P$8)*E$8)</f>
        <v>#REF!</v>
      </c>
      <c r="F78" s="147" t="e">
        <f>(($B78/$P$8)*F$8)</f>
        <v>#REF!</v>
      </c>
      <c r="G78" s="147" t="e">
        <f>(($B78/$P$8)*G$8)</f>
        <v>#REF!</v>
      </c>
      <c r="H78" s="147" t="e">
        <f t="shared" ref="H78:O79" si="50">($B78/$P$8)*H$8</f>
        <v>#REF!</v>
      </c>
      <c r="I78" s="147" t="e">
        <f t="shared" si="50"/>
        <v>#REF!</v>
      </c>
      <c r="J78" s="147" t="e">
        <f t="shared" si="50"/>
        <v>#REF!</v>
      </c>
      <c r="K78" s="147" t="e">
        <f t="shared" si="50"/>
        <v>#REF!</v>
      </c>
      <c r="L78" s="147" t="e">
        <f t="shared" si="50"/>
        <v>#REF!</v>
      </c>
      <c r="M78" s="147" t="e">
        <f t="shared" si="50"/>
        <v>#REF!</v>
      </c>
      <c r="N78" s="147" t="e">
        <f t="shared" si="50"/>
        <v>#REF!</v>
      </c>
      <c r="O78" s="147" t="e">
        <f t="shared" si="50"/>
        <v>#REF!</v>
      </c>
      <c r="P78" s="147" t="e">
        <f t="shared" ref="P78:P85" si="51">SUM(D78:O78)</f>
        <v>#REF!</v>
      </c>
      <c r="Q78" s="150"/>
      <c r="R78" s="147"/>
      <c r="S78" s="145" t="s">
        <v>319</v>
      </c>
      <c r="T78" s="136" t="str">
        <f t="shared" si="49"/>
        <v>0755</v>
      </c>
      <c r="U78" s="136" t="str">
        <f t="shared" si="45"/>
        <v>7110000755</v>
      </c>
      <c r="V78" s="147" t="e">
        <f t="shared" si="48"/>
        <v>#REF!</v>
      </c>
      <c r="W78" s="147" t="e">
        <f t="shared" si="48"/>
        <v>#REF!</v>
      </c>
      <c r="X78" s="147" t="e">
        <f t="shared" si="48"/>
        <v>#REF!</v>
      </c>
      <c r="Y78" s="147" t="e">
        <f t="shared" si="48"/>
        <v>#REF!</v>
      </c>
      <c r="Z78" s="147" t="e">
        <f t="shared" si="48"/>
        <v>#REF!</v>
      </c>
      <c r="AA78" s="147" t="e">
        <f t="shared" si="48"/>
        <v>#REF!</v>
      </c>
      <c r="AB78" s="147" t="e">
        <f t="shared" si="48"/>
        <v>#REF!</v>
      </c>
      <c r="AC78" s="147" t="e">
        <f t="shared" si="48"/>
        <v>#REF!</v>
      </c>
      <c r="AD78" s="147" t="e">
        <f t="shared" si="48"/>
        <v>#REF!</v>
      </c>
      <c r="AE78" s="147" t="e">
        <f t="shared" si="48"/>
        <v>#REF!</v>
      </c>
      <c r="AF78" s="147" t="e">
        <f t="shared" si="48"/>
        <v>#REF!</v>
      </c>
      <c r="AG78" s="147" t="e">
        <f t="shared" si="48"/>
        <v>#REF!</v>
      </c>
      <c r="AH78" s="148" t="e">
        <f t="shared" si="46"/>
        <v>#REF!</v>
      </c>
      <c r="AI78" s="168"/>
      <c r="AJ78" s="168"/>
    </row>
    <row r="79" spans="1:38" s="136" customFormat="1" x14ac:dyDescent="0.2">
      <c r="A79" s="155" t="s">
        <v>320</v>
      </c>
      <c r="B79" s="149" t="e">
        <f>-#REF!</f>
        <v>#REF!</v>
      </c>
      <c r="C79" s="138"/>
      <c r="D79" s="147" t="e">
        <f>($B79/$P$8)*D$8</f>
        <v>#REF!</v>
      </c>
      <c r="E79" s="147" t="e">
        <f>($B79/$P$8)*E$8</f>
        <v>#REF!</v>
      </c>
      <c r="F79" s="147" t="e">
        <f>($B79/$P$8)*F$8</f>
        <v>#REF!</v>
      </c>
      <c r="G79" s="147" t="e">
        <f>($B79/$P$8)*G$8</f>
        <v>#REF!</v>
      </c>
      <c r="H79" s="147" t="e">
        <f t="shared" si="50"/>
        <v>#REF!</v>
      </c>
      <c r="I79" s="147" t="e">
        <f t="shared" si="50"/>
        <v>#REF!</v>
      </c>
      <c r="J79" s="147" t="e">
        <f t="shared" si="50"/>
        <v>#REF!</v>
      </c>
      <c r="K79" s="147" t="e">
        <f t="shared" si="50"/>
        <v>#REF!</v>
      </c>
      <c r="L79" s="147" t="e">
        <f t="shared" si="50"/>
        <v>#REF!</v>
      </c>
      <c r="M79" s="147" t="e">
        <f t="shared" si="50"/>
        <v>#REF!</v>
      </c>
      <c r="N79" s="147" t="e">
        <f t="shared" si="50"/>
        <v>#REF!</v>
      </c>
      <c r="O79" s="147" t="e">
        <f t="shared" si="50"/>
        <v>#REF!</v>
      </c>
      <c r="P79" s="147" t="e">
        <f t="shared" si="51"/>
        <v>#REF!</v>
      </c>
      <c r="Q79" s="150"/>
      <c r="R79" s="147"/>
      <c r="S79" s="145" t="s">
        <v>321</v>
      </c>
      <c r="T79" s="136" t="str">
        <f t="shared" si="49"/>
        <v>0755</v>
      </c>
      <c r="U79" s="136" t="str">
        <f t="shared" si="45"/>
        <v>7160000755</v>
      </c>
      <c r="V79" s="147" t="e">
        <f t="shared" si="48"/>
        <v>#REF!</v>
      </c>
      <c r="W79" s="147" t="e">
        <f t="shared" si="48"/>
        <v>#REF!</v>
      </c>
      <c r="X79" s="147" t="e">
        <f t="shared" si="48"/>
        <v>#REF!</v>
      </c>
      <c r="Y79" s="147" t="e">
        <f t="shared" si="48"/>
        <v>#REF!</v>
      </c>
      <c r="Z79" s="147" t="e">
        <f t="shared" si="48"/>
        <v>#REF!</v>
      </c>
      <c r="AA79" s="147" t="e">
        <f t="shared" si="48"/>
        <v>#REF!</v>
      </c>
      <c r="AB79" s="147" t="e">
        <f t="shared" si="48"/>
        <v>#REF!</v>
      </c>
      <c r="AC79" s="147" t="e">
        <f t="shared" si="48"/>
        <v>#REF!</v>
      </c>
      <c r="AD79" s="147" t="e">
        <f t="shared" si="48"/>
        <v>#REF!</v>
      </c>
      <c r="AE79" s="147" t="e">
        <f t="shared" si="48"/>
        <v>#REF!</v>
      </c>
      <c r="AF79" s="147" t="e">
        <f t="shared" si="48"/>
        <v>#REF!</v>
      </c>
      <c r="AG79" s="147" t="e">
        <f t="shared" si="48"/>
        <v>#REF!</v>
      </c>
      <c r="AH79" s="148" t="e">
        <f t="shared" si="46"/>
        <v>#REF!</v>
      </c>
    </row>
    <row r="80" spans="1:38" s="136" customFormat="1" x14ac:dyDescent="0.2">
      <c r="A80" s="155" t="s">
        <v>322</v>
      </c>
      <c r="B80" s="149" t="e">
        <f>-#REF!</f>
        <v>#REF!</v>
      </c>
      <c r="C80" s="138"/>
      <c r="D80" s="147" t="e">
        <f t="shared" ref="D80:O80" si="52">($B80/($P$8))*D$8</f>
        <v>#REF!</v>
      </c>
      <c r="E80" s="147" t="e">
        <f t="shared" si="52"/>
        <v>#REF!</v>
      </c>
      <c r="F80" s="147" t="e">
        <f t="shared" si="52"/>
        <v>#REF!</v>
      </c>
      <c r="G80" s="147" t="e">
        <f t="shared" si="52"/>
        <v>#REF!</v>
      </c>
      <c r="H80" s="147" t="e">
        <f t="shared" si="52"/>
        <v>#REF!</v>
      </c>
      <c r="I80" s="147" t="e">
        <f t="shared" si="52"/>
        <v>#REF!</v>
      </c>
      <c r="J80" s="147" t="e">
        <f t="shared" si="52"/>
        <v>#REF!</v>
      </c>
      <c r="K80" s="147" t="e">
        <f t="shared" si="52"/>
        <v>#REF!</v>
      </c>
      <c r="L80" s="147" t="e">
        <f t="shared" si="52"/>
        <v>#REF!</v>
      </c>
      <c r="M80" s="147" t="e">
        <f t="shared" si="52"/>
        <v>#REF!</v>
      </c>
      <c r="N80" s="147" t="e">
        <f t="shared" si="52"/>
        <v>#REF!</v>
      </c>
      <c r="O80" s="147" t="e">
        <f t="shared" si="52"/>
        <v>#REF!</v>
      </c>
      <c r="P80" s="147" t="e">
        <f t="shared" si="51"/>
        <v>#REF!</v>
      </c>
      <c r="Q80" s="150"/>
      <c r="R80" s="147"/>
      <c r="S80" s="145" t="s">
        <v>323</v>
      </c>
      <c r="T80" s="136" t="str">
        <f t="shared" si="49"/>
        <v>0755</v>
      </c>
      <c r="U80" s="136" t="str">
        <f t="shared" si="45"/>
        <v>7200000755</v>
      </c>
      <c r="V80" s="147" t="e">
        <f t="shared" ref="V80:AG81" si="53">D140</f>
        <v>#REF!</v>
      </c>
      <c r="W80" s="147" t="e">
        <f t="shared" si="53"/>
        <v>#REF!</v>
      </c>
      <c r="X80" s="147" t="e">
        <f t="shared" si="53"/>
        <v>#REF!</v>
      </c>
      <c r="Y80" s="147" t="e">
        <f t="shared" si="53"/>
        <v>#REF!</v>
      </c>
      <c r="Z80" s="147" t="e">
        <f t="shared" si="53"/>
        <v>#REF!</v>
      </c>
      <c r="AA80" s="147" t="e">
        <f t="shared" si="53"/>
        <v>#REF!</v>
      </c>
      <c r="AB80" s="147" t="e">
        <f t="shared" si="53"/>
        <v>#REF!</v>
      </c>
      <c r="AC80" s="147" t="e">
        <f t="shared" si="53"/>
        <v>#REF!</v>
      </c>
      <c r="AD80" s="147" t="e">
        <f t="shared" si="53"/>
        <v>#REF!</v>
      </c>
      <c r="AE80" s="147" t="e">
        <f t="shared" si="53"/>
        <v>#REF!</v>
      </c>
      <c r="AF80" s="147" t="e">
        <f t="shared" si="53"/>
        <v>#REF!</v>
      </c>
      <c r="AG80" s="147" t="e">
        <f t="shared" si="53"/>
        <v>#REF!</v>
      </c>
      <c r="AH80" s="148" t="e">
        <f t="shared" si="46"/>
        <v>#REF!</v>
      </c>
    </row>
    <row r="81" spans="1:38" s="136" customFormat="1" x14ac:dyDescent="0.2">
      <c r="A81" s="155" t="s">
        <v>324</v>
      </c>
      <c r="B81" s="149" t="e">
        <f>-#REF!</f>
        <v>#REF!</v>
      </c>
      <c r="C81" s="138"/>
      <c r="D81" s="147" t="e">
        <f t="shared" ref="D81:O85" si="54">($B81/$P$8)*D$8</f>
        <v>#REF!</v>
      </c>
      <c r="E81" s="147" t="e">
        <f t="shared" si="54"/>
        <v>#REF!</v>
      </c>
      <c r="F81" s="147" t="e">
        <f t="shared" si="54"/>
        <v>#REF!</v>
      </c>
      <c r="G81" s="147" t="e">
        <f t="shared" si="54"/>
        <v>#REF!</v>
      </c>
      <c r="H81" s="147" t="e">
        <f t="shared" si="54"/>
        <v>#REF!</v>
      </c>
      <c r="I81" s="147" t="e">
        <f t="shared" si="54"/>
        <v>#REF!</v>
      </c>
      <c r="J81" s="147" t="e">
        <f t="shared" si="54"/>
        <v>#REF!</v>
      </c>
      <c r="K81" s="147" t="e">
        <f t="shared" si="54"/>
        <v>#REF!</v>
      </c>
      <c r="L81" s="147" t="e">
        <f t="shared" si="54"/>
        <v>#REF!</v>
      </c>
      <c r="M81" s="147" t="e">
        <f t="shared" si="54"/>
        <v>#REF!</v>
      </c>
      <c r="N81" s="147" t="e">
        <f t="shared" si="54"/>
        <v>#REF!</v>
      </c>
      <c r="O81" s="147" t="e">
        <f t="shared" si="54"/>
        <v>#REF!</v>
      </c>
      <c r="P81" s="147" t="e">
        <f t="shared" si="51"/>
        <v>#REF!</v>
      </c>
      <c r="Q81" s="150"/>
      <c r="R81" s="147"/>
      <c r="S81" s="145" t="s">
        <v>325</v>
      </c>
      <c r="T81" s="136" t="str">
        <f t="shared" si="49"/>
        <v>0755</v>
      </c>
      <c r="U81" s="136" t="str">
        <f t="shared" si="45"/>
        <v>7250000755</v>
      </c>
      <c r="V81" s="147" t="e">
        <f t="shared" si="53"/>
        <v>#REF!</v>
      </c>
      <c r="W81" s="147" t="e">
        <f t="shared" si="53"/>
        <v>#REF!</v>
      </c>
      <c r="X81" s="147" t="e">
        <f t="shared" si="53"/>
        <v>#REF!</v>
      </c>
      <c r="Y81" s="147" t="e">
        <f t="shared" si="53"/>
        <v>#REF!</v>
      </c>
      <c r="Z81" s="147" t="e">
        <f t="shared" si="53"/>
        <v>#REF!</v>
      </c>
      <c r="AA81" s="147" t="e">
        <f t="shared" si="53"/>
        <v>#REF!</v>
      </c>
      <c r="AB81" s="147" t="e">
        <f t="shared" si="53"/>
        <v>#REF!</v>
      </c>
      <c r="AC81" s="147" t="e">
        <f t="shared" si="53"/>
        <v>#REF!</v>
      </c>
      <c r="AD81" s="147" t="e">
        <f t="shared" si="53"/>
        <v>#REF!</v>
      </c>
      <c r="AE81" s="147" t="e">
        <f t="shared" si="53"/>
        <v>#REF!</v>
      </c>
      <c r="AF81" s="147" t="e">
        <f t="shared" si="53"/>
        <v>#REF!</v>
      </c>
      <c r="AG81" s="147" t="e">
        <f t="shared" si="53"/>
        <v>#REF!</v>
      </c>
      <c r="AH81" s="148" t="e">
        <f t="shared" si="46"/>
        <v>#REF!</v>
      </c>
    </row>
    <row r="82" spans="1:38" s="136" customFormat="1" x14ac:dyDescent="0.2">
      <c r="A82" s="155" t="s">
        <v>326</v>
      </c>
      <c r="B82" s="149" t="e">
        <f>-#REF!</f>
        <v>#REF!</v>
      </c>
      <c r="C82" s="138"/>
      <c r="D82" s="147" t="e">
        <f t="shared" si="54"/>
        <v>#REF!</v>
      </c>
      <c r="E82" s="147" t="e">
        <f t="shared" si="54"/>
        <v>#REF!</v>
      </c>
      <c r="F82" s="147" t="e">
        <f t="shared" si="54"/>
        <v>#REF!</v>
      </c>
      <c r="G82" s="147" t="e">
        <f t="shared" si="54"/>
        <v>#REF!</v>
      </c>
      <c r="H82" s="147" t="e">
        <f t="shared" si="54"/>
        <v>#REF!</v>
      </c>
      <c r="I82" s="147" t="e">
        <f t="shared" si="54"/>
        <v>#REF!</v>
      </c>
      <c r="J82" s="147" t="e">
        <f t="shared" si="54"/>
        <v>#REF!</v>
      </c>
      <c r="K82" s="147" t="e">
        <f t="shared" si="54"/>
        <v>#REF!</v>
      </c>
      <c r="L82" s="147" t="e">
        <f t="shared" si="54"/>
        <v>#REF!</v>
      </c>
      <c r="M82" s="147" t="e">
        <f t="shared" si="54"/>
        <v>#REF!</v>
      </c>
      <c r="N82" s="147" t="e">
        <f t="shared" si="54"/>
        <v>#REF!</v>
      </c>
      <c r="O82" s="147" t="e">
        <f t="shared" si="54"/>
        <v>#REF!</v>
      </c>
      <c r="P82" s="147" t="e">
        <f t="shared" si="51"/>
        <v>#REF!</v>
      </c>
      <c r="Q82" s="150"/>
      <c r="R82" s="147"/>
      <c r="S82" s="145" t="s">
        <v>327</v>
      </c>
      <c r="T82" s="136" t="str">
        <f t="shared" si="49"/>
        <v>0755</v>
      </c>
      <c r="U82" s="136" t="str">
        <f t="shared" si="45"/>
        <v>7220000755</v>
      </c>
      <c r="V82" s="147" t="e">
        <f t="shared" ref="V82:AG87" si="55">D146</f>
        <v>#REF!</v>
      </c>
      <c r="W82" s="147" t="e">
        <f t="shared" si="55"/>
        <v>#REF!</v>
      </c>
      <c r="X82" s="147" t="e">
        <f t="shared" si="55"/>
        <v>#REF!</v>
      </c>
      <c r="Y82" s="147" t="e">
        <f t="shared" si="55"/>
        <v>#REF!</v>
      </c>
      <c r="Z82" s="147" t="e">
        <f t="shared" si="55"/>
        <v>#REF!</v>
      </c>
      <c r="AA82" s="147" t="e">
        <f t="shared" si="55"/>
        <v>#REF!</v>
      </c>
      <c r="AB82" s="147" t="e">
        <f t="shared" si="55"/>
        <v>#REF!</v>
      </c>
      <c r="AC82" s="147" t="e">
        <f t="shared" si="55"/>
        <v>#REF!</v>
      </c>
      <c r="AD82" s="147" t="e">
        <f t="shared" si="55"/>
        <v>#REF!</v>
      </c>
      <c r="AE82" s="147" t="e">
        <f t="shared" si="55"/>
        <v>#REF!</v>
      </c>
      <c r="AF82" s="147" t="e">
        <f t="shared" si="55"/>
        <v>#REF!</v>
      </c>
      <c r="AG82" s="147" t="e">
        <f t="shared" si="55"/>
        <v>#REF!</v>
      </c>
      <c r="AH82" s="148" t="e">
        <f t="shared" si="46"/>
        <v>#REF!</v>
      </c>
    </row>
    <row r="83" spans="1:38" s="136" customFormat="1" x14ac:dyDescent="0.2">
      <c r="A83" s="155" t="s">
        <v>328</v>
      </c>
      <c r="B83" s="149" t="e">
        <f>-#REF!</f>
        <v>#REF!</v>
      </c>
      <c r="C83" s="138"/>
      <c r="D83" s="147" t="e">
        <f t="shared" si="54"/>
        <v>#REF!</v>
      </c>
      <c r="E83" s="147" t="e">
        <f t="shared" si="54"/>
        <v>#REF!</v>
      </c>
      <c r="F83" s="147" t="e">
        <f t="shared" si="54"/>
        <v>#REF!</v>
      </c>
      <c r="G83" s="147" t="e">
        <f t="shared" si="54"/>
        <v>#REF!</v>
      </c>
      <c r="H83" s="147" t="e">
        <f t="shared" si="54"/>
        <v>#REF!</v>
      </c>
      <c r="I83" s="147" t="e">
        <f t="shared" si="54"/>
        <v>#REF!</v>
      </c>
      <c r="J83" s="147" t="e">
        <f t="shared" si="54"/>
        <v>#REF!</v>
      </c>
      <c r="K83" s="147" t="e">
        <f t="shared" si="54"/>
        <v>#REF!</v>
      </c>
      <c r="L83" s="147" t="e">
        <f t="shared" si="54"/>
        <v>#REF!</v>
      </c>
      <c r="M83" s="147" t="e">
        <f t="shared" si="54"/>
        <v>#REF!</v>
      </c>
      <c r="N83" s="147" t="e">
        <f t="shared" si="54"/>
        <v>#REF!</v>
      </c>
      <c r="O83" s="147" t="e">
        <f t="shared" si="54"/>
        <v>#REF!</v>
      </c>
      <c r="P83" s="147" t="e">
        <f t="shared" si="51"/>
        <v>#REF!</v>
      </c>
      <c r="Q83" s="150"/>
      <c r="R83" s="147"/>
      <c r="S83" s="145" t="s">
        <v>329</v>
      </c>
      <c r="T83" s="136" t="str">
        <f t="shared" si="49"/>
        <v>0755</v>
      </c>
      <c r="U83" s="136" t="str">
        <f t="shared" si="45"/>
        <v>7270000755</v>
      </c>
      <c r="V83" s="147" t="e">
        <f t="shared" si="55"/>
        <v>#REF!</v>
      </c>
      <c r="W83" s="147" t="e">
        <f t="shared" si="55"/>
        <v>#REF!</v>
      </c>
      <c r="X83" s="147" t="e">
        <f t="shared" si="55"/>
        <v>#REF!</v>
      </c>
      <c r="Y83" s="147" t="e">
        <f t="shared" si="55"/>
        <v>#REF!</v>
      </c>
      <c r="Z83" s="147" t="e">
        <f t="shared" si="55"/>
        <v>#REF!</v>
      </c>
      <c r="AA83" s="147" t="e">
        <f t="shared" si="55"/>
        <v>#REF!</v>
      </c>
      <c r="AB83" s="147" t="e">
        <f t="shared" si="55"/>
        <v>#REF!</v>
      </c>
      <c r="AC83" s="147" t="e">
        <f t="shared" si="55"/>
        <v>#REF!</v>
      </c>
      <c r="AD83" s="147" t="e">
        <f t="shared" si="55"/>
        <v>#REF!</v>
      </c>
      <c r="AE83" s="147" t="e">
        <f t="shared" si="55"/>
        <v>#REF!</v>
      </c>
      <c r="AF83" s="147" t="e">
        <f t="shared" si="55"/>
        <v>#REF!</v>
      </c>
      <c r="AG83" s="147" t="e">
        <f t="shared" si="55"/>
        <v>#REF!</v>
      </c>
      <c r="AH83" s="148" t="e">
        <f t="shared" si="46"/>
        <v>#REF!</v>
      </c>
    </row>
    <row r="84" spans="1:38" s="136" customFormat="1" x14ac:dyDescent="0.2">
      <c r="A84" s="155" t="s">
        <v>330</v>
      </c>
      <c r="B84" s="149" t="e">
        <f>-#REF!</f>
        <v>#REF!</v>
      </c>
      <c r="C84" s="138"/>
      <c r="D84" s="147" t="e">
        <f t="shared" si="54"/>
        <v>#REF!</v>
      </c>
      <c r="E84" s="147" t="e">
        <f t="shared" si="54"/>
        <v>#REF!</v>
      </c>
      <c r="F84" s="147" t="e">
        <f t="shared" si="54"/>
        <v>#REF!</v>
      </c>
      <c r="G84" s="147" t="e">
        <f t="shared" si="54"/>
        <v>#REF!</v>
      </c>
      <c r="H84" s="147" t="e">
        <f t="shared" si="54"/>
        <v>#REF!</v>
      </c>
      <c r="I84" s="147" t="e">
        <f t="shared" si="54"/>
        <v>#REF!</v>
      </c>
      <c r="J84" s="147" t="e">
        <f t="shared" si="54"/>
        <v>#REF!</v>
      </c>
      <c r="K84" s="147" t="e">
        <f t="shared" si="54"/>
        <v>#REF!</v>
      </c>
      <c r="L84" s="147" t="e">
        <f t="shared" si="54"/>
        <v>#REF!</v>
      </c>
      <c r="M84" s="147" t="e">
        <f t="shared" si="54"/>
        <v>#REF!</v>
      </c>
      <c r="N84" s="147" t="e">
        <f t="shared" si="54"/>
        <v>#REF!</v>
      </c>
      <c r="O84" s="147" t="e">
        <f t="shared" si="54"/>
        <v>#REF!</v>
      </c>
      <c r="P84" s="147" t="e">
        <f t="shared" si="51"/>
        <v>#REF!</v>
      </c>
      <c r="Q84" s="150"/>
      <c r="R84" s="147"/>
      <c r="S84" s="145" t="s">
        <v>331</v>
      </c>
      <c r="T84" s="136" t="str">
        <f t="shared" si="49"/>
        <v>0755</v>
      </c>
      <c r="U84" s="136" t="str">
        <f t="shared" si="45"/>
        <v>7230000755</v>
      </c>
      <c r="V84" s="147" t="e">
        <f t="shared" si="55"/>
        <v>#REF!</v>
      </c>
      <c r="W84" s="147" t="e">
        <f t="shared" si="55"/>
        <v>#REF!</v>
      </c>
      <c r="X84" s="147" t="e">
        <f t="shared" si="55"/>
        <v>#REF!</v>
      </c>
      <c r="Y84" s="147" t="e">
        <f t="shared" si="55"/>
        <v>#REF!</v>
      </c>
      <c r="Z84" s="147" t="e">
        <f t="shared" si="55"/>
        <v>#REF!</v>
      </c>
      <c r="AA84" s="147" t="e">
        <f t="shared" si="55"/>
        <v>#REF!</v>
      </c>
      <c r="AB84" s="147" t="e">
        <f t="shared" si="55"/>
        <v>#REF!</v>
      </c>
      <c r="AC84" s="147" t="e">
        <f t="shared" si="55"/>
        <v>#REF!</v>
      </c>
      <c r="AD84" s="147" t="e">
        <f t="shared" si="55"/>
        <v>#REF!</v>
      </c>
      <c r="AE84" s="147" t="e">
        <f t="shared" si="55"/>
        <v>#REF!</v>
      </c>
      <c r="AF84" s="147" t="e">
        <f t="shared" si="55"/>
        <v>#REF!</v>
      </c>
      <c r="AG84" s="147" t="e">
        <f t="shared" si="55"/>
        <v>#REF!</v>
      </c>
      <c r="AH84" s="148" t="e">
        <f t="shared" si="46"/>
        <v>#REF!</v>
      </c>
    </row>
    <row r="85" spans="1:38" s="168" customFormat="1" x14ac:dyDescent="0.2">
      <c r="A85" s="155" t="s">
        <v>332</v>
      </c>
      <c r="B85" s="149" t="e">
        <f>-#REF!</f>
        <v>#REF!</v>
      </c>
      <c r="C85" s="138"/>
      <c r="D85" s="147" t="e">
        <f>(($B85/$P$8)*D$8)</f>
        <v>#REF!</v>
      </c>
      <c r="E85" s="147" t="e">
        <f>(($B85/$P$8)*E$8)</f>
        <v>#REF!</v>
      </c>
      <c r="F85" s="147" t="e">
        <f>(($B85/$P$8)*F$8)</f>
        <v>#REF!</v>
      </c>
      <c r="G85" s="147" t="e">
        <f>(($B85/$P$8)*G$8)</f>
        <v>#REF!</v>
      </c>
      <c r="H85" s="147" t="e">
        <f t="shared" si="54"/>
        <v>#REF!</v>
      </c>
      <c r="I85" s="147" t="e">
        <f t="shared" si="54"/>
        <v>#REF!</v>
      </c>
      <c r="J85" s="147" t="e">
        <f t="shared" si="54"/>
        <v>#REF!</v>
      </c>
      <c r="K85" s="147" t="e">
        <f t="shared" si="54"/>
        <v>#REF!</v>
      </c>
      <c r="L85" s="147" t="e">
        <f t="shared" si="54"/>
        <v>#REF!</v>
      </c>
      <c r="M85" s="147" t="e">
        <f t="shared" si="54"/>
        <v>#REF!</v>
      </c>
      <c r="N85" s="147" t="e">
        <f t="shared" si="54"/>
        <v>#REF!</v>
      </c>
      <c r="O85" s="147" t="e">
        <f t="shared" si="54"/>
        <v>#REF!</v>
      </c>
      <c r="P85" s="147" t="e">
        <f t="shared" si="51"/>
        <v>#REF!</v>
      </c>
      <c r="Q85" s="150"/>
      <c r="R85" s="147"/>
      <c r="S85" s="145"/>
      <c r="T85" s="136"/>
      <c r="U85" s="136"/>
      <c r="V85" s="147" t="e">
        <f t="shared" si="55"/>
        <v>#REF!</v>
      </c>
      <c r="W85" s="147" t="e">
        <f t="shared" si="55"/>
        <v>#REF!</v>
      </c>
      <c r="X85" s="147" t="e">
        <f t="shared" si="55"/>
        <v>#REF!</v>
      </c>
      <c r="Y85" s="147" t="e">
        <f t="shared" si="55"/>
        <v>#REF!</v>
      </c>
      <c r="Z85" s="147" t="e">
        <f t="shared" si="55"/>
        <v>#REF!</v>
      </c>
      <c r="AA85" s="147" t="e">
        <f t="shared" si="55"/>
        <v>#REF!</v>
      </c>
      <c r="AB85" s="147" t="e">
        <f t="shared" si="55"/>
        <v>#REF!</v>
      </c>
      <c r="AC85" s="147" t="e">
        <f t="shared" si="55"/>
        <v>#REF!</v>
      </c>
      <c r="AD85" s="147" t="e">
        <f t="shared" si="55"/>
        <v>#REF!</v>
      </c>
      <c r="AE85" s="147" t="e">
        <f t="shared" si="55"/>
        <v>#REF!</v>
      </c>
      <c r="AF85" s="147" t="e">
        <f t="shared" si="55"/>
        <v>#REF!</v>
      </c>
      <c r="AG85" s="147" t="e">
        <f t="shared" si="55"/>
        <v>#REF!</v>
      </c>
      <c r="AH85" s="148" t="e">
        <f t="shared" si="46"/>
        <v>#REF!</v>
      </c>
      <c r="AI85" s="136"/>
      <c r="AJ85" s="136"/>
      <c r="AK85" s="136"/>
      <c r="AL85" s="136"/>
    </row>
    <row r="86" spans="1:38" s="168" customFormat="1" x14ac:dyDescent="0.2">
      <c r="A86" s="136"/>
      <c r="B86" s="151"/>
      <c r="C86" s="138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0"/>
      <c r="R86" s="147"/>
      <c r="S86" s="145" t="s">
        <v>333</v>
      </c>
      <c r="T86" s="136" t="str">
        <f t="shared" si="49"/>
        <v>0755</v>
      </c>
      <c r="U86" s="136" t="str">
        <f t="shared" si="45"/>
        <v>7300000755</v>
      </c>
      <c r="V86" s="147" t="e">
        <f t="shared" si="55"/>
        <v>#REF!</v>
      </c>
      <c r="W86" s="147" t="e">
        <f t="shared" si="55"/>
        <v>#REF!</v>
      </c>
      <c r="X86" s="147" t="e">
        <f t="shared" si="55"/>
        <v>#REF!</v>
      </c>
      <c r="Y86" s="147" t="e">
        <f t="shared" si="55"/>
        <v>#REF!</v>
      </c>
      <c r="Z86" s="147" t="e">
        <f t="shared" si="55"/>
        <v>#REF!</v>
      </c>
      <c r="AA86" s="147" t="e">
        <f t="shared" si="55"/>
        <v>#REF!</v>
      </c>
      <c r="AB86" s="147" t="e">
        <f t="shared" si="55"/>
        <v>#REF!</v>
      </c>
      <c r="AC86" s="147" t="e">
        <f t="shared" si="55"/>
        <v>#REF!</v>
      </c>
      <c r="AD86" s="147" t="e">
        <f t="shared" si="55"/>
        <v>#REF!</v>
      </c>
      <c r="AE86" s="147" t="e">
        <f t="shared" si="55"/>
        <v>#REF!</v>
      </c>
      <c r="AF86" s="147" t="e">
        <f t="shared" si="55"/>
        <v>#REF!</v>
      </c>
      <c r="AG86" s="147" t="e">
        <f t="shared" si="55"/>
        <v>#REF!</v>
      </c>
      <c r="AH86" s="148" t="e">
        <f t="shared" si="46"/>
        <v>#REF!</v>
      </c>
      <c r="AI86" s="136"/>
      <c r="AJ86" s="136"/>
      <c r="AK86" s="136"/>
      <c r="AL86" s="136"/>
    </row>
    <row r="87" spans="1:38" s="136" customFormat="1" x14ac:dyDescent="0.2">
      <c r="A87" s="155" t="s">
        <v>334</v>
      </c>
      <c r="B87" s="175" t="e">
        <f>SUM(B78:B86)</f>
        <v>#REF!</v>
      </c>
      <c r="C87" s="138"/>
      <c r="D87" s="164" t="e">
        <f t="shared" ref="D87:P87" si="56">SUM(D78:D86)</f>
        <v>#REF!</v>
      </c>
      <c r="E87" s="164" t="e">
        <f t="shared" si="56"/>
        <v>#REF!</v>
      </c>
      <c r="F87" s="164" t="e">
        <f t="shared" si="56"/>
        <v>#REF!</v>
      </c>
      <c r="G87" s="164" t="e">
        <f t="shared" si="56"/>
        <v>#REF!</v>
      </c>
      <c r="H87" s="164" t="e">
        <f>SUM(H78:H86)</f>
        <v>#REF!</v>
      </c>
      <c r="I87" s="164" t="e">
        <f t="shared" si="56"/>
        <v>#REF!</v>
      </c>
      <c r="J87" s="164" t="e">
        <f t="shared" si="56"/>
        <v>#REF!</v>
      </c>
      <c r="K87" s="164" t="e">
        <f t="shared" si="56"/>
        <v>#REF!</v>
      </c>
      <c r="L87" s="164" t="e">
        <f t="shared" si="56"/>
        <v>#REF!</v>
      </c>
      <c r="M87" s="164" t="e">
        <f t="shared" si="56"/>
        <v>#REF!</v>
      </c>
      <c r="N87" s="164" t="e">
        <f t="shared" si="56"/>
        <v>#REF!</v>
      </c>
      <c r="O87" s="164" t="e">
        <f t="shared" si="56"/>
        <v>#REF!</v>
      </c>
      <c r="P87" s="164" t="e">
        <f t="shared" si="56"/>
        <v>#REF!</v>
      </c>
      <c r="Q87" s="150"/>
      <c r="R87" s="147"/>
      <c r="S87" s="145" t="s">
        <v>335</v>
      </c>
      <c r="T87" s="136" t="str">
        <f t="shared" si="49"/>
        <v>0755</v>
      </c>
      <c r="U87" s="136" t="str">
        <f t="shared" si="45"/>
        <v>7350000755</v>
      </c>
      <c r="V87" s="147" t="e">
        <f t="shared" si="55"/>
        <v>#REF!</v>
      </c>
      <c r="W87" s="147" t="e">
        <f t="shared" si="55"/>
        <v>#REF!</v>
      </c>
      <c r="X87" s="147" t="e">
        <f t="shared" si="55"/>
        <v>#REF!</v>
      </c>
      <c r="Y87" s="147" t="e">
        <f t="shared" si="55"/>
        <v>#REF!</v>
      </c>
      <c r="Z87" s="147" t="e">
        <f t="shared" si="55"/>
        <v>#REF!</v>
      </c>
      <c r="AA87" s="147" t="e">
        <f t="shared" si="55"/>
        <v>#REF!</v>
      </c>
      <c r="AB87" s="147" t="e">
        <f t="shared" si="55"/>
        <v>#REF!</v>
      </c>
      <c r="AC87" s="147" t="e">
        <f t="shared" si="55"/>
        <v>#REF!</v>
      </c>
      <c r="AD87" s="147" t="e">
        <f t="shared" si="55"/>
        <v>#REF!</v>
      </c>
      <c r="AE87" s="147" t="e">
        <f t="shared" si="55"/>
        <v>#REF!</v>
      </c>
      <c r="AF87" s="147" t="e">
        <f t="shared" si="55"/>
        <v>#REF!</v>
      </c>
      <c r="AG87" s="147" t="e">
        <f t="shared" si="55"/>
        <v>#REF!</v>
      </c>
      <c r="AH87" s="148" t="e">
        <f t="shared" si="46"/>
        <v>#REF!</v>
      </c>
      <c r="AK87" s="168"/>
      <c r="AL87" s="168"/>
    </row>
    <row r="88" spans="1:38" s="136" customFormat="1" x14ac:dyDescent="0.2">
      <c r="A88" s="168"/>
      <c r="B88" s="176" t="e">
        <f>B87/B$23</f>
        <v>#REF!</v>
      </c>
      <c r="C88" s="138"/>
      <c r="D88" s="174" t="e">
        <f t="shared" ref="D88:P88" si="57">D87/D$23</f>
        <v>#REF!</v>
      </c>
      <c r="E88" s="174" t="e">
        <f t="shared" si="57"/>
        <v>#REF!</v>
      </c>
      <c r="F88" s="174" t="e">
        <f t="shared" si="57"/>
        <v>#REF!</v>
      </c>
      <c r="G88" s="174" t="e">
        <f t="shared" si="57"/>
        <v>#REF!</v>
      </c>
      <c r="H88" s="174" t="e">
        <f t="shared" si="57"/>
        <v>#REF!</v>
      </c>
      <c r="I88" s="174" t="e">
        <f t="shared" si="57"/>
        <v>#REF!</v>
      </c>
      <c r="J88" s="174" t="e">
        <f t="shared" si="57"/>
        <v>#REF!</v>
      </c>
      <c r="K88" s="174" t="e">
        <f t="shared" si="57"/>
        <v>#REF!</v>
      </c>
      <c r="L88" s="174" t="e">
        <f t="shared" si="57"/>
        <v>#REF!</v>
      </c>
      <c r="M88" s="174" t="e">
        <f t="shared" si="57"/>
        <v>#REF!</v>
      </c>
      <c r="N88" s="174" t="e">
        <f t="shared" si="57"/>
        <v>#REF!</v>
      </c>
      <c r="O88" s="174" t="e">
        <f t="shared" si="57"/>
        <v>#REF!</v>
      </c>
      <c r="P88" s="174" t="e">
        <f t="shared" si="57"/>
        <v>#REF!</v>
      </c>
      <c r="Q88" s="168"/>
      <c r="R88" s="147"/>
      <c r="S88" s="145" t="s">
        <v>336</v>
      </c>
      <c r="T88" s="136" t="str">
        <f t="shared" si="49"/>
        <v>0755</v>
      </c>
      <c r="U88" s="136" t="str">
        <f t="shared" si="45"/>
        <v>7530000755</v>
      </c>
      <c r="V88" s="147" t="e">
        <f t="shared" ref="V88:AG88" si="58">D162</f>
        <v>#REF!</v>
      </c>
      <c r="W88" s="147" t="e">
        <f t="shared" si="58"/>
        <v>#REF!</v>
      </c>
      <c r="X88" s="147" t="e">
        <f t="shared" si="58"/>
        <v>#REF!</v>
      </c>
      <c r="Y88" s="147" t="e">
        <f t="shared" si="58"/>
        <v>#REF!</v>
      </c>
      <c r="Z88" s="147" t="e">
        <f t="shared" si="58"/>
        <v>#REF!</v>
      </c>
      <c r="AA88" s="147" t="e">
        <f t="shared" si="58"/>
        <v>#REF!</v>
      </c>
      <c r="AB88" s="147" t="e">
        <f t="shared" si="58"/>
        <v>#REF!</v>
      </c>
      <c r="AC88" s="147" t="e">
        <f t="shared" si="58"/>
        <v>#REF!</v>
      </c>
      <c r="AD88" s="147" t="e">
        <f t="shared" si="58"/>
        <v>#REF!</v>
      </c>
      <c r="AE88" s="147" t="e">
        <f t="shared" si="58"/>
        <v>#REF!</v>
      </c>
      <c r="AF88" s="147" t="e">
        <f t="shared" si="58"/>
        <v>#REF!</v>
      </c>
      <c r="AG88" s="147" t="e">
        <f t="shared" si="58"/>
        <v>#REF!</v>
      </c>
      <c r="AH88" s="148" t="e">
        <f t="shared" si="46"/>
        <v>#REF!</v>
      </c>
      <c r="AK88" s="168"/>
      <c r="AL88" s="168"/>
    </row>
    <row r="89" spans="1:38" s="136" customFormat="1" x14ac:dyDescent="0.2">
      <c r="A89" s="168"/>
      <c r="B89" s="149"/>
      <c r="C89" s="138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68"/>
      <c r="R89" s="147"/>
      <c r="S89" s="145" t="s">
        <v>337</v>
      </c>
      <c r="T89" s="136" t="str">
        <f t="shared" si="49"/>
        <v>0755</v>
      </c>
      <c r="U89" s="136" t="str">
        <f t="shared" si="45"/>
        <v>6510000755</v>
      </c>
      <c r="V89" s="147" t="e">
        <f t="shared" ref="V89:V100" si="59">D167</f>
        <v>#REF!</v>
      </c>
      <c r="W89" s="147" t="e">
        <f t="shared" ref="W89:W100" si="60">E167</f>
        <v>#REF!</v>
      </c>
      <c r="X89" s="147" t="e">
        <f t="shared" ref="X89:X100" si="61">F167</f>
        <v>#REF!</v>
      </c>
      <c r="Y89" s="147" t="e">
        <f t="shared" ref="Y89:Y100" si="62">G167</f>
        <v>#REF!</v>
      </c>
      <c r="Z89" s="147" t="e">
        <f t="shared" ref="Z89:Z100" si="63">H167</f>
        <v>#REF!</v>
      </c>
      <c r="AA89" s="147" t="e">
        <f t="shared" ref="AA89:AA100" si="64">I167</f>
        <v>#REF!</v>
      </c>
      <c r="AB89" s="147" t="e">
        <f t="shared" ref="AB89:AB100" si="65">J167</f>
        <v>#REF!</v>
      </c>
      <c r="AC89" s="147" t="e">
        <f t="shared" ref="AC89:AC100" si="66">K167</f>
        <v>#REF!</v>
      </c>
      <c r="AD89" s="147" t="e">
        <f t="shared" ref="AD89:AD100" si="67">L167</f>
        <v>#REF!</v>
      </c>
      <c r="AE89" s="147" t="e">
        <f t="shared" ref="AE89:AE100" si="68">M167</f>
        <v>#REF!</v>
      </c>
      <c r="AF89" s="147" t="e">
        <f t="shared" ref="AF89:AF100" si="69">N167</f>
        <v>#REF!</v>
      </c>
      <c r="AG89" s="147" t="e">
        <f t="shared" ref="AG89:AG100" si="70">O167</f>
        <v>#REF!</v>
      </c>
      <c r="AH89" s="148" t="e">
        <f t="shared" si="46"/>
        <v>#REF!</v>
      </c>
    </row>
    <row r="90" spans="1:38" s="136" customFormat="1" x14ac:dyDescent="0.2">
      <c r="A90" s="155" t="s">
        <v>338</v>
      </c>
      <c r="B90" s="149"/>
      <c r="C90" s="138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50"/>
      <c r="R90" s="147"/>
      <c r="S90" s="145" t="s">
        <v>339</v>
      </c>
      <c r="T90" s="136" t="str">
        <f t="shared" si="49"/>
        <v>0755</v>
      </c>
      <c r="U90" s="136" t="str">
        <f t="shared" si="45"/>
        <v>6520000755</v>
      </c>
      <c r="V90" s="147" t="e">
        <f t="shared" si="59"/>
        <v>#REF!</v>
      </c>
      <c r="W90" s="147" t="e">
        <f t="shared" si="60"/>
        <v>#REF!</v>
      </c>
      <c r="X90" s="147" t="e">
        <f t="shared" si="61"/>
        <v>#REF!</v>
      </c>
      <c r="Y90" s="147" t="e">
        <f t="shared" si="62"/>
        <v>#REF!</v>
      </c>
      <c r="Z90" s="147" t="e">
        <f t="shared" si="63"/>
        <v>#REF!</v>
      </c>
      <c r="AA90" s="147" t="e">
        <f t="shared" si="64"/>
        <v>#REF!</v>
      </c>
      <c r="AB90" s="147" t="e">
        <f t="shared" si="65"/>
        <v>#REF!</v>
      </c>
      <c r="AC90" s="147" t="e">
        <f t="shared" si="66"/>
        <v>#REF!</v>
      </c>
      <c r="AD90" s="147" t="e">
        <f t="shared" si="67"/>
        <v>#REF!</v>
      </c>
      <c r="AE90" s="147" t="e">
        <f t="shared" si="68"/>
        <v>#REF!</v>
      </c>
      <c r="AF90" s="147" t="e">
        <f t="shared" si="69"/>
        <v>#REF!</v>
      </c>
      <c r="AG90" s="147" t="e">
        <f t="shared" si="70"/>
        <v>#REF!</v>
      </c>
      <c r="AH90" s="148" t="e">
        <f t="shared" si="46"/>
        <v>#REF!</v>
      </c>
      <c r="AI90" s="168"/>
      <c r="AJ90" s="168"/>
    </row>
    <row r="91" spans="1:38" s="136" customFormat="1" x14ac:dyDescent="0.2">
      <c r="B91" s="149"/>
      <c r="C91" s="138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50"/>
      <c r="R91" s="147"/>
      <c r="S91" s="145" t="s">
        <v>340</v>
      </c>
      <c r="T91" s="136" t="str">
        <f t="shared" si="49"/>
        <v>0755</v>
      </c>
      <c r="U91" s="136" t="str">
        <f t="shared" si="45"/>
        <v>6530000755</v>
      </c>
      <c r="V91" s="147" t="e">
        <f t="shared" si="59"/>
        <v>#REF!</v>
      </c>
      <c r="W91" s="147" t="e">
        <f t="shared" si="60"/>
        <v>#REF!</v>
      </c>
      <c r="X91" s="147" t="e">
        <f t="shared" si="61"/>
        <v>#REF!</v>
      </c>
      <c r="Y91" s="147" t="e">
        <f t="shared" si="62"/>
        <v>#REF!</v>
      </c>
      <c r="Z91" s="147" t="e">
        <f t="shared" si="63"/>
        <v>#REF!</v>
      </c>
      <c r="AA91" s="147" t="e">
        <f t="shared" si="64"/>
        <v>#REF!</v>
      </c>
      <c r="AB91" s="147" t="e">
        <f t="shared" si="65"/>
        <v>#REF!</v>
      </c>
      <c r="AC91" s="147" t="e">
        <f t="shared" si="66"/>
        <v>#REF!</v>
      </c>
      <c r="AD91" s="147" t="e">
        <f t="shared" si="67"/>
        <v>#REF!</v>
      </c>
      <c r="AE91" s="147" t="e">
        <f t="shared" si="68"/>
        <v>#REF!</v>
      </c>
      <c r="AF91" s="147" t="e">
        <f t="shared" si="69"/>
        <v>#REF!</v>
      </c>
      <c r="AG91" s="147" t="e">
        <f t="shared" si="70"/>
        <v>#REF!</v>
      </c>
      <c r="AH91" s="148" t="e">
        <f t="shared" si="46"/>
        <v>#REF!</v>
      </c>
      <c r="AI91" s="168"/>
      <c r="AJ91" s="168"/>
    </row>
    <row r="92" spans="1:38" s="136" customFormat="1" x14ac:dyDescent="0.2">
      <c r="A92" s="155" t="s">
        <v>341</v>
      </c>
      <c r="B92" s="149"/>
      <c r="C92" s="138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50"/>
      <c r="R92" s="147"/>
      <c r="S92" s="145"/>
      <c r="V92" s="147" t="e">
        <f t="shared" si="59"/>
        <v>#REF!</v>
      </c>
      <c r="W92" s="147" t="e">
        <f t="shared" si="60"/>
        <v>#REF!</v>
      </c>
      <c r="X92" s="147" t="e">
        <f t="shared" si="61"/>
        <v>#REF!</v>
      </c>
      <c r="Y92" s="147" t="e">
        <f t="shared" si="62"/>
        <v>#REF!</v>
      </c>
      <c r="Z92" s="147" t="e">
        <f t="shared" si="63"/>
        <v>#REF!</v>
      </c>
      <c r="AA92" s="147" t="e">
        <f t="shared" si="64"/>
        <v>#REF!</v>
      </c>
      <c r="AB92" s="147" t="e">
        <f t="shared" si="65"/>
        <v>#REF!</v>
      </c>
      <c r="AC92" s="147" t="e">
        <f t="shared" si="66"/>
        <v>#REF!</v>
      </c>
      <c r="AD92" s="147" t="e">
        <f t="shared" si="67"/>
        <v>#REF!</v>
      </c>
      <c r="AE92" s="147" t="e">
        <f t="shared" si="68"/>
        <v>#REF!</v>
      </c>
      <c r="AF92" s="147" t="e">
        <f t="shared" si="69"/>
        <v>#REF!</v>
      </c>
      <c r="AG92" s="147" t="e">
        <f t="shared" si="70"/>
        <v>#REF!</v>
      </c>
      <c r="AH92" s="148" t="e">
        <f t="shared" si="46"/>
        <v>#REF!</v>
      </c>
    </row>
    <row r="93" spans="1:38" s="136" customFormat="1" x14ac:dyDescent="0.2">
      <c r="A93" s="155" t="s">
        <v>342</v>
      </c>
      <c r="B93" s="149"/>
      <c r="C93" s="138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50"/>
      <c r="R93" s="147"/>
      <c r="S93" s="145" t="s">
        <v>343</v>
      </c>
      <c r="T93" s="136" t="str">
        <f t="shared" si="49"/>
        <v>0755</v>
      </c>
      <c r="U93" s="136" t="str">
        <f t="shared" si="45"/>
        <v>6540000755</v>
      </c>
      <c r="V93" s="147" t="e">
        <f t="shared" si="59"/>
        <v>#REF!</v>
      </c>
      <c r="W93" s="147" t="e">
        <f t="shared" si="60"/>
        <v>#REF!</v>
      </c>
      <c r="X93" s="147" t="e">
        <f t="shared" si="61"/>
        <v>#REF!</v>
      </c>
      <c r="Y93" s="147" t="e">
        <f t="shared" si="62"/>
        <v>#REF!</v>
      </c>
      <c r="Z93" s="147" t="e">
        <f t="shared" si="63"/>
        <v>#REF!</v>
      </c>
      <c r="AA93" s="147" t="e">
        <f t="shared" si="64"/>
        <v>#REF!</v>
      </c>
      <c r="AB93" s="147" t="e">
        <f t="shared" si="65"/>
        <v>#REF!</v>
      </c>
      <c r="AC93" s="147" t="e">
        <f t="shared" si="66"/>
        <v>#REF!</v>
      </c>
      <c r="AD93" s="147" t="e">
        <f t="shared" si="67"/>
        <v>#REF!</v>
      </c>
      <c r="AE93" s="147" t="e">
        <f t="shared" si="68"/>
        <v>#REF!</v>
      </c>
      <c r="AF93" s="147" t="e">
        <f t="shared" si="69"/>
        <v>#REF!</v>
      </c>
      <c r="AG93" s="147" t="e">
        <f t="shared" si="70"/>
        <v>#REF!</v>
      </c>
      <c r="AH93" s="148" t="e">
        <f t="shared" si="46"/>
        <v>#REF!</v>
      </c>
    </row>
    <row r="94" spans="1:38" s="136" customFormat="1" x14ac:dyDescent="0.2">
      <c r="A94" s="155" t="s">
        <v>344</v>
      </c>
      <c r="B94" s="149" t="e">
        <f>-#REF!</f>
        <v>#REF!</v>
      </c>
      <c r="C94" s="138"/>
      <c r="D94" s="147" t="e">
        <f t="shared" ref="D94:O97" si="71">($B94/$P$8)*D$8</f>
        <v>#REF!</v>
      </c>
      <c r="E94" s="147" t="e">
        <f t="shared" si="71"/>
        <v>#REF!</v>
      </c>
      <c r="F94" s="147" t="e">
        <f t="shared" si="71"/>
        <v>#REF!</v>
      </c>
      <c r="G94" s="147" t="e">
        <f t="shared" si="71"/>
        <v>#REF!</v>
      </c>
      <c r="H94" s="147" t="e">
        <f t="shared" si="71"/>
        <v>#REF!</v>
      </c>
      <c r="I94" s="147" t="e">
        <f t="shared" si="71"/>
        <v>#REF!</v>
      </c>
      <c r="J94" s="147" t="e">
        <f t="shared" si="71"/>
        <v>#REF!</v>
      </c>
      <c r="K94" s="147" t="e">
        <f t="shared" si="71"/>
        <v>#REF!</v>
      </c>
      <c r="L94" s="147" t="e">
        <f t="shared" si="71"/>
        <v>#REF!</v>
      </c>
      <c r="M94" s="147" t="e">
        <f t="shared" si="71"/>
        <v>#REF!</v>
      </c>
      <c r="N94" s="147" t="e">
        <f t="shared" si="71"/>
        <v>#REF!</v>
      </c>
      <c r="O94" s="147" t="e">
        <f t="shared" si="71"/>
        <v>#REF!</v>
      </c>
      <c r="P94" s="147" t="e">
        <f>SUM(D94:O94)</f>
        <v>#REF!</v>
      </c>
      <c r="Q94" s="150"/>
      <c r="R94" s="147"/>
      <c r="S94" s="145" t="s">
        <v>345</v>
      </c>
      <c r="T94" s="136" t="str">
        <f t="shared" si="49"/>
        <v>0755</v>
      </c>
      <c r="U94" s="136" t="str">
        <f t="shared" si="45"/>
        <v>6550000755</v>
      </c>
      <c r="V94" s="147" t="e">
        <f t="shared" si="59"/>
        <v>#REF!</v>
      </c>
      <c r="W94" s="147" t="e">
        <f t="shared" si="60"/>
        <v>#REF!</v>
      </c>
      <c r="X94" s="147" t="e">
        <f t="shared" si="61"/>
        <v>#REF!</v>
      </c>
      <c r="Y94" s="147" t="e">
        <f t="shared" si="62"/>
        <v>#REF!</v>
      </c>
      <c r="Z94" s="147" t="e">
        <f t="shared" si="63"/>
        <v>#REF!</v>
      </c>
      <c r="AA94" s="147" t="e">
        <f t="shared" si="64"/>
        <v>#REF!</v>
      </c>
      <c r="AB94" s="147" t="e">
        <f t="shared" si="65"/>
        <v>#REF!</v>
      </c>
      <c r="AC94" s="147" t="e">
        <f t="shared" si="66"/>
        <v>#REF!</v>
      </c>
      <c r="AD94" s="147" t="e">
        <f t="shared" si="67"/>
        <v>#REF!</v>
      </c>
      <c r="AE94" s="147" t="e">
        <f t="shared" si="68"/>
        <v>#REF!</v>
      </c>
      <c r="AF94" s="147" t="e">
        <f t="shared" si="69"/>
        <v>#REF!</v>
      </c>
      <c r="AG94" s="147" t="e">
        <f t="shared" si="70"/>
        <v>#REF!</v>
      </c>
      <c r="AH94" s="148" t="e">
        <f t="shared" si="46"/>
        <v>#REF!</v>
      </c>
    </row>
    <row r="95" spans="1:38" s="136" customFormat="1" x14ac:dyDescent="0.2">
      <c r="A95" s="155" t="s">
        <v>346</v>
      </c>
      <c r="B95" s="149" t="e">
        <f>-#REF!</f>
        <v>#REF!</v>
      </c>
      <c r="C95" s="138"/>
      <c r="D95" s="147" t="e">
        <f t="shared" si="71"/>
        <v>#REF!</v>
      </c>
      <c r="E95" s="147" t="e">
        <f t="shared" si="71"/>
        <v>#REF!</v>
      </c>
      <c r="F95" s="147" t="e">
        <f t="shared" si="71"/>
        <v>#REF!</v>
      </c>
      <c r="G95" s="147" t="e">
        <f t="shared" si="71"/>
        <v>#REF!</v>
      </c>
      <c r="H95" s="147" t="e">
        <f t="shared" si="71"/>
        <v>#REF!</v>
      </c>
      <c r="I95" s="147" t="e">
        <f t="shared" si="71"/>
        <v>#REF!</v>
      </c>
      <c r="J95" s="147" t="e">
        <f t="shared" si="71"/>
        <v>#REF!</v>
      </c>
      <c r="K95" s="147" t="e">
        <f t="shared" si="71"/>
        <v>#REF!</v>
      </c>
      <c r="L95" s="147" t="e">
        <f t="shared" si="71"/>
        <v>#REF!</v>
      </c>
      <c r="M95" s="147" t="e">
        <f t="shared" si="71"/>
        <v>#REF!</v>
      </c>
      <c r="N95" s="147" t="e">
        <f t="shared" si="71"/>
        <v>#REF!</v>
      </c>
      <c r="O95" s="147" t="e">
        <f t="shared" si="71"/>
        <v>#REF!</v>
      </c>
      <c r="P95" s="147" t="e">
        <f>SUM(D95:O95)</f>
        <v>#REF!</v>
      </c>
      <c r="Q95" s="150"/>
      <c r="R95" s="147"/>
      <c r="S95" s="145" t="s">
        <v>347</v>
      </c>
      <c r="T95" s="136" t="str">
        <f t="shared" si="49"/>
        <v>0755</v>
      </c>
      <c r="U95" s="136" t="str">
        <f t="shared" si="45"/>
        <v>6560000755</v>
      </c>
      <c r="V95" s="147" t="e">
        <f t="shared" si="59"/>
        <v>#REF!</v>
      </c>
      <c r="W95" s="147" t="e">
        <f t="shared" si="60"/>
        <v>#REF!</v>
      </c>
      <c r="X95" s="147" t="e">
        <f t="shared" si="61"/>
        <v>#REF!</v>
      </c>
      <c r="Y95" s="147" t="e">
        <f t="shared" si="62"/>
        <v>#REF!</v>
      </c>
      <c r="Z95" s="147" t="e">
        <f t="shared" si="63"/>
        <v>#REF!</v>
      </c>
      <c r="AA95" s="147" t="e">
        <f t="shared" si="64"/>
        <v>#REF!</v>
      </c>
      <c r="AB95" s="147" t="e">
        <f t="shared" si="65"/>
        <v>#REF!</v>
      </c>
      <c r="AC95" s="147" t="e">
        <f t="shared" si="66"/>
        <v>#REF!</v>
      </c>
      <c r="AD95" s="147" t="e">
        <f t="shared" si="67"/>
        <v>#REF!</v>
      </c>
      <c r="AE95" s="147" t="e">
        <f t="shared" si="68"/>
        <v>#REF!</v>
      </c>
      <c r="AF95" s="147" t="e">
        <f t="shared" si="69"/>
        <v>#REF!</v>
      </c>
      <c r="AG95" s="147" t="e">
        <f t="shared" si="70"/>
        <v>#REF!</v>
      </c>
      <c r="AH95" s="148" t="e">
        <f t="shared" si="46"/>
        <v>#REF!</v>
      </c>
    </row>
    <row r="96" spans="1:38" s="136" customFormat="1" x14ac:dyDescent="0.2">
      <c r="A96" s="155" t="s">
        <v>348</v>
      </c>
      <c r="B96" s="149" t="e">
        <f>-#REF!</f>
        <v>#REF!</v>
      </c>
      <c r="C96" s="138"/>
      <c r="D96" s="147" t="e">
        <f t="shared" si="71"/>
        <v>#REF!</v>
      </c>
      <c r="E96" s="147" t="e">
        <f t="shared" si="71"/>
        <v>#REF!</v>
      </c>
      <c r="F96" s="147" t="e">
        <f t="shared" si="71"/>
        <v>#REF!</v>
      </c>
      <c r="G96" s="147" t="e">
        <f t="shared" si="71"/>
        <v>#REF!</v>
      </c>
      <c r="H96" s="147" t="e">
        <f t="shared" si="71"/>
        <v>#REF!</v>
      </c>
      <c r="I96" s="147" t="e">
        <f t="shared" si="71"/>
        <v>#REF!</v>
      </c>
      <c r="J96" s="147" t="e">
        <f t="shared" si="71"/>
        <v>#REF!</v>
      </c>
      <c r="K96" s="147" t="e">
        <f t="shared" si="71"/>
        <v>#REF!</v>
      </c>
      <c r="L96" s="147" t="e">
        <f t="shared" si="71"/>
        <v>#REF!</v>
      </c>
      <c r="M96" s="147" t="e">
        <f t="shared" si="71"/>
        <v>#REF!</v>
      </c>
      <c r="N96" s="147" t="e">
        <f t="shared" si="71"/>
        <v>#REF!</v>
      </c>
      <c r="O96" s="147" t="e">
        <f t="shared" si="71"/>
        <v>#REF!</v>
      </c>
      <c r="P96" s="147" t="e">
        <f>SUM(D96:O96)</f>
        <v>#REF!</v>
      </c>
      <c r="Q96" s="150"/>
      <c r="R96" s="147"/>
      <c r="S96" s="145" t="s">
        <v>349</v>
      </c>
      <c r="T96" s="136" t="str">
        <f t="shared" si="49"/>
        <v>0755</v>
      </c>
      <c r="U96" s="136" t="str">
        <f t="shared" si="45"/>
        <v>6590000755</v>
      </c>
      <c r="V96" s="147" t="e">
        <f t="shared" si="59"/>
        <v>#REF!</v>
      </c>
      <c r="W96" s="147" t="e">
        <f t="shared" si="60"/>
        <v>#REF!</v>
      </c>
      <c r="X96" s="147" t="e">
        <f t="shared" si="61"/>
        <v>#REF!</v>
      </c>
      <c r="Y96" s="147" t="e">
        <f t="shared" si="62"/>
        <v>#REF!</v>
      </c>
      <c r="Z96" s="147" t="e">
        <f t="shared" si="63"/>
        <v>#REF!</v>
      </c>
      <c r="AA96" s="147" t="e">
        <f t="shared" si="64"/>
        <v>#REF!</v>
      </c>
      <c r="AB96" s="147" t="e">
        <f t="shared" si="65"/>
        <v>#REF!</v>
      </c>
      <c r="AC96" s="147" t="e">
        <f t="shared" si="66"/>
        <v>#REF!</v>
      </c>
      <c r="AD96" s="147" t="e">
        <f t="shared" si="67"/>
        <v>#REF!</v>
      </c>
      <c r="AE96" s="147" t="e">
        <f t="shared" si="68"/>
        <v>#REF!</v>
      </c>
      <c r="AF96" s="147" t="e">
        <f t="shared" si="69"/>
        <v>#REF!</v>
      </c>
      <c r="AG96" s="147" t="e">
        <f t="shared" si="70"/>
        <v>#REF!</v>
      </c>
      <c r="AH96" s="148" t="e">
        <f t="shared" si="46"/>
        <v>#REF!</v>
      </c>
    </row>
    <row r="97" spans="1:34" s="136" customFormat="1" x14ac:dyDescent="0.2">
      <c r="A97" s="155" t="s">
        <v>350</v>
      </c>
      <c r="B97" s="149" t="e">
        <f>-#REF!</f>
        <v>#REF!</v>
      </c>
      <c r="C97" s="138"/>
      <c r="D97" s="147" t="e">
        <f t="shared" si="71"/>
        <v>#REF!</v>
      </c>
      <c r="E97" s="147" t="e">
        <f t="shared" si="71"/>
        <v>#REF!</v>
      </c>
      <c r="F97" s="147" t="e">
        <f t="shared" si="71"/>
        <v>#REF!</v>
      </c>
      <c r="G97" s="147" t="e">
        <f t="shared" si="71"/>
        <v>#REF!</v>
      </c>
      <c r="H97" s="147" t="e">
        <f t="shared" si="71"/>
        <v>#REF!</v>
      </c>
      <c r="I97" s="147" t="e">
        <f t="shared" si="71"/>
        <v>#REF!</v>
      </c>
      <c r="J97" s="147" t="e">
        <f t="shared" si="71"/>
        <v>#REF!</v>
      </c>
      <c r="K97" s="147" t="e">
        <f t="shared" si="71"/>
        <v>#REF!</v>
      </c>
      <c r="L97" s="147" t="e">
        <f t="shared" si="71"/>
        <v>#REF!</v>
      </c>
      <c r="M97" s="147" t="e">
        <f t="shared" si="71"/>
        <v>#REF!</v>
      </c>
      <c r="N97" s="147" t="e">
        <f t="shared" si="71"/>
        <v>#REF!</v>
      </c>
      <c r="O97" s="147" t="e">
        <f t="shared" si="71"/>
        <v>#REF!</v>
      </c>
      <c r="P97" s="147" t="e">
        <f>SUM(D97:O97)</f>
        <v>#REF!</v>
      </c>
      <c r="Q97" s="150"/>
      <c r="R97" s="147"/>
      <c r="S97" s="145" t="s">
        <v>351</v>
      </c>
      <c r="T97" s="136" t="str">
        <f t="shared" si="49"/>
        <v>0755</v>
      </c>
      <c r="U97" s="136" t="str">
        <f t="shared" si="45"/>
        <v>6600000755</v>
      </c>
      <c r="V97" s="147" t="e">
        <f t="shared" si="59"/>
        <v>#REF!</v>
      </c>
      <c r="W97" s="147" t="e">
        <f t="shared" si="60"/>
        <v>#REF!</v>
      </c>
      <c r="X97" s="147" t="e">
        <f t="shared" si="61"/>
        <v>#REF!</v>
      </c>
      <c r="Y97" s="147" t="e">
        <f t="shared" si="62"/>
        <v>#REF!</v>
      </c>
      <c r="Z97" s="147" t="e">
        <f t="shared" si="63"/>
        <v>#REF!</v>
      </c>
      <c r="AA97" s="147" t="e">
        <f t="shared" si="64"/>
        <v>#REF!</v>
      </c>
      <c r="AB97" s="147" t="e">
        <f t="shared" si="65"/>
        <v>#REF!</v>
      </c>
      <c r="AC97" s="147" t="e">
        <f t="shared" si="66"/>
        <v>#REF!</v>
      </c>
      <c r="AD97" s="147" t="e">
        <f t="shared" si="67"/>
        <v>#REF!</v>
      </c>
      <c r="AE97" s="147" t="e">
        <f t="shared" si="68"/>
        <v>#REF!</v>
      </c>
      <c r="AF97" s="147" t="e">
        <f t="shared" si="69"/>
        <v>#REF!</v>
      </c>
      <c r="AG97" s="147" t="e">
        <f t="shared" si="70"/>
        <v>#REF!</v>
      </c>
      <c r="AH97" s="148" t="e">
        <f t="shared" si="46"/>
        <v>#REF!</v>
      </c>
    </row>
    <row r="98" spans="1:34" s="136" customFormat="1" x14ac:dyDescent="0.2">
      <c r="B98" s="151"/>
      <c r="C98" s="138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0"/>
      <c r="R98" s="147"/>
      <c r="S98" s="145" t="s">
        <v>352</v>
      </c>
      <c r="T98" s="136" t="str">
        <f t="shared" si="49"/>
        <v>0755</v>
      </c>
      <c r="U98" s="136" t="str">
        <f t="shared" si="45"/>
        <v>6960000755</v>
      </c>
      <c r="V98" s="147" t="e">
        <f t="shared" si="59"/>
        <v>#REF!</v>
      </c>
      <c r="W98" s="147" t="e">
        <f t="shared" si="60"/>
        <v>#REF!</v>
      </c>
      <c r="X98" s="147" t="e">
        <f t="shared" si="61"/>
        <v>#REF!</v>
      </c>
      <c r="Y98" s="147" t="e">
        <f t="shared" si="62"/>
        <v>#REF!</v>
      </c>
      <c r="Z98" s="147" t="e">
        <f t="shared" si="63"/>
        <v>#REF!</v>
      </c>
      <c r="AA98" s="147" t="e">
        <f t="shared" si="64"/>
        <v>#REF!</v>
      </c>
      <c r="AB98" s="147" t="e">
        <f t="shared" si="65"/>
        <v>#REF!</v>
      </c>
      <c r="AC98" s="147" t="e">
        <f t="shared" si="66"/>
        <v>#REF!</v>
      </c>
      <c r="AD98" s="147" t="e">
        <f t="shared" si="67"/>
        <v>#REF!</v>
      </c>
      <c r="AE98" s="147" t="e">
        <f t="shared" si="68"/>
        <v>#REF!</v>
      </c>
      <c r="AF98" s="147" t="e">
        <f t="shared" si="69"/>
        <v>#REF!</v>
      </c>
      <c r="AG98" s="147" t="e">
        <f t="shared" si="70"/>
        <v>#REF!</v>
      </c>
      <c r="AH98" s="148" t="e">
        <f t="shared" si="46"/>
        <v>#REF!</v>
      </c>
    </row>
    <row r="99" spans="1:34" s="136" customFormat="1" x14ac:dyDescent="0.2">
      <c r="A99" s="155" t="s">
        <v>353</v>
      </c>
      <c r="B99" s="175" t="e">
        <f>SUM(B94:B98)</f>
        <v>#REF!</v>
      </c>
      <c r="C99" s="138"/>
      <c r="D99" s="164" t="e">
        <f t="shared" ref="D99:P99" si="72">SUM(D94:D98)</f>
        <v>#REF!</v>
      </c>
      <c r="E99" s="164" t="e">
        <f t="shared" si="72"/>
        <v>#REF!</v>
      </c>
      <c r="F99" s="164" t="e">
        <f t="shared" si="72"/>
        <v>#REF!</v>
      </c>
      <c r="G99" s="164" t="e">
        <f t="shared" si="72"/>
        <v>#REF!</v>
      </c>
      <c r="H99" s="164" t="e">
        <f>SUM(H94:H98)</f>
        <v>#REF!</v>
      </c>
      <c r="I99" s="164" t="e">
        <f t="shared" si="72"/>
        <v>#REF!</v>
      </c>
      <c r="J99" s="164" t="e">
        <f t="shared" si="72"/>
        <v>#REF!</v>
      </c>
      <c r="K99" s="164" t="e">
        <f t="shared" si="72"/>
        <v>#REF!</v>
      </c>
      <c r="L99" s="164" t="e">
        <f t="shared" si="72"/>
        <v>#REF!</v>
      </c>
      <c r="M99" s="164" t="e">
        <f t="shared" si="72"/>
        <v>#REF!</v>
      </c>
      <c r="N99" s="164" t="e">
        <f t="shared" si="72"/>
        <v>#REF!</v>
      </c>
      <c r="O99" s="164" t="e">
        <f t="shared" si="72"/>
        <v>#REF!</v>
      </c>
      <c r="P99" s="164" t="e">
        <f t="shared" si="72"/>
        <v>#REF!</v>
      </c>
      <c r="Q99" s="150"/>
      <c r="R99" s="147"/>
      <c r="S99" s="145" t="s">
        <v>354</v>
      </c>
      <c r="T99" s="136" t="str">
        <f t="shared" si="49"/>
        <v>0755</v>
      </c>
      <c r="U99" s="136" t="str">
        <f t="shared" si="45"/>
        <v>6610000755</v>
      </c>
      <c r="V99" s="147" t="e">
        <f t="shared" si="59"/>
        <v>#REF!</v>
      </c>
      <c r="W99" s="147" t="e">
        <f t="shared" si="60"/>
        <v>#REF!</v>
      </c>
      <c r="X99" s="147" t="e">
        <f t="shared" si="61"/>
        <v>#REF!</v>
      </c>
      <c r="Y99" s="147" t="e">
        <f t="shared" si="62"/>
        <v>#REF!</v>
      </c>
      <c r="Z99" s="147" t="e">
        <f t="shared" si="63"/>
        <v>#REF!</v>
      </c>
      <c r="AA99" s="147" t="e">
        <f t="shared" si="64"/>
        <v>#REF!</v>
      </c>
      <c r="AB99" s="147" t="e">
        <f t="shared" si="65"/>
        <v>#REF!</v>
      </c>
      <c r="AC99" s="147" t="e">
        <f t="shared" si="66"/>
        <v>#REF!</v>
      </c>
      <c r="AD99" s="147" t="e">
        <f t="shared" si="67"/>
        <v>#REF!</v>
      </c>
      <c r="AE99" s="147" t="e">
        <f t="shared" si="68"/>
        <v>#REF!</v>
      </c>
      <c r="AF99" s="147" t="e">
        <f t="shared" si="69"/>
        <v>#REF!</v>
      </c>
      <c r="AG99" s="147" t="e">
        <f t="shared" si="70"/>
        <v>#REF!</v>
      </c>
      <c r="AH99" s="148" t="e">
        <f t="shared" si="46"/>
        <v>#REF!</v>
      </c>
    </row>
    <row r="100" spans="1:34" s="136" customFormat="1" x14ac:dyDescent="0.2">
      <c r="B100" s="149"/>
      <c r="C100" s="138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50"/>
      <c r="R100" s="147"/>
      <c r="S100" s="145" t="s">
        <v>355</v>
      </c>
      <c r="T100" s="136" t="str">
        <f t="shared" si="49"/>
        <v>0755</v>
      </c>
      <c r="U100" s="136" t="str">
        <f t="shared" si="45"/>
        <v>6620000755</v>
      </c>
      <c r="V100" s="147" t="e">
        <f t="shared" si="59"/>
        <v>#REF!</v>
      </c>
      <c r="W100" s="147" t="e">
        <f t="shared" si="60"/>
        <v>#REF!</v>
      </c>
      <c r="X100" s="147" t="e">
        <f t="shared" si="61"/>
        <v>#REF!</v>
      </c>
      <c r="Y100" s="147" t="e">
        <f t="shared" si="62"/>
        <v>#REF!</v>
      </c>
      <c r="Z100" s="147" t="e">
        <f t="shared" si="63"/>
        <v>#REF!</v>
      </c>
      <c r="AA100" s="147" t="e">
        <f t="shared" si="64"/>
        <v>#REF!</v>
      </c>
      <c r="AB100" s="147" t="e">
        <f t="shared" si="65"/>
        <v>#REF!</v>
      </c>
      <c r="AC100" s="147" t="e">
        <f t="shared" si="66"/>
        <v>#REF!</v>
      </c>
      <c r="AD100" s="147" t="e">
        <f t="shared" si="67"/>
        <v>#REF!</v>
      </c>
      <c r="AE100" s="147" t="e">
        <f t="shared" si="68"/>
        <v>#REF!</v>
      </c>
      <c r="AF100" s="147" t="e">
        <f t="shared" si="69"/>
        <v>#REF!</v>
      </c>
      <c r="AG100" s="147" t="e">
        <f t="shared" si="70"/>
        <v>#REF!</v>
      </c>
      <c r="AH100" s="148" t="e">
        <f t="shared" si="46"/>
        <v>#REF!</v>
      </c>
    </row>
    <row r="101" spans="1:34" s="136" customFormat="1" x14ac:dyDescent="0.2">
      <c r="A101" s="155" t="s">
        <v>356</v>
      </c>
      <c r="B101" s="149"/>
      <c r="C101" s="138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50"/>
      <c r="R101" s="147"/>
      <c r="S101" s="145" t="s">
        <v>357</v>
      </c>
      <c r="T101" s="136" t="str">
        <f t="shared" si="49"/>
        <v>0755</v>
      </c>
      <c r="U101" s="136" t="str">
        <f t="shared" si="45"/>
        <v>6650000755</v>
      </c>
      <c r="V101" s="147" t="e">
        <f t="shared" ref="V101:AG101" si="73">D80</f>
        <v>#REF!</v>
      </c>
      <c r="W101" s="147" t="e">
        <f t="shared" si="73"/>
        <v>#REF!</v>
      </c>
      <c r="X101" s="147" t="e">
        <f t="shared" si="73"/>
        <v>#REF!</v>
      </c>
      <c r="Y101" s="147" t="e">
        <f t="shared" si="73"/>
        <v>#REF!</v>
      </c>
      <c r="Z101" s="147" t="e">
        <f t="shared" si="73"/>
        <v>#REF!</v>
      </c>
      <c r="AA101" s="147" t="e">
        <f t="shared" si="73"/>
        <v>#REF!</v>
      </c>
      <c r="AB101" s="147" t="e">
        <f t="shared" si="73"/>
        <v>#REF!</v>
      </c>
      <c r="AC101" s="147" t="e">
        <f t="shared" si="73"/>
        <v>#REF!</v>
      </c>
      <c r="AD101" s="147" t="e">
        <f t="shared" si="73"/>
        <v>#REF!</v>
      </c>
      <c r="AE101" s="147" t="e">
        <f t="shared" si="73"/>
        <v>#REF!</v>
      </c>
      <c r="AF101" s="147" t="e">
        <f t="shared" si="73"/>
        <v>#REF!</v>
      </c>
      <c r="AG101" s="147" t="e">
        <f t="shared" si="73"/>
        <v>#REF!</v>
      </c>
      <c r="AH101" s="148" t="e">
        <f t="shared" si="46"/>
        <v>#REF!</v>
      </c>
    </row>
    <row r="102" spans="1:34" s="136" customFormat="1" x14ac:dyDescent="0.2">
      <c r="A102" s="155" t="s">
        <v>358</v>
      </c>
      <c r="B102" s="166" t="e">
        <f>-#REF!</f>
        <v>#REF!</v>
      </c>
      <c r="C102" s="138"/>
      <c r="D102" s="165" t="e">
        <f t="shared" ref="D102:O102" si="74">($B110/$P$8)*D$8-D103-D104-D106-D107-D108</f>
        <v>#REF!</v>
      </c>
      <c r="E102" s="165" t="e">
        <f t="shared" si="74"/>
        <v>#REF!</v>
      </c>
      <c r="F102" s="165" t="e">
        <f t="shared" si="74"/>
        <v>#REF!</v>
      </c>
      <c r="G102" s="165" t="e">
        <f t="shared" si="74"/>
        <v>#REF!</v>
      </c>
      <c r="H102" s="165" t="e">
        <f t="shared" si="74"/>
        <v>#REF!</v>
      </c>
      <c r="I102" s="165" t="e">
        <f t="shared" si="74"/>
        <v>#REF!</v>
      </c>
      <c r="J102" s="165" t="e">
        <f t="shared" si="74"/>
        <v>#REF!</v>
      </c>
      <c r="K102" s="165" t="e">
        <f t="shared" si="74"/>
        <v>#REF!</v>
      </c>
      <c r="L102" s="165" t="e">
        <f t="shared" si="74"/>
        <v>#REF!</v>
      </c>
      <c r="M102" s="165" t="e">
        <f t="shared" si="74"/>
        <v>#REF!</v>
      </c>
      <c r="N102" s="165" t="e">
        <f t="shared" si="74"/>
        <v>#REF!</v>
      </c>
      <c r="O102" s="165" t="e">
        <f t="shared" si="74"/>
        <v>#REF!</v>
      </c>
      <c r="P102" s="147" t="e">
        <f t="shared" ref="P102:P108" si="75">SUM(D102:O102)</f>
        <v>#REF!</v>
      </c>
      <c r="Q102" s="150"/>
      <c r="R102" s="147"/>
      <c r="S102" s="145" t="s">
        <v>359</v>
      </c>
      <c r="T102" s="136" t="str">
        <f t="shared" si="49"/>
        <v>0755</v>
      </c>
      <c r="U102" s="136" t="str">
        <f t="shared" si="45"/>
        <v>6660000755</v>
      </c>
      <c r="V102" s="147" t="e">
        <f t="shared" ref="V102:AG103" si="76">D180</f>
        <v>#REF!</v>
      </c>
      <c r="W102" s="147" t="e">
        <f t="shared" si="76"/>
        <v>#REF!</v>
      </c>
      <c r="X102" s="147" t="e">
        <f t="shared" si="76"/>
        <v>#REF!</v>
      </c>
      <c r="Y102" s="147" t="e">
        <f t="shared" si="76"/>
        <v>#REF!</v>
      </c>
      <c r="Z102" s="147" t="e">
        <f t="shared" si="76"/>
        <v>#REF!</v>
      </c>
      <c r="AA102" s="147" t="e">
        <f t="shared" si="76"/>
        <v>#REF!</v>
      </c>
      <c r="AB102" s="147" t="e">
        <f t="shared" si="76"/>
        <v>#REF!</v>
      </c>
      <c r="AC102" s="147" t="e">
        <f t="shared" si="76"/>
        <v>#REF!</v>
      </c>
      <c r="AD102" s="147" t="e">
        <f t="shared" si="76"/>
        <v>#REF!</v>
      </c>
      <c r="AE102" s="147" t="e">
        <f t="shared" si="76"/>
        <v>#REF!</v>
      </c>
      <c r="AF102" s="147" t="e">
        <f t="shared" si="76"/>
        <v>#REF!</v>
      </c>
      <c r="AG102" s="147" t="e">
        <f t="shared" si="76"/>
        <v>#REF!</v>
      </c>
      <c r="AH102" s="148" t="e">
        <f t="shared" si="46"/>
        <v>#REF!</v>
      </c>
    </row>
    <row r="103" spans="1:34" s="136" customFormat="1" x14ac:dyDescent="0.2">
      <c r="A103" s="155" t="s">
        <v>360</v>
      </c>
      <c r="B103" s="166" t="e">
        <f>-#REF!</f>
        <v>#REF!</v>
      </c>
      <c r="C103" s="138"/>
      <c r="D103" s="147" t="e">
        <f t="shared" ref="D103:O107" si="77">($B103/$P$8)*D$8</f>
        <v>#REF!</v>
      </c>
      <c r="E103" s="147" t="e">
        <f t="shared" si="77"/>
        <v>#REF!</v>
      </c>
      <c r="F103" s="147" t="e">
        <f t="shared" si="77"/>
        <v>#REF!</v>
      </c>
      <c r="G103" s="147" t="e">
        <f t="shared" si="77"/>
        <v>#REF!</v>
      </c>
      <c r="H103" s="147" t="e">
        <f t="shared" si="77"/>
        <v>#REF!</v>
      </c>
      <c r="I103" s="147" t="e">
        <f t="shared" si="77"/>
        <v>#REF!</v>
      </c>
      <c r="J103" s="147" t="e">
        <f t="shared" si="77"/>
        <v>#REF!</v>
      </c>
      <c r="K103" s="147" t="e">
        <f t="shared" si="77"/>
        <v>#REF!</v>
      </c>
      <c r="L103" s="147" t="e">
        <f t="shared" si="77"/>
        <v>#REF!</v>
      </c>
      <c r="M103" s="147" t="e">
        <f t="shared" si="77"/>
        <v>#REF!</v>
      </c>
      <c r="N103" s="147" t="e">
        <f t="shared" si="77"/>
        <v>#REF!</v>
      </c>
      <c r="O103" s="147" t="e">
        <f t="shared" si="77"/>
        <v>#REF!</v>
      </c>
      <c r="P103" s="147" t="e">
        <f t="shared" si="75"/>
        <v>#REF!</v>
      </c>
      <c r="Q103" s="150"/>
      <c r="R103" s="147"/>
      <c r="S103" s="145" t="s">
        <v>361</v>
      </c>
      <c r="T103" s="136" t="str">
        <f t="shared" si="49"/>
        <v>0755</v>
      </c>
      <c r="U103" s="136" t="str">
        <f t="shared" si="45"/>
        <v>6670000755</v>
      </c>
      <c r="V103" s="147" t="e">
        <f t="shared" si="76"/>
        <v>#REF!</v>
      </c>
      <c r="W103" s="147" t="e">
        <f t="shared" si="76"/>
        <v>#REF!</v>
      </c>
      <c r="X103" s="147" t="e">
        <f t="shared" si="76"/>
        <v>#REF!</v>
      </c>
      <c r="Y103" s="147" t="e">
        <f t="shared" si="76"/>
        <v>#REF!</v>
      </c>
      <c r="Z103" s="147" t="e">
        <f t="shared" si="76"/>
        <v>#REF!</v>
      </c>
      <c r="AA103" s="147" t="e">
        <f t="shared" si="76"/>
        <v>#REF!</v>
      </c>
      <c r="AB103" s="147" t="e">
        <f t="shared" si="76"/>
        <v>#REF!</v>
      </c>
      <c r="AC103" s="147" t="e">
        <f t="shared" si="76"/>
        <v>#REF!</v>
      </c>
      <c r="AD103" s="147" t="e">
        <f t="shared" si="76"/>
        <v>#REF!</v>
      </c>
      <c r="AE103" s="147" t="e">
        <f t="shared" si="76"/>
        <v>#REF!</v>
      </c>
      <c r="AF103" s="147" t="e">
        <f t="shared" si="76"/>
        <v>#REF!</v>
      </c>
      <c r="AG103" s="147" t="e">
        <f t="shared" si="76"/>
        <v>#REF!</v>
      </c>
      <c r="AH103" s="148" t="e">
        <f t="shared" si="46"/>
        <v>#REF!</v>
      </c>
    </row>
    <row r="104" spans="1:34" s="136" customFormat="1" x14ac:dyDescent="0.2">
      <c r="A104" s="155" t="s">
        <v>362</v>
      </c>
      <c r="B104" s="166" t="e">
        <f>-#REF!</f>
        <v>#REF!</v>
      </c>
      <c r="C104" s="138"/>
      <c r="D104" s="147" t="e">
        <f t="shared" si="77"/>
        <v>#REF!</v>
      </c>
      <c r="E104" s="147" t="e">
        <f t="shared" si="77"/>
        <v>#REF!</v>
      </c>
      <c r="F104" s="147" t="e">
        <f t="shared" si="77"/>
        <v>#REF!</v>
      </c>
      <c r="G104" s="147" t="e">
        <f t="shared" si="77"/>
        <v>#REF!</v>
      </c>
      <c r="H104" s="147" t="e">
        <f t="shared" si="77"/>
        <v>#REF!</v>
      </c>
      <c r="I104" s="147" t="e">
        <f t="shared" si="77"/>
        <v>#REF!</v>
      </c>
      <c r="J104" s="147" t="e">
        <f t="shared" si="77"/>
        <v>#REF!</v>
      </c>
      <c r="K104" s="147" t="e">
        <f t="shared" si="77"/>
        <v>#REF!</v>
      </c>
      <c r="L104" s="147" t="e">
        <f t="shared" si="77"/>
        <v>#REF!</v>
      </c>
      <c r="M104" s="147" t="e">
        <f t="shared" si="77"/>
        <v>#REF!</v>
      </c>
      <c r="N104" s="147" t="e">
        <f t="shared" si="77"/>
        <v>#REF!</v>
      </c>
      <c r="O104" s="147" t="e">
        <f t="shared" si="77"/>
        <v>#REF!</v>
      </c>
      <c r="P104" s="147" t="e">
        <f t="shared" si="75"/>
        <v>#REF!</v>
      </c>
      <c r="Q104" s="150"/>
      <c r="R104" s="147"/>
      <c r="S104" s="145" t="s">
        <v>363</v>
      </c>
      <c r="T104" s="136" t="str">
        <f t="shared" si="49"/>
        <v>0755</v>
      </c>
      <c r="U104" s="136" t="str">
        <f t="shared" si="45"/>
        <v>6680000755</v>
      </c>
      <c r="V104" s="147" t="e">
        <f t="shared" ref="V104:AG104" si="78">D183</f>
        <v>#REF!</v>
      </c>
      <c r="W104" s="147" t="e">
        <f t="shared" si="78"/>
        <v>#REF!</v>
      </c>
      <c r="X104" s="147" t="e">
        <f t="shared" si="78"/>
        <v>#REF!</v>
      </c>
      <c r="Y104" s="147" t="e">
        <f t="shared" si="78"/>
        <v>#REF!</v>
      </c>
      <c r="Z104" s="147" t="e">
        <f t="shared" si="78"/>
        <v>#REF!</v>
      </c>
      <c r="AA104" s="147" t="e">
        <f t="shared" si="78"/>
        <v>#REF!</v>
      </c>
      <c r="AB104" s="147" t="e">
        <f t="shared" si="78"/>
        <v>#REF!</v>
      </c>
      <c r="AC104" s="147" t="e">
        <f t="shared" si="78"/>
        <v>#REF!</v>
      </c>
      <c r="AD104" s="147" t="e">
        <f t="shared" si="78"/>
        <v>#REF!</v>
      </c>
      <c r="AE104" s="147" t="e">
        <f t="shared" si="78"/>
        <v>#REF!</v>
      </c>
      <c r="AF104" s="147" t="e">
        <f t="shared" si="78"/>
        <v>#REF!</v>
      </c>
      <c r="AG104" s="147" t="e">
        <f t="shared" si="78"/>
        <v>#REF!</v>
      </c>
      <c r="AH104" s="148" t="e">
        <f t="shared" si="46"/>
        <v>#REF!</v>
      </c>
    </row>
    <row r="105" spans="1:34" s="136" customFormat="1" x14ac:dyDescent="0.2">
      <c r="A105" s="155" t="s">
        <v>599</v>
      </c>
      <c r="B105" s="166" t="e">
        <f>-#REF!</f>
        <v>#REF!</v>
      </c>
      <c r="C105" s="138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50"/>
      <c r="R105" s="147"/>
      <c r="S105" s="145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8"/>
    </row>
    <row r="106" spans="1:34" s="136" customFormat="1" x14ac:dyDescent="0.2">
      <c r="A106" s="155" t="s">
        <v>364</v>
      </c>
      <c r="B106" s="166" t="e">
        <f>-#REF!</f>
        <v>#REF!</v>
      </c>
      <c r="C106" s="138"/>
      <c r="D106" s="147" t="e">
        <f t="shared" si="77"/>
        <v>#REF!</v>
      </c>
      <c r="E106" s="147" t="e">
        <f t="shared" si="77"/>
        <v>#REF!</v>
      </c>
      <c r="F106" s="147" t="e">
        <f t="shared" si="77"/>
        <v>#REF!</v>
      </c>
      <c r="G106" s="147" t="e">
        <f t="shared" si="77"/>
        <v>#REF!</v>
      </c>
      <c r="H106" s="147" t="e">
        <f t="shared" si="77"/>
        <v>#REF!</v>
      </c>
      <c r="I106" s="147" t="e">
        <f t="shared" si="77"/>
        <v>#REF!</v>
      </c>
      <c r="J106" s="147" t="e">
        <f t="shared" si="77"/>
        <v>#REF!</v>
      </c>
      <c r="K106" s="147" t="e">
        <f t="shared" si="77"/>
        <v>#REF!</v>
      </c>
      <c r="L106" s="147" t="e">
        <f t="shared" si="77"/>
        <v>#REF!</v>
      </c>
      <c r="M106" s="147" t="e">
        <f t="shared" si="77"/>
        <v>#REF!</v>
      </c>
      <c r="N106" s="147" t="e">
        <f t="shared" si="77"/>
        <v>#REF!</v>
      </c>
      <c r="O106" s="147" t="e">
        <f t="shared" si="77"/>
        <v>#REF!</v>
      </c>
      <c r="P106" s="147" t="e">
        <f t="shared" si="75"/>
        <v>#REF!</v>
      </c>
      <c r="Q106" s="150"/>
      <c r="R106" s="147"/>
      <c r="S106" s="145"/>
      <c r="V106" s="147" t="e">
        <f t="shared" ref="V106:V115" si="79">D184</f>
        <v>#REF!</v>
      </c>
      <c r="W106" s="147" t="e">
        <f t="shared" ref="W106:W115" si="80">E184</f>
        <v>#REF!</v>
      </c>
      <c r="X106" s="147" t="e">
        <f t="shared" ref="X106:X115" si="81">F184</f>
        <v>#REF!</v>
      </c>
      <c r="Y106" s="147" t="e">
        <f t="shared" ref="Y106:Y115" si="82">G184</f>
        <v>#REF!</v>
      </c>
      <c r="Z106" s="147" t="e">
        <f t="shared" ref="Z106:Z115" si="83">H184</f>
        <v>#REF!</v>
      </c>
      <c r="AA106" s="147" t="e">
        <f t="shared" ref="AA106:AA115" si="84">I184</f>
        <v>#REF!</v>
      </c>
      <c r="AB106" s="147" t="e">
        <f t="shared" ref="AB106:AB115" si="85">J184</f>
        <v>#REF!</v>
      </c>
      <c r="AC106" s="147" t="e">
        <f t="shared" ref="AC106:AC115" si="86">K184</f>
        <v>#REF!</v>
      </c>
      <c r="AD106" s="147" t="e">
        <f t="shared" ref="AD106:AD115" si="87">L184</f>
        <v>#REF!</v>
      </c>
      <c r="AE106" s="147" t="e">
        <f t="shared" ref="AE106:AE115" si="88">M184</f>
        <v>#REF!</v>
      </c>
      <c r="AF106" s="147" t="e">
        <f t="shared" ref="AF106:AF115" si="89">N184</f>
        <v>#REF!</v>
      </c>
      <c r="AG106" s="147" t="e">
        <f t="shared" ref="AG106:AG115" si="90">O184</f>
        <v>#REF!</v>
      </c>
      <c r="AH106" s="148" t="e">
        <f t="shared" si="46"/>
        <v>#REF!</v>
      </c>
    </row>
    <row r="107" spans="1:34" s="136" customFormat="1" x14ac:dyDescent="0.2">
      <c r="A107" s="155" t="s">
        <v>366</v>
      </c>
      <c r="B107" s="166" t="e">
        <f>-#REF!</f>
        <v>#REF!</v>
      </c>
      <c r="C107" s="138"/>
      <c r="D107" s="147" t="e">
        <f t="shared" si="77"/>
        <v>#REF!</v>
      </c>
      <c r="E107" s="147" t="e">
        <f t="shared" si="77"/>
        <v>#REF!</v>
      </c>
      <c r="F107" s="147" t="e">
        <f t="shared" si="77"/>
        <v>#REF!</v>
      </c>
      <c r="G107" s="147" t="e">
        <f t="shared" si="77"/>
        <v>#REF!</v>
      </c>
      <c r="H107" s="147" t="e">
        <f t="shared" si="77"/>
        <v>#REF!</v>
      </c>
      <c r="I107" s="147" t="e">
        <f t="shared" si="77"/>
        <v>#REF!</v>
      </c>
      <c r="J107" s="147" t="e">
        <f t="shared" si="77"/>
        <v>#REF!</v>
      </c>
      <c r="K107" s="147" t="e">
        <f t="shared" si="77"/>
        <v>#REF!</v>
      </c>
      <c r="L107" s="147" t="e">
        <f t="shared" si="77"/>
        <v>#REF!</v>
      </c>
      <c r="M107" s="147" t="e">
        <f t="shared" si="77"/>
        <v>#REF!</v>
      </c>
      <c r="N107" s="147" t="e">
        <f t="shared" si="77"/>
        <v>#REF!</v>
      </c>
      <c r="O107" s="147" t="e">
        <f t="shared" si="77"/>
        <v>#REF!</v>
      </c>
      <c r="P107" s="147" t="e">
        <f t="shared" si="75"/>
        <v>#REF!</v>
      </c>
      <c r="Q107" s="150"/>
      <c r="R107" s="147"/>
      <c r="S107" s="145" t="s">
        <v>365</v>
      </c>
      <c r="T107" s="136" t="str">
        <f t="shared" si="49"/>
        <v>0755</v>
      </c>
      <c r="U107" s="136" t="str">
        <f t="shared" si="45"/>
        <v>6700000755</v>
      </c>
      <c r="V107" s="147" t="e">
        <f t="shared" si="79"/>
        <v>#REF!</v>
      </c>
      <c r="W107" s="147" t="e">
        <f t="shared" si="80"/>
        <v>#REF!</v>
      </c>
      <c r="X107" s="147" t="e">
        <f t="shared" si="81"/>
        <v>#REF!</v>
      </c>
      <c r="Y107" s="147" t="e">
        <f t="shared" si="82"/>
        <v>#REF!</v>
      </c>
      <c r="Z107" s="147" t="e">
        <f t="shared" si="83"/>
        <v>#REF!</v>
      </c>
      <c r="AA107" s="147" t="e">
        <f t="shared" si="84"/>
        <v>#REF!</v>
      </c>
      <c r="AB107" s="147" t="e">
        <f t="shared" si="85"/>
        <v>#REF!</v>
      </c>
      <c r="AC107" s="147" t="e">
        <f t="shared" si="86"/>
        <v>#REF!</v>
      </c>
      <c r="AD107" s="147" t="e">
        <f t="shared" si="87"/>
        <v>#REF!</v>
      </c>
      <c r="AE107" s="147" t="e">
        <f t="shared" si="88"/>
        <v>#REF!</v>
      </c>
      <c r="AF107" s="147" t="e">
        <f t="shared" si="89"/>
        <v>#REF!</v>
      </c>
      <c r="AG107" s="147" t="e">
        <f t="shared" si="90"/>
        <v>#REF!</v>
      </c>
      <c r="AH107" s="148" t="e">
        <f t="shared" ref="AH107:AH125" si="91">SUM(V107:AG107)</f>
        <v>#REF!</v>
      </c>
    </row>
    <row r="108" spans="1:34" s="136" customFormat="1" x14ac:dyDescent="0.2">
      <c r="A108" s="155" t="s">
        <v>368</v>
      </c>
      <c r="B108" s="166" t="e">
        <f>-#REF!</f>
        <v>#REF!</v>
      </c>
      <c r="C108" s="138"/>
      <c r="D108" s="147" t="e">
        <f t="shared" ref="D108:O108" si="92">($B108/($P$8))*D$8</f>
        <v>#REF!</v>
      </c>
      <c r="E108" s="147" t="e">
        <f t="shared" si="92"/>
        <v>#REF!</v>
      </c>
      <c r="F108" s="147" t="e">
        <f t="shared" si="92"/>
        <v>#REF!</v>
      </c>
      <c r="G108" s="147" t="e">
        <f t="shared" si="92"/>
        <v>#REF!</v>
      </c>
      <c r="H108" s="147" t="e">
        <f t="shared" si="92"/>
        <v>#REF!</v>
      </c>
      <c r="I108" s="147" t="e">
        <f t="shared" si="92"/>
        <v>#REF!</v>
      </c>
      <c r="J108" s="147" t="e">
        <f t="shared" si="92"/>
        <v>#REF!</v>
      </c>
      <c r="K108" s="147" t="e">
        <f t="shared" si="92"/>
        <v>#REF!</v>
      </c>
      <c r="L108" s="147" t="e">
        <f t="shared" si="92"/>
        <v>#REF!</v>
      </c>
      <c r="M108" s="147" t="e">
        <f t="shared" si="92"/>
        <v>#REF!</v>
      </c>
      <c r="N108" s="147" t="e">
        <f t="shared" si="92"/>
        <v>#REF!</v>
      </c>
      <c r="O108" s="147" t="e">
        <f t="shared" si="92"/>
        <v>#REF!</v>
      </c>
      <c r="P108" s="147" t="e">
        <f t="shared" si="75"/>
        <v>#REF!</v>
      </c>
      <c r="Q108" s="150"/>
      <c r="R108" s="147"/>
      <c r="S108" s="145" t="s">
        <v>367</v>
      </c>
      <c r="T108" s="136" t="str">
        <f t="shared" si="49"/>
        <v>0755</v>
      </c>
      <c r="U108" s="136" t="str">
        <f t="shared" si="45"/>
        <v>6710000755</v>
      </c>
      <c r="V108" s="147" t="e">
        <f t="shared" si="79"/>
        <v>#REF!</v>
      </c>
      <c r="W108" s="147" t="e">
        <f t="shared" si="80"/>
        <v>#REF!</v>
      </c>
      <c r="X108" s="147" t="e">
        <f t="shared" si="81"/>
        <v>#REF!</v>
      </c>
      <c r="Y108" s="147" t="e">
        <f t="shared" si="82"/>
        <v>#REF!</v>
      </c>
      <c r="Z108" s="147" t="e">
        <f t="shared" si="83"/>
        <v>#REF!</v>
      </c>
      <c r="AA108" s="147" t="e">
        <f t="shared" si="84"/>
        <v>#REF!</v>
      </c>
      <c r="AB108" s="147" t="e">
        <f t="shared" si="85"/>
        <v>#REF!</v>
      </c>
      <c r="AC108" s="147" t="e">
        <f t="shared" si="86"/>
        <v>#REF!</v>
      </c>
      <c r="AD108" s="147" t="e">
        <f t="shared" si="87"/>
        <v>#REF!</v>
      </c>
      <c r="AE108" s="147" t="e">
        <f t="shared" si="88"/>
        <v>#REF!</v>
      </c>
      <c r="AF108" s="147" t="e">
        <f t="shared" si="89"/>
        <v>#REF!</v>
      </c>
      <c r="AG108" s="147" t="e">
        <f t="shared" si="90"/>
        <v>#REF!</v>
      </c>
      <c r="AH108" s="148" t="e">
        <f t="shared" si="91"/>
        <v>#REF!</v>
      </c>
    </row>
    <row r="109" spans="1:34" s="136" customFormat="1" x14ac:dyDescent="0.2">
      <c r="B109" s="151"/>
      <c r="C109" s="138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0"/>
      <c r="R109" s="147"/>
      <c r="S109" s="145" t="s">
        <v>369</v>
      </c>
      <c r="T109" s="136" t="str">
        <f t="shared" si="49"/>
        <v>0755</v>
      </c>
      <c r="U109" s="136" t="str">
        <f t="shared" si="45"/>
        <v>6720000755</v>
      </c>
      <c r="V109" s="147" t="e">
        <f t="shared" si="79"/>
        <v>#REF!</v>
      </c>
      <c r="W109" s="147" t="e">
        <f t="shared" si="80"/>
        <v>#REF!</v>
      </c>
      <c r="X109" s="147" t="e">
        <f t="shared" si="81"/>
        <v>#REF!</v>
      </c>
      <c r="Y109" s="147" t="e">
        <f t="shared" si="82"/>
        <v>#REF!</v>
      </c>
      <c r="Z109" s="147" t="e">
        <f t="shared" si="83"/>
        <v>#REF!</v>
      </c>
      <c r="AA109" s="147" t="e">
        <f t="shared" si="84"/>
        <v>#REF!</v>
      </c>
      <c r="AB109" s="147" t="e">
        <f t="shared" si="85"/>
        <v>#REF!</v>
      </c>
      <c r="AC109" s="147" t="e">
        <f t="shared" si="86"/>
        <v>#REF!</v>
      </c>
      <c r="AD109" s="147" t="e">
        <f t="shared" si="87"/>
        <v>#REF!</v>
      </c>
      <c r="AE109" s="147" t="e">
        <f t="shared" si="88"/>
        <v>#REF!</v>
      </c>
      <c r="AF109" s="147" t="e">
        <f t="shared" si="89"/>
        <v>#REF!</v>
      </c>
      <c r="AG109" s="147" t="e">
        <f t="shared" si="90"/>
        <v>#REF!</v>
      </c>
      <c r="AH109" s="148" t="e">
        <f t="shared" si="91"/>
        <v>#REF!</v>
      </c>
    </row>
    <row r="110" spans="1:34" s="136" customFormat="1" x14ac:dyDescent="0.2">
      <c r="A110" s="155" t="s">
        <v>371</v>
      </c>
      <c r="B110" s="175" t="e">
        <f>SUM(B102:B109)</f>
        <v>#REF!</v>
      </c>
      <c r="C110" s="138"/>
      <c r="D110" s="164" t="e">
        <f t="shared" ref="D110:P110" si="93">SUM(D102:D109)</f>
        <v>#REF!</v>
      </c>
      <c r="E110" s="164" t="e">
        <f t="shared" si="93"/>
        <v>#REF!</v>
      </c>
      <c r="F110" s="164" t="e">
        <f t="shared" si="93"/>
        <v>#REF!</v>
      </c>
      <c r="G110" s="164" t="e">
        <f t="shared" si="93"/>
        <v>#REF!</v>
      </c>
      <c r="H110" s="164" t="e">
        <f>SUM(H102:H109)</f>
        <v>#REF!</v>
      </c>
      <c r="I110" s="164" t="e">
        <f t="shared" si="93"/>
        <v>#REF!</v>
      </c>
      <c r="J110" s="164" t="e">
        <f t="shared" si="93"/>
        <v>#REF!</v>
      </c>
      <c r="K110" s="164" t="e">
        <f t="shared" si="93"/>
        <v>#REF!</v>
      </c>
      <c r="L110" s="164" t="e">
        <f t="shared" si="93"/>
        <v>#REF!</v>
      </c>
      <c r="M110" s="164" t="e">
        <f t="shared" si="93"/>
        <v>#REF!</v>
      </c>
      <c r="N110" s="164" t="e">
        <f t="shared" si="93"/>
        <v>#REF!</v>
      </c>
      <c r="O110" s="164" t="e">
        <f t="shared" si="93"/>
        <v>#REF!</v>
      </c>
      <c r="P110" s="164" t="e">
        <f t="shared" si="93"/>
        <v>#REF!</v>
      </c>
      <c r="Q110" s="150"/>
      <c r="R110" s="147"/>
      <c r="S110" s="145" t="s">
        <v>370</v>
      </c>
      <c r="T110" s="136" t="str">
        <f t="shared" si="49"/>
        <v>0755</v>
      </c>
      <c r="U110" s="136" t="str">
        <f t="shared" si="45"/>
        <v>6730000755</v>
      </c>
      <c r="V110" s="147" t="e">
        <f t="shared" si="79"/>
        <v>#REF!</v>
      </c>
      <c r="W110" s="147" t="e">
        <f t="shared" si="80"/>
        <v>#REF!</v>
      </c>
      <c r="X110" s="147" t="e">
        <f t="shared" si="81"/>
        <v>#REF!</v>
      </c>
      <c r="Y110" s="147" t="e">
        <f t="shared" si="82"/>
        <v>#REF!</v>
      </c>
      <c r="Z110" s="147" t="e">
        <f t="shared" si="83"/>
        <v>#REF!</v>
      </c>
      <c r="AA110" s="147" t="e">
        <f t="shared" si="84"/>
        <v>#REF!</v>
      </c>
      <c r="AB110" s="147" t="e">
        <f t="shared" si="85"/>
        <v>#REF!</v>
      </c>
      <c r="AC110" s="147" t="e">
        <f t="shared" si="86"/>
        <v>#REF!</v>
      </c>
      <c r="AD110" s="147" t="e">
        <f t="shared" si="87"/>
        <v>#REF!</v>
      </c>
      <c r="AE110" s="147" t="e">
        <f t="shared" si="88"/>
        <v>#REF!</v>
      </c>
      <c r="AF110" s="147" t="e">
        <f t="shared" si="89"/>
        <v>#REF!</v>
      </c>
      <c r="AG110" s="147" t="e">
        <f t="shared" si="90"/>
        <v>#REF!</v>
      </c>
      <c r="AH110" s="148" t="e">
        <f t="shared" si="91"/>
        <v>#REF!</v>
      </c>
    </row>
    <row r="111" spans="1:34" s="136" customFormat="1" x14ac:dyDescent="0.2">
      <c r="B111" s="149"/>
      <c r="C111" s="138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50"/>
      <c r="R111" s="147"/>
      <c r="S111" s="145" t="s">
        <v>372</v>
      </c>
      <c r="T111" s="136" t="str">
        <f t="shared" si="49"/>
        <v>0755</v>
      </c>
      <c r="U111" s="136" t="str">
        <f t="shared" si="45"/>
        <v>6740000755</v>
      </c>
      <c r="V111" s="147" t="e">
        <f t="shared" si="79"/>
        <v>#REF!</v>
      </c>
      <c r="W111" s="147" t="e">
        <f t="shared" si="80"/>
        <v>#REF!</v>
      </c>
      <c r="X111" s="147" t="e">
        <f t="shared" si="81"/>
        <v>#REF!</v>
      </c>
      <c r="Y111" s="147" t="e">
        <f t="shared" si="82"/>
        <v>#REF!</v>
      </c>
      <c r="Z111" s="147" t="e">
        <f t="shared" si="83"/>
        <v>#REF!</v>
      </c>
      <c r="AA111" s="147" t="e">
        <f t="shared" si="84"/>
        <v>#REF!</v>
      </c>
      <c r="AB111" s="147" t="e">
        <f t="shared" si="85"/>
        <v>#REF!</v>
      </c>
      <c r="AC111" s="147" t="e">
        <f t="shared" si="86"/>
        <v>#REF!</v>
      </c>
      <c r="AD111" s="147" t="e">
        <f t="shared" si="87"/>
        <v>#REF!</v>
      </c>
      <c r="AE111" s="147" t="e">
        <f t="shared" si="88"/>
        <v>#REF!</v>
      </c>
      <c r="AF111" s="147" t="e">
        <f t="shared" si="89"/>
        <v>#REF!</v>
      </c>
      <c r="AG111" s="147" t="e">
        <f t="shared" si="90"/>
        <v>#REF!</v>
      </c>
      <c r="AH111" s="148" t="e">
        <f t="shared" si="91"/>
        <v>#REF!</v>
      </c>
    </row>
    <row r="112" spans="1:34" s="136" customFormat="1" x14ac:dyDescent="0.2">
      <c r="A112" s="155" t="s">
        <v>46</v>
      </c>
      <c r="B112" s="149"/>
      <c r="C112" s="138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50"/>
      <c r="R112" s="147"/>
      <c r="S112" s="145"/>
      <c r="V112" s="147" t="e">
        <f t="shared" si="79"/>
        <v>#REF!</v>
      </c>
      <c r="W112" s="147" t="e">
        <f t="shared" si="80"/>
        <v>#REF!</v>
      </c>
      <c r="X112" s="147" t="e">
        <f t="shared" si="81"/>
        <v>#REF!</v>
      </c>
      <c r="Y112" s="147" t="e">
        <f t="shared" si="82"/>
        <v>#REF!</v>
      </c>
      <c r="Z112" s="147" t="e">
        <f t="shared" si="83"/>
        <v>#REF!</v>
      </c>
      <c r="AA112" s="147" t="e">
        <f t="shared" si="84"/>
        <v>#REF!</v>
      </c>
      <c r="AB112" s="147" t="e">
        <f t="shared" si="85"/>
        <v>#REF!</v>
      </c>
      <c r="AC112" s="147" t="e">
        <f t="shared" si="86"/>
        <v>#REF!</v>
      </c>
      <c r="AD112" s="147" t="e">
        <f t="shared" si="87"/>
        <v>#REF!</v>
      </c>
      <c r="AE112" s="147" t="e">
        <f t="shared" si="88"/>
        <v>#REF!</v>
      </c>
      <c r="AF112" s="147" t="e">
        <f t="shared" si="89"/>
        <v>#REF!</v>
      </c>
      <c r="AG112" s="147" t="e">
        <f t="shared" si="90"/>
        <v>#REF!</v>
      </c>
      <c r="AH112" s="148" t="e">
        <f t="shared" si="91"/>
        <v>#REF!</v>
      </c>
    </row>
    <row r="113" spans="1:38" s="136" customFormat="1" x14ac:dyDescent="0.2">
      <c r="A113" s="155" t="s">
        <v>7</v>
      </c>
      <c r="B113" s="149" t="e">
        <f>-#REF!</f>
        <v>#REF!</v>
      </c>
      <c r="C113" s="138"/>
      <c r="D113" s="147" t="e">
        <f t="shared" ref="D113:O115" si="94">($B113/$P$8)*D$8</f>
        <v>#REF!</v>
      </c>
      <c r="E113" s="147" t="e">
        <f t="shared" si="94"/>
        <v>#REF!</v>
      </c>
      <c r="F113" s="147" t="e">
        <f t="shared" si="94"/>
        <v>#REF!</v>
      </c>
      <c r="G113" s="147" t="e">
        <f t="shared" si="94"/>
        <v>#REF!</v>
      </c>
      <c r="H113" s="147" t="e">
        <f t="shared" si="94"/>
        <v>#REF!</v>
      </c>
      <c r="I113" s="147" t="e">
        <f t="shared" si="94"/>
        <v>#REF!</v>
      </c>
      <c r="J113" s="147" t="e">
        <f t="shared" si="94"/>
        <v>#REF!</v>
      </c>
      <c r="K113" s="147" t="e">
        <f t="shared" si="94"/>
        <v>#REF!</v>
      </c>
      <c r="L113" s="147" t="e">
        <f t="shared" si="94"/>
        <v>#REF!</v>
      </c>
      <c r="M113" s="147" t="e">
        <f t="shared" si="94"/>
        <v>#REF!</v>
      </c>
      <c r="N113" s="147" t="e">
        <f t="shared" si="94"/>
        <v>#REF!</v>
      </c>
      <c r="O113" s="147" t="e">
        <f t="shared" si="94"/>
        <v>#REF!</v>
      </c>
      <c r="P113" s="147" t="e">
        <f>SUM(D113:O113)</f>
        <v>#REF!</v>
      </c>
      <c r="Q113" s="150"/>
      <c r="R113" s="147"/>
      <c r="S113" s="145" t="s">
        <v>373</v>
      </c>
      <c r="T113" s="136" t="str">
        <f t="shared" si="49"/>
        <v>0755</v>
      </c>
      <c r="U113" s="136" t="str">
        <f t="shared" si="45"/>
        <v>6750000755</v>
      </c>
      <c r="V113" s="147" t="e">
        <f t="shared" si="79"/>
        <v>#REF!</v>
      </c>
      <c r="W113" s="147" t="e">
        <f t="shared" si="80"/>
        <v>#REF!</v>
      </c>
      <c r="X113" s="147" t="e">
        <f t="shared" si="81"/>
        <v>#REF!</v>
      </c>
      <c r="Y113" s="147" t="e">
        <f t="shared" si="82"/>
        <v>#REF!</v>
      </c>
      <c r="Z113" s="147" t="e">
        <f t="shared" si="83"/>
        <v>#REF!</v>
      </c>
      <c r="AA113" s="147" t="e">
        <f t="shared" si="84"/>
        <v>#REF!</v>
      </c>
      <c r="AB113" s="147" t="e">
        <f t="shared" si="85"/>
        <v>#REF!</v>
      </c>
      <c r="AC113" s="147" t="e">
        <f t="shared" si="86"/>
        <v>#REF!</v>
      </c>
      <c r="AD113" s="147" t="e">
        <f t="shared" si="87"/>
        <v>#REF!</v>
      </c>
      <c r="AE113" s="147" t="e">
        <f t="shared" si="88"/>
        <v>#REF!</v>
      </c>
      <c r="AF113" s="147" t="e">
        <f t="shared" si="89"/>
        <v>#REF!</v>
      </c>
      <c r="AG113" s="147" t="e">
        <f t="shared" si="90"/>
        <v>#REF!</v>
      </c>
      <c r="AH113" s="148" t="e">
        <f t="shared" si="91"/>
        <v>#REF!</v>
      </c>
    </row>
    <row r="114" spans="1:38" s="136" customFormat="1" x14ac:dyDescent="0.2">
      <c r="A114" s="155" t="s">
        <v>375</v>
      </c>
      <c r="B114" s="149" t="e">
        <f>-#REF!</f>
        <v>#REF!</v>
      </c>
      <c r="C114" s="138"/>
      <c r="D114" s="147" t="e">
        <f t="shared" si="94"/>
        <v>#REF!</v>
      </c>
      <c r="E114" s="147" t="e">
        <f t="shared" si="94"/>
        <v>#REF!</v>
      </c>
      <c r="F114" s="147" t="e">
        <f t="shared" si="94"/>
        <v>#REF!</v>
      </c>
      <c r="G114" s="147" t="e">
        <f t="shared" si="94"/>
        <v>#REF!</v>
      </c>
      <c r="H114" s="147" t="e">
        <f t="shared" si="94"/>
        <v>#REF!</v>
      </c>
      <c r="I114" s="147" t="e">
        <f t="shared" si="94"/>
        <v>#REF!</v>
      </c>
      <c r="J114" s="147" t="e">
        <f t="shared" si="94"/>
        <v>#REF!</v>
      </c>
      <c r="K114" s="147" t="e">
        <f t="shared" si="94"/>
        <v>#REF!</v>
      </c>
      <c r="L114" s="147" t="e">
        <f t="shared" si="94"/>
        <v>#REF!</v>
      </c>
      <c r="M114" s="147" t="e">
        <f t="shared" si="94"/>
        <v>#REF!</v>
      </c>
      <c r="N114" s="147" t="e">
        <f t="shared" si="94"/>
        <v>#REF!</v>
      </c>
      <c r="O114" s="147" t="e">
        <f t="shared" si="94"/>
        <v>#REF!</v>
      </c>
      <c r="P114" s="147" t="e">
        <f>SUM(D114:O114)</f>
        <v>#REF!</v>
      </c>
      <c r="Q114" s="150"/>
      <c r="R114" s="147"/>
      <c r="S114" s="145" t="s">
        <v>374</v>
      </c>
      <c r="T114" s="136" t="str">
        <f t="shared" si="49"/>
        <v>0755</v>
      </c>
      <c r="U114" s="136" t="str">
        <f t="shared" si="45"/>
        <v>6760000755</v>
      </c>
      <c r="V114" s="147" t="e">
        <f t="shared" si="79"/>
        <v>#REF!</v>
      </c>
      <c r="W114" s="147" t="e">
        <f t="shared" si="80"/>
        <v>#REF!</v>
      </c>
      <c r="X114" s="147" t="e">
        <f t="shared" si="81"/>
        <v>#REF!</v>
      </c>
      <c r="Y114" s="147" t="e">
        <f t="shared" si="82"/>
        <v>#REF!</v>
      </c>
      <c r="Z114" s="147" t="e">
        <f t="shared" si="83"/>
        <v>#REF!</v>
      </c>
      <c r="AA114" s="147" t="e">
        <f t="shared" si="84"/>
        <v>#REF!</v>
      </c>
      <c r="AB114" s="147" t="e">
        <f t="shared" si="85"/>
        <v>#REF!</v>
      </c>
      <c r="AC114" s="147" t="e">
        <f t="shared" si="86"/>
        <v>#REF!</v>
      </c>
      <c r="AD114" s="147" t="e">
        <f t="shared" si="87"/>
        <v>#REF!</v>
      </c>
      <c r="AE114" s="147" t="e">
        <f t="shared" si="88"/>
        <v>#REF!</v>
      </c>
      <c r="AF114" s="147" t="e">
        <f t="shared" si="89"/>
        <v>#REF!</v>
      </c>
      <c r="AG114" s="147" t="e">
        <f t="shared" si="90"/>
        <v>#REF!</v>
      </c>
      <c r="AH114" s="148" t="e">
        <f t="shared" si="91"/>
        <v>#REF!</v>
      </c>
    </row>
    <row r="115" spans="1:38" s="136" customFormat="1" x14ac:dyDescent="0.2">
      <c r="A115" s="155" t="s">
        <v>54</v>
      </c>
      <c r="B115" s="149" t="e">
        <f>-#REF!</f>
        <v>#REF!</v>
      </c>
      <c r="C115" s="138"/>
      <c r="D115" s="147" t="e">
        <f t="shared" si="94"/>
        <v>#REF!</v>
      </c>
      <c r="E115" s="147" t="e">
        <f t="shared" si="94"/>
        <v>#REF!</v>
      </c>
      <c r="F115" s="147" t="e">
        <f t="shared" si="94"/>
        <v>#REF!</v>
      </c>
      <c r="G115" s="147" t="e">
        <f t="shared" si="94"/>
        <v>#REF!</v>
      </c>
      <c r="H115" s="147" t="e">
        <f t="shared" si="94"/>
        <v>#REF!</v>
      </c>
      <c r="I115" s="147" t="e">
        <f t="shared" si="94"/>
        <v>#REF!</v>
      </c>
      <c r="J115" s="147" t="e">
        <f t="shared" si="94"/>
        <v>#REF!</v>
      </c>
      <c r="K115" s="147" t="e">
        <f t="shared" si="94"/>
        <v>#REF!</v>
      </c>
      <c r="L115" s="147" t="e">
        <f t="shared" si="94"/>
        <v>#REF!</v>
      </c>
      <c r="M115" s="147" t="e">
        <f t="shared" si="94"/>
        <v>#REF!</v>
      </c>
      <c r="N115" s="147" t="e">
        <f t="shared" si="94"/>
        <v>#REF!</v>
      </c>
      <c r="O115" s="147" t="e">
        <f t="shared" si="94"/>
        <v>#REF!</v>
      </c>
      <c r="P115" s="147" t="e">
        <f>SUM(D115:O115)</f>
        <v>#REF!</v>
      </c>
      <c r="Q115" s="150"/>
      <c r="R115" s="147"/>
      <c r="S115" s="145" t="s">
        <v>376</v>
      </c>
      <c r="T115" s="136" t="str">
        <f t="shared" si="49"/>
        <v>0755</v>
      </c>
      <c r="U115" s="136" t="str">
        <f t="shared" si="45"/>
        <v>6770000755</v>
      </c>
      <c r="V115" s="147" t="e">
        <f t="shared" si="79"/>
        <v>#REF!</v>
      </c>
      <c r="W115" s="147" t="e">
        <f t="shared" si="80"/>
        <v>#REF!</v>
      </c>
      <c r="X115" s="147" t="e">
        <f t="shared" si="81"/>
        <v>#REF!</v>
      </c>
      <c r="Y115" s="147" t="e">
        <f t="shared" si="82"/>
        <v>#REF!</v>
      </c>
      <c r="Z115" s="147" t="e">
        <f t="shared" si="83"/>
        <v>#REF!</v>
      </c>
      <c r="AA115" s="147" t="e">
        <f t="shared" si="84"/>
        <v>#REF!</v>
      </c>
      <c r="AB115" s="147" t="e">
        <f t="shared" si="85"/>
        <v>#REF!</v>
      </c>
      <c r="AC115" s="147" t="e">
        <f t="shared" si="86"/>
        <v>#REF!</v>
      </c>
      <c r="AD115" s="147" t="e">
        <f t="shared" si="87"/>
        <v>#REF!</v>
      </c>
      <c r="AE115" s="147" t="e">
        <f t="shared" si="88"/>
        <v>#REF!</v>
      </c>
      <c r="AF115" s="147" t="e">
        <f t="shared" si="89"/>
        <v>#REF!</v>
      </c>
      <c r="AG115" s="147" t="e">
        <f t="shared" si="90"/>
        <v>#REF!</v>
      </c>
      <c r="AH115" s="148" t="e">
        <f t="shared" si="91"/>
        <v>#REF!</v>
      </c>
    </row>
    <row r="116" spans="1:38" s="136" customFormat="1" x14ac:dyDescent="0.2">
      <c r="B116" s="151"/>
      <c r="C116" s="138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0"/>
      <c r="R116" s="147"/>
      <c r="S116" s="145" t="s">
        <v>377</v>
      </c>
      <c r="T116" s="136" t="str">
        <f t="shared" si="49"/>
        <v>0755</v>
      </c>
      <c r="U116" s="136" t="str">
        <f t="shared" si="45"/>
        <v>6780000755</v>
      </c>
      <c r="V116" s="147" t="e">
        <f t="shared" ref="V116:AG123" si="95">+D204</f>
        <v>#REF!</v>
      </c>
      <c r="W116" s="147" t="e">
        <f t="shared" si="95"/>
        <v>#REF!</v>
      </c>
      <c r="X116" s="147" t="e">
        <f t="shared" si="95"/>
        <v>#REF!</v>
      </c>
      <c r="Y116" s="147" t="e">
        <f t="shared" si="95"/>
        <v>#REF!</v>
      </c>
      <c r="Z116" s="147" t="e">
        <f t="shared" si="95"/>
        <v>#REF!</v>
      </c>
      <c r="AA116" s="147" t="e">
        <f t="shared" si="95"/>
        <v>#REF!</v>
      </c>
      <c r="AB116" s="147" t="e">
        <f t="shared" si="95"/>
        <v>#REF!</v>
      </c>
      <c r="AC116" s="147" t="e">
        <f t="shared" si="95"/>
        <v>#REF!</v>
      </c>
      <c r="AD116" s="147" t="e">
        <f t="shared" si="95"/>
        <v>#REF!</v>
      </c>
      <c r="AE116" s="147" t="e">
        <f t="shared" si="95"/>
        <v>#REF!</v>
      </c>
      <c r="AF116" s="147" t="e">
        <f t="shared" si="95"/>
        <v>#REF!</v>
      </c>
      <c r="AG116" s="147" t="e">
        <f t="shared" si="95"/>
        <v>#REF!</v>
      </c>
      <c r="AH116" s="148" t="e">
        <f t="shared" si="91"/>
        <v>#REF!</v>
      </c>
    </row>
    <row r="117" spans="1:38" s="136" customFormat="1" x14ac:dyDescent="0.2">
      <c r="A117" s="155" t="s">
        <v>379</v>
      </c>
      <c r="B117" s="177" t="e">
        <f>SUM(B113:B116)</f>
        <v>#REF!</v>
      </c>
      <c r="C117" s="138"/>
      <c r="D117" s="178" t="e">
        <f t="shared" ref="D117:P117" si="96">SUM(D113:D116)</f>
        <v>#REF!</v>
      </c>
      <c r="E117" s="178" t="e">
        <f t="shared" si="96"/>
        <v>#REF!</v>
      </c>
      <c r="F117" s="178" t="e">
        <f t="shared" si="96"/>
        <v>#REF!</v>
      </c>
      <c r="G117" s="178" t="e">
        <f t="shared" si="96"/>
        <v>#REF!</v>
      </c>
      <c r="H117" s="178" t="e">
        <f>SUM(H113:H116)</f>
        <v>#REF!</v>
      </c>
      <c r="I117" s="178" t="e">
        <f t="shared" si="96"/>
        <v>#REF!</v>
      </c>
      <c r="J117" s="178" t="e">
        <f t="shared" si="96"/>
        <v>#REF!</v>
      </c>
      <c r="K117" s="178" t="e">
        <f t="shared" si="96"/>
        <v>#REF!</v>
      </c>
      <c r="L117" s="178" t="e">
        <f t="shared" si="96"/>
        <v>#REF!</v>
      </c>
      <c r="M117" s="178" t="e">
        <f t="shared" si="96"/>
        <v>#REF!</v>
      </c>
      <c r="N117" s="178" t="e">
        <f t="shared" si="96"/>
        <v>#REF!</v>
      </c>
      <c r="O117" s="178" t="e">
        <f t="shared" si="96"/>
        <v>#REF!</v>
      </c>
      <c r="P117" s="178" t="e">
        <f t="shared" si="96"/>
        <v>#REF!</v>
      </c>
      <c r="Q117" s="150"/>
      <c r="R117" s="147"/>
      <c r="S117" s="145" t="s">
        <v>378</v>
      </c>
      <c r="T117" s="136" t="str">
        <f t="shared" si="49"/>
        <v>0755</v>
      </c>
      <c r="U117" s="136" t="str">
        <f t="shared" si="45"/>
        <v>4050000755</v>
      </c>
      <c r="V117" s="147" t="e">
        <f t="shared" si="95"/>
        <v>#REF!</v>
      </c>
      <c r="W117" s="147" t="e">
        <f t="shared" si="95"/>
        <v>#REF!</v>
      </c>
      <c r="X117" s="147" t="e">
        <f t="shared" si="95"/>
        <v>#REF!</v>
      </c>
      <c r="Y117" s="147" t="e">
        <f t="shared" si="95"/>
        <v>#REF!</v>
      </c>
      <c r="Z117" s="147" t="e">
        <f t="shared" si="95"/>
        <v>#REF!</v>
      </c>
      <c r="AA117" s="147" t="e">
        <f t="shared" si="95"/>
        <v>#REF!</v>
      </c>
      <c r="AB117" s="147" t="e">
        <f t="shared" si="95"/>
        <v>#REF!</v>
      </c>
      <c r="AC117" s="147" t="e">
        <f t="shared" si="95"/>
        <v>#REF!</v>
      </c>
      <c r="AD117" s="147" t="e">
        <f t="shared" si="95"/>
        <v>#REF!</v>
      </c>
      <c r="AE117" s="147" t="e">
        <f t="shared" si="95"/>
        <v>#REF!</v>
      </c>
      <c r="AF117" s="147" t="e">
        <f t="shared" si="95"/>
        <v>#REF!</v>
      </c>
      <c r="AG117" s="147" t="e">
        <f t="shared" si="95"/>
        <v>#REF!</v>
      </c>
      <c r="AH117" s="148" t="e">
        <f t="shared" si="91"/>
        <v>#REF!</v>
      </c>
    </row>
    <row r="118" spans="1:38" s="136" customFormat="1" x14ac:dyDescent="0.2">
      <c r="B118" s="149"/>
      <c r="C118" s="138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50"/>
      <c r="R118" s="147"/>
      <c r="S118" s="145" t="s">
        <v>380</v>
      </c>
      <c r="T118" s="136" t="str">
        <f t="shared" si="49"/>
        <v>0755</v>
      </c>
      <c r="U118" s="136" t="str">
        <f t="shared" si="45"/>
        <v>9500000755</v>
      </c>
      <c r="V118" s="147" t="e">
        <f t="shared" si="95"/>
        <v>#REF!</v>
      </c>
      <c r="W118" s="147" t="e">
        <f t="shared" si="95"/>
        <v>#REF!</v>
      </c>
      <c r="X118" s="147" t="e">
        <f t="shared" si="95"/>
        <v>#REF!</v>
      </c>
      <c r="Y118" s="147" t="e">
        <f t="shared" si="95"/>
        <v>#REF!</v>
      </c>
      <c r="Z118" s="147" t="e">
        <f t="shared" si="95"/>
        <v>#REF!</v>
      </c>
      <c r="AA118" s="147" t="e">
        <f t="shared" si="95"/>
        <v>#REF!</v>
      </c>
      <c r="AB118" s="147" t="e">
        <f t="shared" si="95"/>
        <v>#REF!</v>
      </c>
      <c r="AC118" s="147" t="e">
        <f t="shared" si="95"/>
        <v>#REF!</v>
      </c>
      <c r="AD118" s="147" t="e">
        <f t="shared" si="95"/>
        <v>#REF!</v>
      </c>
      <c r="AE118" s="147" t="e">
        <f t="shared" si="95"/>
        <v>#REF!</v>
      </c>
      <c r="AF118" s="147" t="e">
        <f t="shared" si="95"/>
        <v>#REF!</v>
      </c>
      <c r="AG118" s="147" t="e">
        <f t="shared" si="95"/>
        <v>#REF!</v>
      </c>
      <c r="AH118" s="148" t="e">
        <f t="shared" si="91"/>
        <v>#REF!</v>
      </c>
    </row>
    <row r="119" spans="1:38" s="136" customFormat="1" x14ac:dyDescent="0.2">
      <c r="A119" s="155" t="s">
        <v>382</v>
      </c>
      <c r="B119" s="149"/>
      <c r="C119" s="138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50"/>
      <c r="R119" s="147"/>
      <c r="S119" s="145" t="s">
        <v>381</v>
      </c>
      <c r="T119" s="136" t="str">
        <f t="shared" si="49"/>
        <v>0755</v>
      </c>
      <c r="U119" s="136" t="str">
        <f t="shared" si="45"/>
        <v>6580000755</v>
      </c>
      <c r="V119" s="147" t="e">
        <f t="shared" si="95"/>
        <v>#REF!</v>
      </c>
      <c r="W119" s="147" t="e">
        <f t="shared" si="95"/>
        <v>#REF!</v>
      </c>
      <c r="X119" s="147" t="e">
        <f t="shared" si="95"/>
        <v>#REF!</v>
      </c>
      <c r="Y119" s="147" t="e">
        <f t="shared" si="95"/>
        <v>#REF!</v>
      </c>
      <c r="Z119" s="147" t="e">
        <f t="shared" si="95"/>
        <v>#REF!</v>
      </c>
      <c r="AA119" s="147" t="e">
        <f t="shared" si="95"/>
        <v>#REF!</v>
      </c>
      <c r="AB119" s="147" t="e">
        <f t="shared" si="95"/>
        <v>#REF!</v>
      </c>
      <c r="AC119" s="147" t="e">
        <f t="shared" si="95"/>
        <v>#REF!</v>
      </c>
      <c r="AD119" s="147" t="e">
        <f t="shared" si="95"/>
        <v>#REF!</v>
      </c>
      <c r="AE119" s="147" t="e">
        <f t="shared" si="95"/>
        <v>#REF!</v>
      </c>
      <c r="AF119" s="147" t="e">
        <f t="shared" si="95"/>
        <v>#REF!</v>
      </c>
      <c r="AG119" s="147" t="e">
        <f t="shared" si="95"/>
        <v>#REF!</v>
      </c>
      <c r="AH119" s="148" t="e">
        <f t="shared" si="91"/>
        <v>#REF!</v>
      </c>
    </row>
    <row r="120" spans="1:38" s="136" customFormat="1" x14ac:dyDescent="0.2">
      <c r="A120" s="155" t="s">
        <v>110</v>
      </c>
      <c r="B120" s="149" t="e">
        <f>-#REF!</f>
        <v>#REF!</v>
      </c>
      <c r="C120" s="138"/>
      <c r="D120" s="147" t="e">
        <f t="shared" ref="D120:O123" si="97">($B120/$P$8)*D$8</f>
        <v>#REF!</v>
      </c>
      <c r="E120" s="147" t="e">
        <f t="shared" si="97"/>
        <v>#REF!</v>
      </c>
      <c r="F120" s="147" t="e">
        <f t="shared" si="97"/>
        <v>#REF!</v>
      </c>
      <c r="G120" s="147" t="e">
        <f t="shared" si="97"/>
        <v>#REF!</v>
      </c>
      <c r="H120" s="147" t="e">
        <f t="shared" si="97"/>
        <v>#REF!</v>
      </c>
      <c r="I120" s="147" t="e">
        <f t="shared" si="97"/>
        <v>#REF!</v>
      </c>
      <c r="J120" s="147" t="e">
        <f t="shared" si="97"/>
        <v>#REF!</v>
      </c>
      <c r="K120" s="147" t="e">
        <f t="shared" si="97"/>
        <v>#REF!</v>
      </c>
      <c r="L120" s="147" t="e">
        <f t="shared" si="97"/>
        <v>#REF!</v>
      </c>
      <c r="M120" s="147" t="e">
        <f t="shared" si="97"/>
        <v>#REF!</v>
      </c>
      <c r="N120" s="147" t="e">
        <f t="shared" si="97"/>
        <v>#REF!</v>
      </c>
      <c r="O120" s="147" t="e">
        <f t="shared" si="97"/>
        <v>#REF!</v>
      </c>
      <c r="P120" s="147" t="e">
        <f>SUM(D120:O120)</f>
        <v>#REF!</v>
      </c>
      <c r="Q120" s="150"/>
      <c r="R120" s="147"/>
      <c r="S120" s="145" t="s">
        <v>383</v>
      </c>
      <c r="T120" s="136" t="str">
        <f t="shared" si="49"/>
        <v>0755</v>
      </c>
      <c r="U120" s="136" t="str">
        <f t="shared" si="45"/>
        <v>7580000755</v>
      </c>
      <c r="V120" s="147" t="e">
        <f t="shared" si="95"/>
        <v>#REF!</v>
      </c>
      <c r="W120" s="147" t="e">
        <f t="shared" si="95"/>
        <v>#REF!</v>
      </c>
      <c r="X120" s="147" t="e">
        <f t="shared" si="95"/>
        <v>#REF!</v>
      </c>
      <c r="Y120" s="147" t="e">
        <f t="shared" si="95"/>
        <v>#REF!</v>
      </c>
      <c r="Z120" s="147" t="e">
        <f t="shared" si="95"/>
        <v>#REF!</v>
      </c>
      <c r="AA120" s="147" t="e">
        <f t="shared" si="95"/>
        <v>#REF!</v>
      </c>
      <c r="AB120" s="147" t="e">
        <f t="shared" si="95"/>
        <v>#REF!</v>
      </c>
      <c r="AC120" s="147" t="e">
        <f t="shared" si="95"/>
        <v>#REF!</v>
      </c>
      <c r="AD120" s="147" t="e">
        <f t="shared" si="95"/>
        <v>#REF!</v>
      </c>
      <c r="AE120" s="147" t="e">
        <f t="shared" si="95"/>
        <v>#REF!</v>
      </c>
      <c r="AF120" s="147" t="e">
        <f t="shared" si="95"/>
        <v>#REF!</v>
      </c>
      <c r="AG120" s="147" t="e">
        <f t="shared" si="95"/>
        <v>#REF!</v>
      </c>
      <c r="AH120" s="148" t="e">
        <f t="shared" si="91"/>
        <v>#REF!</v>
      </c>
    </row>
    <row r="121" spans="1:38" s="136" customFormat="1" x14ac:dyDescent="0.2">
      <c r="A121" s="155" t="s">
        <v>111</v>
      </c>
      <c r="B121" s="149" t="e">
        <f>-#REF!</f>
        <v>#REF!</v>
      </c>
      <c r="C121" s="138"/>
      <c r="D121" s="147" t="e">
        <f t="shared" si="97"/>
        <v>#REF!</v>
      </c>
      <c r="E121" s="147" t="e">
        <f t="shared" si="97"/>
        <v>#REF!</v>
      </c>
      <c r="F121" s="147" t="e">
        <f t="shared" si="97"/>
        <v>#REF!</v>
      </c>
      <c r="G121" s="147" t="e">
        <f t="shared" si="97"/>
        <v>#REF!</v>
      </c>
      <c r="H121" s="147" t="e">
        <f t="shared" si="97"/>
        <v>#REF!</v>
      </c>
      <c r="I121" s="147" t="e">
        <f t="shared" si="97"/>
        <v>#REF!</v>
      </c>
      <c r="J121" s="147" t="e">
        <f t="shared" si="97"/>
        <v>#REF!</v>
      </c>
      <c r="K121" s="147" t="e">
        <f t="shared" si="97"/>
        <v>#REF!</v>
      </c>
      <c r="L121" s="147" t="e">
        <f t="shared" si="97"/>
        <v>#REF!</v>
      </c>
      <c r="M121" s="147" t="e">
        <f t="shared" si="97"/>
        <v>#REF!</v>
      </c>
      <c r="N121" s="147" t="e">
        <f t="shared" si="97"/>
        <v>#REF!</v>
      </c>
      <c r="O121" s="147" t="e">
        <f t="shared" si="97"/>
        <v>#REF!</v>
      </c>
      <c r="P121" s="147" t="e">
        <f>SUM(D121:O121)</f>
        <v>#REF!</v>
      </c>
      <c r="Q121" s="150"/>
      <c r="R121" s="147"/>
      <c r="S121" s="145" t="s">
        <v>384</v>
      </c>
      <c r="T121" s="136" t="str">
        <f t="shared" si="49"/>
        <v>0755</v>
      </c>
      <c r="U121" s="136" t="str">
        <f t="shared" si="45"/>
        <v>8090000755</v>
      </c>
      <c r="V121" s="147" t="e">
        <f t="shared" si="95"/>
        <v>#REF!</v>
      </c>
      <c r="W121" s="147" t="e">
        <f t="shared" si="95"/>
        <v>#REF!</v>
      </c>
      <c r="X121" s="147" t="e">
        <f t="shared" si="95"/>
        <v>#REF!</v>
      </c>
      <c r="Y121" s="147" t="e">
        <f t="shared" si="95"/>
        <v>#REF!</v>
      </c>
      <c r="Z121" s="147" t="e">
        <f t="shared" si="95"/>
        <v>#REF!</v>
      </c>
      <c r="AA121" s="147" t="e">
        <f t="shared" si="95"/>
        <v>#REF!</v>
      </c>
      <c r="AB121" s="147" t="e">
        <f t="shared" si="95"/>
        <v>#REF!</v>
      </c>
      <c r="AC121" s="147" t="e">
        <f t="shared" si="95"/>
        <v>#REF!</v>
      </c>
      <c r="AD121" s="147" t="e">
        <f t="shared" si="95"/>
        <v>#REF!</v>
      </c>
      <c r="AE121" s="147" t="e">
        <f t="shared" si="95"/>
        <v>#REF!</v>
      </c>
      <c r="AF121" s="147" t="e">
        <f t="shared" si="95"/>
        <v>#REF!</v>
      </c>
      <c r="AG121" s="147" t="e">
        <f t="shared" si="95"/>
        <v>#REF!</v>
      </c>
      <c r="AH121" s="148" t="e">
        <f t="shared" si="91"/>
        <v>#REF!</v>
      </c>
    </row>
    <row r="122" spans="1:38" s="168" customFormat="1" x14ac:dyDescent="0.2">
      <c r="A122" s="155" t="s">
        <v>386</v>
      </c>
      <c r="B122" s="149" t="e">
        <f>-#REF!</f>
        <v>#REF!</v>
      </c>
      <c r="C122" s="138"/>
      <c r="D122" s="147" t="e">
        <f t="shared" si="97"/>
        <v>#REF!</v>
      </c>
      <c r="E122" s="147" t="e">
        <f t="shared" si="97"/>
        <v>#REF!</v>
      </c>
      <c r="F122" s="147" t="e">
        <f t="shared" si="97"/>
        <v>#REF!</v>
      </c>
      <c r="G122" s="147" t="e">
        <f t="shared" si="97"/>
        <v>#REF!</v>
      </c>
      <c r="H122" s="147" t="e">
        <f t="shared" si="97"/>
        <v>#REF!</v>
      </c>
      <c r="I122" s="147" t="e">
        <f t="shared" si="97"/>
        <v>#REF!</v>
      </c>
      <c r="J122" s="147" t="e">
        <f t="shared" si="97"/>
        <v>#REF!</v>
      </c>
      <c r="K122" s="147" t="e">
        <f t="shared" si="97"/>
        <v>#REF!</v>
      </c>
      <c r="L122" s="147" t="e">
        <f t="shared" si="97"/>
        <v>#REF!</v>
      </c>
      <c r="M122" s="147" t="e">
        <f t="shared" si="97"/>
        <v>#REF!</v>
      </c>
      <c r="N122" s="147" t="e">
        <f t="shared" si="97"/>
        <v>#REF!</v>
      </c>
      <c r="O122" s="147" t="e">
        <f t="shared" si="97"/>
        <v>#REF!</v>
      </c>
      <c r="P122" s="147" t="e">
        <f>SUM(D122:O122)</f>
        <v>#REF!</v>
      </c>
      <c r="Q122" s="150"/>
      <c r="R122" s="147"/>
      <c r="S122" s="145" t="s">
        <v>601</v>
      </c>
      <c r="T122" s="136" t="str">
        <f t="shared" si="49"/>
        <v>0755</v>
      </c>
      <c r="U122" s="136" t="str">
        <f t="shared" si="45"/>
        <v>7140000755</v>
      </c>
      <c r="V122" s="147" t="e">
        <f>D182</f>
        <v>#REF!</v>
      </c>
      <c r="W122" s="147" t="e">
        <f t="shared" ref="W122:AG122" si="98">E182</f>
        <v>#REF!</v>
      </c>
      <c r="X122" s="147" t="e">
        <f t="shared" si="98"/>
        <v>#REF!</v>
      </c>
      <c r="Y122" s="147" t="e">
        <f t="shared" si="98"/>
        <v>#REF!</v>
      </c>
      <c r="Z122" s="147" t="e">
        <f t="shared" si="98"/>
        <v>#REF!</v>
      </c>
      <c r="AA122" s="147" t="e">
        <f t="shared" si="98"/>
        <v>#REF!</v>
      </c>
      <c r="AB122" s="147" t="e">
        <f t="shared" si="98"/>
        <v>#REF!</v>
      </c>
      <c r="AC122" s="147" t="e">
        <f t="shared" si="98"/>
        <v>#REF!</v>
      </c>
      <c r="AD122" s="147" t="e">
        <f t="shared" si="98"/>
        <v>#REF!</v>
      </c>
      <c r="AE122" s="147" t="e">
        <f t="shared" si="98"/>
        <v>#REF!</v>
      </c>
      <c r="AF122" s="147" t="e">
        <f t="shared" si="98"/>
        <v>#REF!</v>
      </c>
      <c r="AG122" s="147" t="e">
        <f t="shared" si="98"/>
        <v>#REF!</v>
      </c>
      <c r="AH122" s="148" t="e">
        <f t="shared" si="91"/>
        <v>#REF!</v>
      </c>
      <c r="AI122" s="136"/>
      <c r="AJ122" s="136"/>
      <c r="AK122" s="136"/>
      <c r="AL122" s="136"/>
    </row>
    <row r="123" spans="1:38" s="168" customFormat="1" x14ac:dyDescent="0.2">
      <c r="A123" s="155" t="s">
        <v>388</v>
      </c>
      <c r="B123" s="149" t="e">
        <f>-#REF!</f>
        <v>#REF!</v>
      </c>
      <c r="C123" s="138"/>
      <c r="D123" s="147" t="e">
        <f t="shared" si="97"/>
        <v>#REF!</v>
      </c>
      <c r="E123" s="147" t="e">
        <f t="shared" si="97"/>
        <v>#REF!</v>
      </c>
      <c r="F123" s="147" t="e">
        <f t="shared" si="97"/>
        <v>#REF!</v>
      </c>
      <c r="G123" s="147" t="e">
        <f t="shared" si="97"/>
        <v>#REF!</v>
      </c>
      <c r="H123" s="147" t="e">
        <f t="shared" si="97"/>
        <v>#REF!</v>
      </c>
      <c r="I123" s="147" t="e">
        <f t="shared" si="97"/>
        <v>#REF!</v>
      </c>
      <c r="J123" s="147" t="e">
        <f t="shared" si="97"/>
        <v>#REF!</v>
      </c>
      <c r="K123" s="147" t="e">
        <f t="shared" si="97"/>
        <v>#REF!</v>
      </c>
      <c r="L123" s="147" t="e">
        <f t="shared" si="97"/>
        <v>#REF!</v>
      </c>
      <c r="M123" s="147" t="e">
        <f t="shared" si="97"/>
        <v>#REF!</v>
      </c>
      <c r="N123" s="147" t="e">
        <f t="shared" si="97"/>
        <v>#REF!</v>
      </c>
      <c r="O123" s="147" t="e">
        <f t="shared" si="97"/>
        <v>#REF!</v>
      </c>
      <c r="P123" s="147" t="e">
        <f>SUM(D123:O123)</f>
        <v>#REF!</v>
      </c>
      <c r="Q123" s="150"/>
      <c r="R123" s="147"/>
      <c r="S123" s="145" t="s">
        <v>387</v>
      </c>
      <c r="T123" s="136" t="str">
        <f t="shared" si="49"/>
        <v>0755</v>
      </c>
      <c r="U123" s="136" t="str">
        <f t="shared" si="45"/>
        <v>8050000755</v>
      </c>
      <c r="V123" s="147" t="e">
        <f t="shared" si="95"/>
        <v>#REF!</v>
      </c>
      <c r="W123" s="147" t="e">
        <f t="shared" si="95"/>
        <v>#REF!</v>
      </c>
      <c r="X123" s="147" t="e">
        <f t="shared" si="95"/>
        <v>#REF!</v>
      </c>
      <c r="Y123" s="147" t="e">
        <f t="shared" si="95"/>
        <v>#REF!</v>
      </c>
      <c r="Z123" s="147" t="e">
        <f t="shared" si="95"/>
        <v>#REF!</v>
      </c>
      <c r="AA123" s="147" t="e">
        <f t="shared" si="95"/>
        <v>#REF!</v>
      </c>
      <c r="AB123" s="147" t="e">
        <f t="shared" si="95"/>
        <v>#REF!</v>
      </c>
      <c r="AC123" s="147" t="e">
        <f t="shared" si="95"/>
        <v>#REF!</v>
      </c>
      <c r="AD123" s="147" t="e">
        <f t="shared" si="95"/>
        <v>#REF!</v>
      </c>
      <c r="AE123" s="147" t="e">
        <f t="shared" si="95"/>
        <v>#REF!</v>
      </c>
      <c r="AF123" s="147" t="e">
        <f t="shared" si="95"/>
        <v>#REF!</v>
      </c>
      <c r="AG123" s="147" t="e">
        <f t="shared" si="95"/>
        <v>#REF!</v>
      </c>
      <c r="AH123" s="148" t="e">
        <f t="shared" si="91"/>
        <v>#REF!</v>
      </c>
      <c r="AI123" s="136"/>
      <c r="AJ123" s="136"/>
      <c r="AK123" s="136"/>
      <c r="AL123" s="136"/>
    </row>
    <row r="124" spans="1:38" s="136" customFormat="1" x14ac:dyDescent="0.2">
      <c r="B124" s="151"/>
      <c r="C124" s="138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0"/>
      <c r="R124" s="147"/>
      <c r="S124" s="145" t="s">
        <v>389</v>
      </c>
      <c r="T124" s="136" t="str">
        <f t="shared" si="49"/>
        <v>0755</v>
      </c>
      <c r="U124" s="136" t="str">
        <f t="shared" si="45"/>
        <v>8100000755</v>
      </c>
      <c r="V124" s="147">
        <f t="shared" ref="V124:AG125" si="99">+D216</f>
        <v>0</v>
      </c>
      <c r="W124" s="147">
        <f t="shared" si="99"/>
        <v>0</v>
      </c>
      <c r="X124" s="147">
        <f t="shared" si="99"/>
        <v>0</v>
      </c>
      <c r="Y124" s="147">
        <f t="shared" si="99"/>
        <v>0</v>
      </c>
      <c r="Z124" s="147">
        <f t="shared" si="99"/>
        <v>0</v>
      </c>
      <c r="AA124" s="147">
        <f t="shared" si="99"/>
        <v>0</v>
      </c>
      <c r="AB124" s="147">
        <f t="shared" si="99"/>
        <v>0</v>
      </c>
      <c r="AC124" s="147">
        <f t="shared" si="99"/>
        <v>0</v>
      </c>
      <c r="AD124" s="147">
        <f t="shared" si="99"/>
        <v>0</v>
      </c>
      <c r="AE124" s="147">
        <f t="shared" si="99"/>
        <v>0</v>
      </c>
      <c r="AF124" s="147">
        <f t="shared" si="99"/>
        <v>0</v>
      </c>
      <c r="AG124" s="147">
        <f t="shared" si="99"/>
        <v>0</v>
      </c>
      <c r="AH124" s="148">
        <f t="shared" si="91"/>
        <v>0</v>
      </c>
      <c r="AK124" s="168"/>
      <c r="AL124" s="168"/>
    </row>
    <row r="125" spans="1:38" s="136" customFormat="1" x14ac:dyDescent="0.2">
      <c r="A125" s="155" t="s">
        <v>391</v>
      </c>
      <c r="B125" s="175" t="e">
        <f>SUM(B120:B124)</f>
        <v>#REF!</v>
      </c>
      <c r="C125" s="138"/>
      <c r="D125" s="164" t="e">
        <f t="shared" ref="D125:P125" si="100">SUM(D120:D124)</f>
        <v>#REF!</v>
      </c>
      <c r="E125" s="164" t="e">
        <f t="shared" si="100"/>
        <v>#REF!</v>
      </c>
      <c r="F125" s="164" t="e">
        <f t="shared" si="100"/>
        <v>#REF!</v>
      </c>
      <c r="G125" s="164" t="e">
        <f t="shared" si="100"/>
        <v>#REF!</v>
      </c>
      <c r="H125" s="164" t="e">
        <f>SUM(H120:H124)</f>
        <v>#REF!</v>
      </c>
      <c r="I125" s="164" t="e">
        <f t="shared" si="100"/>
        <v>#REF!</v>
      </c>
      <c r="J125" s="164" t="e">
        <f t="shared" si="100"/>
        <v>#REF!</v>
      </c>
      <c r="K125" s="164" t="e">
        <f t="shared" si="100"/>
        <v>#REF!</v>
      </c>
      <c r="L125" s="164" t="e">
        <f t="shared" si="100"/>
        <v>#REF!</v>
      </c>
      <c r="M125" s="164" t="e">
        <f t="shared" si="100"/>
        <v>#REF!</v>
      </c>
      <c r="N125" s="164" t="e">
        <f t="shared" si="100"/>
        <v>#REF!</v>
      </c>
      <c r="O125" s="164" t="e">
        <f t="shared" si="100"/>
        <v>#REF!</v>
      </c>
      <c r="P125" s="164" t="e">
        <f t="shared" si="100"/>
        <v>#REF!</v>
      </c>
      <c r="Q125" s="150"/>
      <c r="R125" s="147"/>
      <c r="S125" s="145" t="s">
        <v>390</v>
      </c>
      <c r="T125" s="136" t="str">
        <f t="shared" si="49"/>
        <v>0755</v>
      </c>
      <c r="U125" s="136" t="str">
        <f t="shared" si="45"/>
        <v>9620000755</v>
      </c>
      <c r="V125" s="147">
        <f t="shared" si="99"/>
        <v>0</v>
      </c>
      <c r="W125" s="147">
        <f t="shared" si="99"/>
        <v>0</v>
      </c>
      <c r="X125" s="147">
        <f t="shared" si="99"/>
        <v>0</v>
      </c>
      <c r="Y125" s="147">
        <f t="shared" si="99"/>
        <v>0</v>
      </c>
      <c r="Z125" s="147">
        <f t="shared" si="99"/>
        <v>0</v>
      </c>
      <c r="AA125" s="147">
        <f t="shared" si="99"/>
        <v>0</v>
      </c>
      <c r="AB125" s="147">
        <f t="shared" si="99"/>
        <v>0</v>
      </c>
      <c r="AC125" s="147">
        <f t="shared" si="99"/>
        <v>0</v>
      </c>
      <c r="AD125" s="147">
        <f t="shared" si="99"/>
        <v>0</v>
      </c>
      <c r="AE125" s="147">
        <f t="shared" si="99"/>
        <v>0</v>
      </c>
      <c r="AF125" s="147">
        <f t="shared" si="99"/>
        <v>0</v>
      </c>
      <c r="AG125" s="147">
        <f t="shared" si="99"/>
        <v>0</v>
      </c>
      <c r="AH125" s="148">
        <f t="shared" si="91"/>
        <v>0</v>
      </c>
      <c r="AK125" s="168"/>
      <c r="AL125" s="168"/>
    </row>
    <row r="126" spans="1:38" s="136" customFormat="1" x14ac:dyDescent="0.2">
      <c r="B126" s="179"/>
      <c r="C126" s="138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50"/>
      <c r="R126" s="147"/>
      <c r="S126" s="136" t="s">
        <v>392</v>
      </c>
      <c r="T126" s="136" t="str">
        <f t="shared" si="49"/>
        <v>0755</v>
      </c>
      <c r="U126" s="136" t="str">
        <f t="shared" si="45"/>
        <v>9520000755</v>
      </c>
    </row>
    <row r="127" spans="1:38" s="136" customFormat="1" ht="13.5" thickBot="1" x14ac:dyDescent="0.25">
      <c r="A127" s="155" t="s">
        <v>393</v>
      </c>
      <c r="B127" s="172" t="e">
        <f>B99+B110+B117+B125</f>
        <v>#REF!</v>
      </c>
      <c r="C127" s="138"/>
      <c r="D127" s="173" t="e">
        <f t="shared" ref="D127:P127" si="101">D99+D110+D117+D125</f>
        <v>#REF!</v>
      </c>
      <c r="E127" s="173" t="e">
        <f t="shared" si="101"/>
        <v>#REF!</v>
      </c>
      <c r="F127" s="173" t="e">
        <f t="shared" si="101"/>
        <v>#REF!</v>
      </c>
      <c r="G127" s="173" t="e">
        <f t="shared" si="101"/>
        <v>#REF!</v>
      </c>
      <c r="H127" s="173" t="e">
        <f t="shared" si="101"/>
        <v>#REF!</v>
      </c>
      <c r="I127" s="173" t="e">
        <f t="shared" si="101"/>
        <v>#REF!</v>
      </c>
      <c r="J127" s="173" t="e">
        <f t="shared" si="101"/>
        <v>#REF!</v>
      </c>
      <c r="K127" s="173" t="e">
        <f t="shared" si="101"/>
        <v>#REF!</v>
      </c>
      <c r="L127" s="173" t="e">
        <f t="shared" si="101"/>
        <v>#REF!</v>
      </c>
      <c r="M127" s="173" t="e">
        <f t="shared" si="101"/>
        <v>#REF!</v>
      </c>
      <c r="N127" s="173" t="e">
        <f t="shared" si="101"/>
        <v>#REF!</v>
      </c>
      <c r="O127" s="173" t="e">
        <f t="shared" si="101"/>
        <v>#REF!</v>
      </c>
      <c r="P127" s="173" t="e">
        <f t="shared" si="101"/>
        <v>#REF!</v>
      </c>
      <c r="Q127" s="150"/>
      <c r="R127" s="147"/>
      <c r="AH127" s="147"/>
      <c r="AJ127" s="168"/>
    </row>
    <row r="128" spans="1:38" s="136" customFormat="1" ht="13.5" thickTop="1" x14ac:dyDescent="0.2">
      <c r="A128" s="168"/>
      <c r="B128" s="176" t="e">
        <f>B127/B$23</f>
        <v>#REF!</v>
      </c>
      <c r="C128" s="138"/>
      <c r="D128" s="174" t="e">
        <f t="shared" ref="D128:P128" si="102">D127/D$23</f>
        <v>#REF!</v>
      </c>
      <c r="E128" s="174" t="e">
        <f t="shared" si="102"/>
        <v>#REF!</v>
      </c>
      <c r="F128" s="174" t="e">
        <f t="shared" si="102"/>
        <v>#REF!</v>
      </c>
      <c r="G128" s="174" t="e">
        <f t="shared" si="102"/>
        <v>#REF!</v>
      </c>
      <c r="H128" s="174" t="e">
        <f t="shared" si="102"/>
        <v>#REF!</v>
      </c>
      <c r="I128" s="174" t="e">
        <f t="shared" si="102"/>
        <v>#REF!</v>
      </c>
      <c r="J128" s="174" t="e">
        <f t="shared" si="102"/>
        <v>#REF!</v>
      </c>
      <c r="K128" s="174" t="e">
        <f t="shared" si="102"/>
        <v>#REF!</v>
      </c>
      <c r="L128" s="174" t="e">
        <f t="shared" si="102"/>
        <v>#REF!</v>
      </c>
      <c r="M128" s="174" t="e">
        <f t="shared" si="102"/>
        <v>#REF!</v>
      </c>
      <c r="N128" s="174" t="e">
        <f t="shared" si="102"/>
        <v>#REF!</v>
      </c>
      <c r="O128" s="174" t="e">
        <f t="shared" si="102"/>
        <v>#REF!</v>
      </c>
      <c r="P128" s="174" t="e">
        <f t="shared" si="102"/>
        <v>#REF!</v>
      </c>
      <c r="Q128" s="168"/>
      <c r="R128" s="147"/>
      <c r="V128" s="147" t="e">
        <f>SUM(V10:V127)</f>
        <v>#REF!</v>
      </c>
      <c r="W128" s="147" t="e">
        <f t="shared" ref="W128:AG128" si="103">SUM(W10:W127)</f>
        <v>#REF!</v>
      </c>
      <c r="X128" s="147" t="e">
        <f t="shared" si="103"/>
        <v>#REF!</v>
      </c>
      <c r="Y128" s="147" t="e">
        <f t="shared" si="103"/>
        <v>#REF!</v>
      </c>
      <c r="Z128" s="147" t="e">
        <f>SUM(Z10:Z127)</f>
        <v>#REF!</v>
      </c>
      <c r="AA128" s="147" t="e">
        <f t="shared" si="103"/>
        <v>#REF!</v>
      </c>
      <c r="AB128" s="147" t="e">
        <f t="shared" si="103"/>
        <v>#REF!</v>
      </c>
      <c r="AC128" s="147" t="e">
        <f t="shared" si="103"/>
        <v>#REF!</v>
      </c>
      <c r="AD128" s="147" t="e">
        <f t="shared" si="103"/>
        <v>#REF!</v>
      </c>
      <c r="AE128" s="147" t="e">
        <f t="shared" si="103"/>
        <v>#REF!</v>
      </c>
      <c r="AF128" s="147" t="e">
        <f t="shared" si="103"/>
        <v>#REF!</v>
      </c>
      <c r="AG128" s="147" t="e">
        <f t="shared" si="103"/>
        <v>#REF!</v>
      </c>
      <c r="AH128" s="147" t="e">
        <f>SUM(V128:AG128)</f>
        <v>#REF!</v>
      </c>
      <c r="AJ128" s="168"/>
    </row>
    <row r="129" spans="1:35" s="136" customFormat="1" x14ac:dyDescent="0.2">
      <c r="A129" s="168"/>
      <c r="B129" s="149"/>
      <c r="C129" s="138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50"/>
      <c r="R129" s="147"/>
      <c r="S129" s="145"/>
      <c r="V129" s="147" t="e">
        <f t="shared" ref="V129:AH129" si="104">+V128+D219</f>
        <v>#REF!</v>
      </c>
      <c r="W129" s="147" t="e">
        <f t="shared" si="104"/>
        <v>#REF!</v>
      </c>
      <c r="X129" s="147" t="e">
        <f t="shared" si="104"/>
        <v>#REF!</v>
      </c>
      <c r="Y129" s="147" t="e">
        <f t="shared" si="104"/>
        <v>#REF!</v>
      </c>
      <c r="Z129" s="147" t="e">
        <f t="shared" si="104"/>
        <v>#REF!</v>
      </c>
      <c r="AA129" s="147" t="e">
        <f t="shared" si="104"/>
        <v>#REF!</v>
      </c>
      <c r="AB129" s="147" t="e">
        <f t="shared" si="104"/>
        <v>#REF!</v>
      </c>
      <c r="AC129" s="147" t="e">
        <f t="shared" si="104"/>
        <v>#REF!</v>
      </c>
      <c r="AD129" s="147" t="e">
        <f t="shared" si="104"/>
        <v>#REF!</v>
      </c>
      <c r="AE129" s="147" t="e">
        <f t="shared" si="104"/>
        <v>#REF!</v>
      </c>
      <c r="AF129" s="147" t="e">
        <f t="shared" si="104"/>
        <v>#REF!</v>
      </c>
      <c r="AG129" s="147" t="e">
        <f t="shared" si="104"/>
        <v>#REF!</v>
      </c>
      <c r="AH129" s="147" t="e">
        <f t="shared" si="104"/>
        <v>#REF!</v>
      </c>
      <c r="AI129" s="168"/>
    </row>
    <row r="130" spans="1:35" s="136" customFormat="1" x14ac:dyDescent="0.2">
      <c r="A130" s="155" t="s">
        <v>394</v>
      </c>
      <c r="B130" s="149"/>
      <c r="C130" s="138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50"/>
      <c r="R130" s="147"/>
      <c r="S130" s="145"/>
      <c r="AI130" s="168"/>
    </row>
    <row r="131" spans="1:35" s="136" customFormat="1" x14ac:dyDescent="0.2">
      <c r="A131" s="155" t="s">
        <v>395</v>
      </c>
      <c r="B131" s="149"/>
      <c r="C131" s="138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50"/>
      <c r="R131" s="147"/>
      <c r="S131" s="145"/>
    </row>
    <row r="132" spans="1:35" s="136" customFormat="1" x14ac:dyDescent="0.2">
      <c r="A132" s="155" t="s">
        <v>396</v>
      </c>
      <c r="B132" s="149" t="e">
        <f>-#REF!</f>
        <v>#REF!</v>
      </c>
      <c r="C132" s="138"/>
      <c r="D132" s="147" t="e">
        <f t="shared" ref="D132:O135" si="105">($B132/$P$8)*D$8</f>
        <v>#REF!</v>
      </c>
      <c r="E132" s="147" t="e">
        <f t="shared" si="105"/>
        <v>#REF!</v>
      </c>
      <c r="F132" s="147" t="e">
        <f t="shared" si="105"/>
        <v>#REF!</v>
      </c>
      <c r="G132" s="147" t="e">
        <f t="shared" si="105"/>
        <v>#REF!</v>
      </c>
      <c r="H132" s="147" t="e">
        <f t="shared" si="105"/>
        <v>#REF!</v>
      </c>
      <c r="I132" s="147" t="e">
        <f t="shared" si="105"/>
        <v>#REF!</v>
      </c>
      <c r="J132" s="147" t="e">
        <f t="shared" si="105"/>
        <v>#REF!</v>
      </c>
      <c r="K132" s="147" t="e">
        <f t="shared" si="105"/>
        <v>#REF!</v>
      </c>
      <c r="L132" s="147" t="e">
        <f t="shared" si="105"/>
        <v>#REF!</v>
      </c>
      <c r="M132" s="147" t="e">
        <f t="shared" si="105"/>
        <v>#REF!</v>
      </c>
      <c r="N132" s="147" t="e">
        <f t="shared" si="105"/>
        <v>#REF!</v>
      </c>
      <c r="O132" s="147" t="e">
        <f t="shared" si="105"/>
        <v>#REF!</v>
      </c>
      <c r="P132" s="147" t="e">
        <f>SUM(D132:O132)</f>
        <v>#REF!</v>
      </c>
      <c r="Q132" s="150"/>
      <c r="R132" s="147"/>
      <c r="S132" s="145"/>
    </row>
    <row r="133" spans="1:35" s="136" customFormat="1" x14ac:dyDescent="0.2">
      <c r="A133" s="155" t="s">
        <v>397</v>
      </c>
      <c r="B133" s="149" t="e">
        <f>-#REF!</f>
        <v>#REF!</v>
      </c>
      <c r="C133" s="138"/>
      <c r="D133" s="147" t="e">
        <f t="shared" si="105"/>
        <v>#REF!</v>
      </c>
      <c r="E133" s="147" t="e">
        <f t="shared" si="105"/>
        <v>#REF!</v>
      </c>
      <c r="F133" s="147" t="e">
        <f t="shared" si="105"/>
        <v>#REF!</v>
      </c>
      <c r="G133" s="147" t="e">
        <f t="shared" si="105"/>
        <v>#REF!</v>
      </c>
      <c r="H133" s="147" t="e">
        <f t="shared" si="105"/>
        <v>#REF!</v>
      </c>
      <c r="I133" s="147" t="e">
        <f t="shared" si="105"/>
        <v>#REF!</v>
      </c>
      <c r="J133" s="147" t="e">
        <f t="shared" si="105"/>
        <v>#REF!</v>
      </c>
      <c r="K133" s="147" t="e">
        <f t="shared" si="105"/>
        <v>#REF!</v>
      </c>
      <c r="L133" s="147" t="e">
        <f t="shared" si="105"/>
        <v>#REF!</v>
      </c>
      <c r="M133" s="147" t="e">
        <f t="shared" si="105"/>
        <v>#REF!</v>
      </c>
      <c r="N133" s="147" t="e">
        <f t="shared" si="105"/>
        <v>#REF!</v>
      </c>
      <c r="O133" s="147" t="e">
        <f t="shared" si="105"/>
        <v>#REF!</v>
      </c>
      <c r="P133" s="147" t="e">
        <f>SUM(D133:O133)</f>
        <v>#REF!</v>
      </c>
      <c r="Q133" s="150"/>
      <c r="R133" s="147"/>
      <c r="S133" s="145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</row>
    <row r="134" spans="1:35" s="136" customFormat="1" x14ac:dyDescent="0.2">
      <c r="A134" s="155" t="s">
        <v>398</v>
      </c>
      <c r="B134" s="149" t="e">
        <f>-#REF!</f>
        <v>#REF!</v>
      </c>
      <c r="C134" s="138"/>
      <c r="D134" s="147" t="e">
        <f t="shared" si="105"/>
        <v>#REF!</v>
      </c>
      <c r="E134" s="147" t="e">
        <f t="shared" si="105"/>
        <v>#REF!</v>
      </c>
      <c r="F134" s="147" t="e">
        <f t="shared" si="105"/>
        <v>#REF!</v>
      </c>
      <c r="G134" s="147" t="e">
        <f t="shared" si="105"/>
        <v>#REF!</v>
      </c>
      <c r="H134" s="147" t="e">
        <f t="shared" si="105"/>
        <v>#REF!</v>
      </c>
      <c r="I134" s="147" t="e">
        <f t="shared" si="105"/>
        <v>#REF!</v>
      </c>
      <c r="J134" s="147" t="e">
        <f t="shared" si="105"/>
        <v>#REF!</v>
      </c>
      <c r="K134" s="147" t="e">
        <f t="shared" si="105"/>
        <v>#REF!</v>
      </c>
      <c r="L134" s="147" t="e">
        <f t="shared" si="105"/>
        <v>#REF!</v>
      </c>
      <c r="M134" s="147" t="e">
        <f t="shared" si="105"/>
        <v>#REF!</v>
      </c>
      <c r="N134" s="147" t="e">
        <f t="shared" si="105"/>
        <v>#REF!</v>
      </c>
      <c r="O134" s="147" t="e">
        <f t="shared" si="105"/>
        <v>#REF!</v>
      </c>
      <c r="P134" s="147" t="e">
        <f>SUM(D134:O134)</f>
        <v>#REF!</v>
      </c>
      <c r="Q134" s="150"/>
      <c r="R134" s="147"/>
      <c r="S134" s="145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47" t="e">
        <f>AH128+P219</f>
        <v>#REF!</v>
      </c>
    </row>
    <row r="135" spans="1:35" s="136" customFormat="1" x14ac:dyDescent="0.2">
      <c r="A135" s="155" t="s">
        <v>397</v>
      </c>
      <c r="B135" s="149" t="e">
        <f>-#REF!</f>
        <v>#REF!</v>
      </c>
      <c r="C135" s="138"/>
      <c r="D135" s="147" t="e">
        <f t="shared" si="105"/>
        <v>#REF!</v>
      </c>
      <c r="E135" s="147" t="e">
        <f t="shared" si="105"/>
        <v>#REF!</v>
      </c>
      <c r="F135" s="147" t="e">
        <f t="shared" si="105"/>
        <v>#REF!</v>
      </c>
      <c r="G135" s="147" t="e">
        <f t="shared" si="105"/>
        <v>#REF!</v>
      </c>
      <c r="H135" s="147" t="e">
        <f t="shared" si="105"/>
        <v>#REF!</v>
      </c>
      <c r="I135" s="147" t="e">
        <f t="shared" si="105"/>
        <v>#REF!</v>
      </c>
      <c r="J135" s="147" t="e">
        <f t="shared" si="105"/>
        <v>#REF!</v>
      </c>
      <c r="K135" s="147" t="e">
        <f t="shared" si="105"/>
        <v>#REF!</v>
      </c>
      <c r="L135" s="147" t="e">
        <f t="shared" si="105"/>
        <v>#REF!</v>
      </c>
      <c r="M135" s="147" t="e">
        <f t="shared" si="105"/>
        <v>#REF!</v>
      </c>
      <c r="N135" s="147" t="e">
        <f t="shared" si="105"/>
        <v>#REF!</v>
      </c>
      <c r="O135" s="147" t="e">
        <f t="shared" si="105"/>
        <v>#REF!</v>
      </c>
      <c r="P135" s="147" t="e">
        <f>SUM(D135:O135)</f>
        <v>#REF!</v>
      </c>
      <c r="Q135" s="150"/>
      <c r="R135" s="147"/>
      <c r="S135" s="145"/>
    </row>
    <row r="136" spans="1:35" s="136" customFormat="1" x14ac:dyDescent="0.2">
      <c r="B136" s="151"/>
      <c r="C136" s="138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0"/>
      <c r="R136" s="147"/>
      <c r="S136" s="145"/>
    </row>
    <row r="137" spans="1:35" s="136" customFormat="1" x14ac:dyDescent="0.2">
      <c r="A137" s="155" t="s">
        <v>399</v>
      </c>
      <c r="B137" s="175" t="e">
        <f>SUM(B132:B136)</f>
        <v>#REF!</v>
      </c>
      <c r="C137" s="138"/>
      <c r="D137" s="164" t="e">
        <f t="shared" ref="D137:P137" si="106">SUM(D132:D136)</f>
        <v>#REF!</v>
      </c>
      <c r="E137" s="164" t="e">
        <f t="shared" si="106"/>
        <v>#REF!</v>
      </c>
      <c r="F137" s="164" t="e">
        <f t="shared" si="106"/>
        <v>#REF!</v>
      </c>
      <c r="G137" s="164" t="e">
        <f t="shared" si="106"/>
        <v>#REF!</v>
      </c>
      <c r="H137" s="164" t="e">
        <f t="shared" si="106"/>
        <v>#REF!</v>
      </c>
      <c r="I137" s="164" t="e">
        <f t="shared" si="106"/>
        <v>#REF!</v>
      </c>
      <c r="J137" s="164" t="e">
        <f t="shared" si="106"/>
        <v>#REF!</v>
      </c>
      <c r="K137" s="164" t="e">
        <f t="shared" si="106"/>
        <v>#REF!</v>
      </c>
      <c r="L137" s="164" t="e">
        <f t="shared" si="106"/>
        <v>#REF!</v>
      </c>
      <c r="M137" s="164" t="e">
        <f t="shared" si="106"/>
        <v>#REF!</v>
      </c>
      <c r="N137" s="164" t="e">
        <f t="shared" si="106"/>
        <v>#REF!</v>
      </c>
      <c r="O137" s="164" t="e">
        <f t="shared" si="106"/>
        <v>#REF!</v>
      </c>
      <c r="P137" s="164" t="e">
        <f t="shared" si="106"/>
        <v>#REF!</v>
      </c>
      <c r="Q137" s="150"/>
      <c r="R137" s="147"/>
    </row>
    <row r="138" spans="1:35" s="136" customFormat="1" x14ac:dyDescent="0.2">
      <c r="B138" s="149"/>
      <c r="C138" s="138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50"/>
      <c r="R138" s="147"/>
    </row>
    <row r="139" spans="1:35" s="136" customFormat="1" x14ac:dyDescent="0.2">
      <c r="A139" s="155" t="s">
        <v>400</v>
      </c>
      <c r="B139" s="149"/>
      <c r="C139" s="138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50"/>
      <c r="R139" s="147"/>
    </row>
    <row r="140" spans="1:35" s="136" customFormat="1" x14ac:dyDescent="0.2">
      <c r="A140" s="155" t="s">
        <v>52</v>
      </c>
      <c r="B140" s="149" t="e">
        <f>-#REF!</f>
        <v>#REF!</v>
      </c>
      <c r="C140" s="138"/>
      <c r="D140" s="147" t="e">
        <f t="shared" ref="D140:O141" si="107">($B140/$P$8)*D$8</f>
        <v>#REF!</v>
      </c>
      <c r="E140" s="147" t="e">
        <f t="shared" si="107"/>
        <v>#REF!</v>
      </c>
      <c r="F140" s="147" t="e">
        <f t="shared" si="107"/>
        <v>#REF!</v>
      </c>
      <c r="G140" s="147" t="e">
        <f t="shared" si="107"/>
        <v>#REF!</v>
      </c>
      <c r="H140" s="147" t="e">
        <f t="shared" si="107"/>
        <v>#REF!</v>
      </c>
      <c r="I140" s="147" t="e">
        <f t="shared" si="107"/>
        <v>#REF!</v>
      </c>
      <c r="J140" s="147" t="e">
        <f t="shared" si="107"/>
        <v>#REF!</v>
      </c>
      <c r="K140" s="147" t="e">
        <f t="shared" si="107"/>
        <v>#REF!</v>
      </c>
      <c r="L140" s="147" t="e">
        <f t="shared" si="107"/>
        <v>#REF!</v>
      </c>
      <c r="M140" s="147" t="e">
        <f t="shared" si="107"/>
        <v>#REF!</v>
      </c>
      <c r="N140" s="147" t="e">
        <f t="shared" si="107"/>
        <v>#REF!</v>
      </c>
      <c r="O140" s="147" t="e">
        <f t="shared" si="107"/>
        <v>#REF!</v>
      </c>
      <c r="P140" s="147" t="e">
        <f>SUM(D140:O140)</f>
        <v>#REF!</v>
      </c>
      <c r="Q140" s="150"/>
      <c r="R140" s="147"/>
    </row>
    <row r="141" spans="1:35" s="136" customFormat="1" x14ac:dyDescent="0.2">
      <c r="A141" s="155" t="s">
        <v>397</v>
      </c>
      <c r="B141" s="149" t="e">
        <f>-#REF!</f>
        <v>#REF!</v>
      </c>
      <c r="C141" s="138"/>
      <c r="D141" s="147" t="e">
        <f t="shared" si="107"/>
        <v>#REF!</v>
      </c>
      <c r="E141" s="147" t="e">
        <f t="shared" si="107"/>
        <v>#REF!</v>
      </c>
      <c r="F141" s="147" t="e">
        <f t="shared" si="107"/>
        <v>#REF!</v>
      </c>
      <c r="G141" s="147" t="e">
        <f t="shared" si="107"/>
        <v>#REF!</v>
      </c>
      <c r="H141" s="147" t="e">
        <f t="shared" si="107"/>
        <v>#REF!</v>
      </c>
      <c r="I141" s="147" t="e">
        <f t="shared" si="107"/>
        <v>#REF!</v>
      </c>
      <c r="J141" s="147" t="e">
        <f t="shared" si="107"/>
        <v>#REF!</v>
      </c>
      <c r="K141" s="147" t="e">
        <f t="shared" si="107"/>
        <v>#REF!</v>
      </c>
      <c r="L141" s="147" t="e">
        <f t="shared" si="107"/>
        <v>#REF!</v>
      </c>
      <c r="M141" s="147" t="e">
        <f t="shared" si="107"/>
        <v>#REF!</v>
      </c>
      <c r="N141" s="147" t="e">
        <f t="shared" si="107"/>
        <v>#REF!</v>
      </c>
      <c r="O141" s="147" t="e">
        <f t="shared" si="107"/>
        <v>#REF!</v>
      </c>
      <c r="P141" s="147" t="e">
        <f>SUM(D141:O141)</f>
        <v>#REF!</v>
      </c>
      <c r="Q141" s="150"/>
      <c r="R141" s="147"/>
      <c r="S141" s="145"/>
    </row>
    <row r="142" spans="1:35" s="136" customFormat="1" x14ac:dyDescent="0.2">
      <c r="B142" s="151"/>
      <c r="C142" s="138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0"/>
      <c r="R142" s="147"/>
      <c r="S142" s="145"/>
    </row>
    <row r="143" spans="1:35" s="136" customFormat="1" x14ac:dyDescent="0.2">
      <c r="A143" s="155" t="s">
        <v>401</v>
      </c>
      <c r="B143" s="175" t="e">
        <f>SUM(B140:B142)</f>
        <v>#REF!</v>
      </c>
      <c r="C143" s="138"/>
      <c r="D143" s="164" t="e">
        <f t="shared" ref="D143:P143" si="108">SUM(D140:D142)</f>
        <v>#REF!</v>
      </c>
      <c r="E143" s="164" t="e">
        <f t="shared" si="108"/>
        <v>#REF!</v>
      </c>
      <c r="F143" s="164" t="e">
        <f t="shared" si="108"/>
        <v>#REF!</v>
      </c>
      <c r="G143" s="164" t="e">
        <f t="shared" si="108"/>
        <v>#REF!</v>
      </c>
      <c r="H143" s="164" t="e">
        <f t="shared" si="108"/>
        <v>#REF!</v>
      </c>
      <c r="I143" s="164" t="e">
        <f t="shared" si="108"/>
        <v>#REF!</v>
      </c>
      <c r="J143" s="164" t="e">
        <f t="shared" si="108"/>
        <v>#REF!</v>
      </c>
      <c r="K143" s="164" t="e">
        <f t="shared" si="108"/>
        <v>#REF!</v>
      </c>
      <c r="L143" s="164" t="e">
        <f t="shared" si="108"/>
        <v>#REF!</v>
      </c>
      <c r="M143" s="164" t="e">
        <f t="shared" si="108"/>
        <v>#REF!</v>
      </c>
      <c r="N143" s="164" t="e">
        <f t="shared" si="108"/>
        <v>#REF!</v>
      </c>
      <c r="O143" s="164" t="e">
        <f t="shared" si="108"/>
        <v>#REF!</v>
      </c>
      <c r="P143" s="164" t="e">
        <f t="shared" si="108"/>
        <v>#REF!</v>
      </c>
      <c r="Q143" s="150"/>
      <c r="R143" s="147"/>
      <c r="S143" s="145"/>
    </row>
    <row r="144" spans="1:35" s="136" customFormat="1" x14ac:dyDescent="0.2">
      <c r="B144" s="149"/>
      <c r="C144" s="138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50"/>
      <c r="R144" s="147"/>
      <c r="S144" s="145"/>
    </row>
    <row r="145" spans="1:38" s="136" customFormat="1" x14ac:dyDescent="0.2">
      <c r="A145" s="155" t="s">
        <v>46</v>
      </c>
      <c r="B145" s="149"/>
      <c r="C145" s="138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50"/>
      <c r="R145" s="147"/>
    </row>
    <row r="146" spans="1:38" s="136" customFormat="1" x14ac:dyDescent="0.2">
      <c r="A146" s="155" t="s">
        <v>402</v>
      </c>
      <c r="B146" s="149" t="e">
        <f>-#REF!</f>
        <v>#REF!</v>
      </c>
      <c r="C146" s="138"/>
      <c r="D146" s="147" t="e">
        <f t="shared" ref="D146:O151" si="109">($B146/$P$8)*D$8</f>
        <v>#REF!</v>
      </c>
      <c r="E146" s="147" t="e">
        <f t="shared" si="109"/>
        <v>#REF!</v>
      </c>
      <c r="F146" s="147" t="e">
        <f t="shared" si="109"/>
        <v>#REF!</v>
      </c>
      <c r="G146" s="147" t="e">
        <f t="shared" si="109"/>
        <v>#REF!</v>
      </c>
      <c r="H146" s="147" t="e">
        <f t="shared" si="109"/>
        <v>#REF!</v>
      </c>
      <c r="I146" s="147" t="e">
        <f t="shared" si="109"/>
        <v>#REF!</v>
      </c>
      <c r="J146" s="147" t="e">
        <f t="shared" si="109"/>
        <v>#REF!</v>
      </c>
      <c r="K146" s="147" t="e">
        <f t="shared" si="109"/>
        <v>#REF!</v>
      </c>
      <c r="L146" s="147" t="e">
        <f t="shared" si="109"/>
        <v>#REF!</v>
      </c>
      <c r="M146" s="147" t="e">
        <f t="shared" si="109"/>
        <v>#REF!</v>
      </c>
      <c r="N146" s="147" t="e">
        <f t="shared" si="109"/>
        <v>#REF!</v>
      </c>
      <c r="O146" s="147" t="e">
        <f t="shared" si="109"/>
        <v>#REF!</v>
      </c>
      <c r="P146" s="147" t="e">
        <f t="shared" ref="P146:P151" si="110">SUM(D146:O146)</f>
        <v>#REF!</v>
      </c>
      <c r="Q146" s="150"/>
      <c r="R146" s="147"/>
    </row>
    <row r="147" spans="1:38" s="136" customFormat="1" x14ac:dyDescent="0.2">
      <c r="A147" s="155" t="s">
        <v>397</v>
      </c>
      <c r="B147" s="149" t="e">
        <f>-#REF!</f>
        <v>#REF!</v>
      </c>
      <c r="C147" s="138"/>
      <c r="D147" s="147" t="e">
        <f t="shared" si="109"/>
        <v>#REF!</v>
      </c>
      <c r="E147" s="147" t="e">
        <f t="shared" si="109"/>
        <v>#REF!</v>
      </c>
      <c r="F147" s="147" t="e">
        <f t="shared" si="109"/>
        <v>#REF!</v>
      </c>
      <c r="G147" s="147" t="e">
        <f t="shared" si="109"/>
        <v>#REF!</v>
      </c>
      <c r="H147" s="147" t="e">
        <f t="shared" si="109"/>
        <v>#REF!</v>
      </c>
      <c r="I147" s="147" t="e">
        <f t="shared" si="109"/>
        <v>#REF!</v>
      </c>
      <c r="J147" s="147" t="e">
        <f t="shared" si="109"/>
        <v>#REF!</v>
      </c>
      <c r="K147" s="147" t="e">
        <f t="shared" si="109"/>
        <v>#REF!</v>
      </c>
      <c r="L147" s="147" t="e">
        <f t="shared" si="109"/>
        <v>#REF!</v>
      </c>
      <c r="M147" s="147" t="e">
        <f t="shared" si="109"/>
        <v>#REF!</v>
      </c>
      <c r="N147" s="147" t="e">
        <f t="shared" si="109"/>
        <v>#REF!</v>
      </c>
      <c r="O147" s="147" t="e">
        <f t="shared" si="109"/>
        <v>#REF!</v>
      </c>
      <c r="P147" s="147" t="e">
        <f t="shared" si="110"/>
        <v>#REF!</v>
      </c>
      <c r="Q147" s="150"/>
      <c r="R147" s="147"/>
      <c r="S147" s="145"/>
    </row>
    <row r="148" spans="1:38" s="136" customFormat="1" x14ac:dyDescent="0.2">
      <c r="A148" s="155" t="s">
        <v>54</v>
      </c>
      <c r="B148" s="149" t="e">
        <f>-#REF!</f>
        <v>#REF!</v>
      </c>
      <c r="C148" s="138"/>
      <c r="D148" s="147" t="e">
        <f t="shared" si="109"/>
        <v>#REF!</v>
      </c>
      <c r="E148" s="147" t="e">
        <f t="shared" si="109"/>
        <v>#REF!</v>
      </c>
      <c r="F148" s="147" t="e">
        <f t="shared" si="109"/>
        <v>#REF!</v>
      </c>
      <c r="G148" s="147" t="e">
        <f t="shared" si="109"/>
        <v>#REF!</v>
      </c>
      <c r="H148" s="147" t="e">
        <f t="shared" si="109"/>
        <v>#REF!</v>
      </c>
      <c r="I148" s="147" t="e">
        <f t="shared" si="109"/>
        <v>#REF!</v>
      </c>
      <c r="J148" s="147" t="e">
        <f t="shared" si="109"/>
        <v>#REF!</v>
      </c>
      <c r="K148" s="147" t="e">
        <f t="shared" si="109"/>
        <v>#REF!</v>
      </c>
      <c r="L148" s="147" t="e">
        <f t="shared" si="109"/>
        <v>#REF!</v>
      </c>
      <c r="M148" s="147" t="e">
        <f t="shared" si="109"/>
        <v>#REF!</v>
      </c>
      <c r="N148" s="147" t="e">
        <f t="shared" si="109"/>
        <v>#REF!</v>
      </c>
      <c r="O148" s="147" t="e">
        <f t="shared" si="109"/>
        <v>#REF!</v>
      </c>
      <c r="P148" s="147" t="e">
        <f t="shared" si="110"/>
        <v>#REF!</v>
      </c>
      <c r="Q148" s="150"/>
      <c r="R148" s="147"/>
      <c r="S148" s="145"/>
    </row>
    <row r="149" spans="1:38" s="136" customFormat="1" x14ac:dyDescent="0.2">
      <c r="A149" s="155" t="s">
        <v>403</v>
      </c>
      <c r="B149" s="149" t="e">
        <f>-#REF!</f>
        <v>#REF!</v>
      </c>
      <c r="C149" s="138"/>
      <c r="D149" s="147" t="e">
        <f t="shared" si="109"/>
        <v>#REF!</v>
      </c>
      <c r="E149" s="147" t="e">
        <f t="shared" si="109"/>
        <v>#REF!</v>
      </c>
      <c r="F149" s="147" t="e">
        <f t="shared" si="109"/>
        <v>#REF!</v>
      </c>
      <c r="G149" s="147" t="e">
        <f t="shared" si="109"/>
        <v>#REF!</v>
      </c>
      <c r="H149" s="147" t="e">
        <f t="shared" si="109"/>
        <v>#REF!</v>
      </c>
      <c r="I149" s="147" t="e">
        <f t="shared" si="109"/>
        <v>#REF!</v>
      </c>
      <c r="J149" s="147" t="e">
        <f t="shared" si="109"/>
        <v>#REF!</v>
      </c>
      <c r="K149" s="147" t="e">
        <f t="shared" si="109"/>
        <v>#REF!</v>
      </c>
      <c r="L149" s="147" t="e">
        <f t="shared" si="109"/>
        <v>#REF!</v>
      </c>
      <c r="M149" s="147" t="e">
        <f t="shared" si="109"/>
        <v>#REF!</v>
      </c>
      <c r="N149" s="147" t="e">
        <f t="shared" si="109"/>
        <v>#REF!</v>
      </c>
      <c r="O149" s="147" t="e">
        <f t="shared" si="109"/>
        <v>#REF!</v>
      </c>
      <c r="P149" s="147" t="e">
        <f t="shared" si="110"/>
        <v>#REF!</v>
      </c>
      <c r="Q149" s="150"/>
      <c r="R149" s="147"/>
      <c r="S149" s="145"/>
    </row>
    <row r="150" spans="1:38" s="168" customFormat="1" x14ac:dyDescent="0.2">
      <c r="A150" s="155" t="s">
        <v>94</v>
      </c>
      <c r="B150" s="149" t="e">
        <f>-#REF!</f>
        <v>#REF!</v>
      </c>
      <c r="C150" s="138"/>
      <c r="D150" s="147" t="e">
        <f t="shared" si="109"/>
        <v>#REF!</v>
      </c>
      <c r="E150" s="147" t="e">
        <f t="shared" si="109"/>
        <v>#REF!</v>
      </c>
      <c r="F150" s="147" t="e">
        <f t="shared" si="109"/>
        <v>#REF!</v>
      </c>
      <c r="G150" s="147" t="e">
        <f t="shared" si="109"/>
        <v>#REF!</v>
      </c>
      <c r="H150" s="147" t="e">
        <f t="shared" si="109"/>
        <v>#REF!</v>
      </c>
      <c r="I150" s="147" t="e">
        <f t="shared" si="109"/>
        <v>#REF!</v>
      </c>
      <c r="J150" s="147" t="e">
        <f t="shared" si="109"/>
        <v>#REF!</v>
      </c>
      <c r="K150" s="147" t="e">
        <f t="shared" si="109"/>
        <v>#REF!</v>
      </c>
      <c r="L150" s="147" t="e">
        <f t="shared" si="109"/>
        <v>#REF!</v>
      </c>
      <c r="M150" s="147" t="e">
        <f t="shared" si="109"/>
        <v>#REF!</v>
      </c>
      <c r="N150" s="147" t="e">
        <f t="shared" si="109"/>
        <v>#REF!</v>
      </c>
      <c r="O150" s="147" t="e">
        <f t="shared" si="109"/>
        <v>#REF!</v>
      </c>
      <c r="P150" s="147" t="e">
        <f t="shared" si="110"/>
        <v>#REF!</v>
      </c>
      <c r="Q150" s="150"/>
      <c r="R150" s="147"/>
      <c r="S150" s="145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</row>
    <row r="151" spans="1:38" s="136" customFormat="1" x14ac:dyDescent="0.2">
      <c r="A151" s="155" t="s">
        <v>397</v>
      </c>
      <c r="B151" s="149" t="e">
        <f>-#REF!</f>
        <v>#REF!</v>
      </c>
      <c r="C151" s="138"/>
      <c r="D151" s="147" t="e">
        <f t="shared" si="109"/>
        <v>#REF!</v>
      </c>
      <c r="E151" s="147" t="e">
        <f t="shared" si="109"/>
        <v>#REF!</v>
      </c>
      <c r="F151" s="147" t="e">
        <f t="shared" si="109"/>
        <v>#REF!</v>
      </c>
      <c r="G151" s="147" t="e">
        <f t="shared" si="109"/>
        <v>#REF!</v>
      </c>
      <c r="H151" s="147" t="e">
        <f t="shared" si="109"/>
        <v>#REF!</v>
      </c>
      <c r="I151" s="147" t="e">
        <f t="shared" si="109"/>
        <v>#REF!</v>
      </c>
      <c r="J151" s="147" t="e">
        <f t="shared" si="109"/>
        <v>#REF!</v>
      </c>
      <c r="K151" s="147" t="e">
        <f t="shared" si="109"/>
        <v>#REF!</v>
      </c>
      <c r="L151" s="147" t="e">
        <f t="shared" si="109"/>
        <v>#REF!</v>
      </c>
      <c r="M151" s="147" t="e">
        <f t="shared" si="109"/>
        <v>#REF!</v>
      </c>
      <c r="N151" s="147" t="e">
        <f t="shared" si="109"/>
        <v>#REF!</v>
      </c>
      <c r="O151" s="147" t="e">
        <f t="shared" si="109"/>
        <v>#REF!</v>
      </c>
      <c r="P151" s="147" t="e">
        <f t="shared" si="110"/>
        <v>#REF!</v>
      </c>
      <c r="Q151" s="150"/>
      <c r="R151" s="147"/>
    </row>
    <row r="152" spans="1:38" s="136" customFormat="1" x14ac:dyDescent="0.2">
      <c r="B152" s="151"/>
      <c r="C152" s="138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0"/>
      <c r="R152" s="147"/>
      <c r="AK152" s="168"/>
      <c r="AL152" s="168"/>
    </row>
    <row r="153" spans="1:38" s="136" customFormat="1" x14ac:dyDescent="0.2">
      <c r="A153" s="155" t="s">
        <v>379</v>
      </c>
      <c r="B153" s="175" t="e">
        <f>SUM(B146:B152)</f>
        <v>#REF!</v>
      </c>
      <c r="C153" s="138"/>
      <c r="D153" s="164" t="e">
        <f t="shared" ref="D153:P153" si="111">SUM(D146:D152)</f>
        <v>#REF!</v>
      </c>
      <c r="E153" s="164" t="e">
        <f t="shared" si="111"/>
        <v>#REF!</v>
      </c>
      <c r="F153" s="164" t="e">
        <f t="shared" si="111"/>
        <v>#REF!</v>
      </c>
      <c r="G153" s="164" t="e">
        <f>SUM(G146:G152)</f>
        <v>#REF!</v>
      </c>
      <c r="H153" s="164" t="e">
        <f>SUM(H146:H152)</f>
        <v>#REF!</v>
      </c>
      <c r="I153" s="164" t="e">
        <f t="shared" si="111"/>
        <v>#REF!</v>
      </c>
      <c r="J153" s="164" t="e">
        <f t="shared" si="111"/>
        <v>#REF!</v>
      </c>
      <c r="K153" s="164" t="e">
        <f t="shared" si="111"/>
        <v>#REF!</v>
      </c>
      <c r="L153" s="164" t="e">
        <f t="shared" si="111"/>
        <v>#REF!</v>
      </c>
      <c r="M153" s="164" t="e">
        <f t="shared" si="111"/>
        <v>#REF!</v>
      </c>
      <c r="N153" s="164" t="e">
        <f t="shared" si="111"/>
        <v>#REF!</v>
      </c>
      <c r="O153" s="164" t="e">
        <f t="shared" si="111"/>
        <v>#REF!</v>
      </c>
      <c r="P153" s="164" t="e">
        <f t="shared" si="111"/>
        <v>#REF!</v>
      </c>
      <c r="Q153" s="150"/>
      <c r="R153" s="147"/>
    </row>
    <row r="154" spans="1:38" s="136" customFormat="1" x14ac:dyDescent="0.2">
      <c r="B154" s="179"/>
      <c r="C154" s="138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50"/>
      <c r="R154" s="147"/>
    </row>
    <row r="155" spans="1:38" s="136" customFormat="1" ht="13.5" thickBot="1" x14ac:dyDescent="0.25">
      <c r="A155" s="155" t="s">
        <v>404</v>
      </c>
      <c r="B155" s="172" t="e">
        <f>B137+B143+B153</f>
        <v>#REF!</v>
      </c>
      <c r="C155" s="138"/>
      <c r="D155" s="173" t="e">
        <f t="shared" ref="D155:P155" si="112">D137+D143+D153</f>
        <v>#REF!</v>
      </c>
      <c r="E155" s="173" t="e">
        <f t="shared" si="112"/>
        <v>#REF!</v>
      </c>
      <c r="F155" s="173" t="e">
        <f t="shared" si="112"/>
        <v>#REF!</v>
      </c>
      <c r="G155" s="173" t="e">
        <f t="shared" si="112"/>
        <v>#REF!</v>
      </c>
      <c r="H155" s="173" t="e">
        <f t="shared" si="112"/>
        <v>#REF!</v>
      </c>
      <c r="I155" s="173" t="e">
        <f t="shared" si="112"/>
        <v>#REF!</v>
      </c>
      <c r="J155" s="173" t="e">
        <f t="shared" si="112"/>
        <v>#REF!</v>
      </c>
      <c r="K155" s="173" t="e">
        <f t="shared" si="112"/>
        <v>#REF!</v>
      </c>
      <c r="L155" s="173" t="e">
        <f t="shared" si="112"/>
        <v>#REF!</v>
      </c>
      <c r="M155" s="173" t="e">
        <f t="shared" si="112"/>
        <v>#REF!</v>
      </c>
      <c r="N155" s="173" t="e">
        <f t="shared" si="112"/>
        <v>#REF!</v>
      </c>
      <c r="O155" s="173" t="e">
        <f t="shared" si="112"/>
        <v>#REF!</v>
      </c>
      <c r="P155" s="173" t="e">
        <f t="shared" si="112"/>
        <v>#REF!</v>
      </c>
      <c r="Q155" s="150"/>
      <c r="R155" s="147"/>
      <c r="AJ155" s="168"/>
    </row>
    <row r="156" spans="1:38" s="136" customFormat="1" ht="13.5" thickTop="1" x14ac:dyDescent="0.2">
      <c r="A156" s="168"/>
      <c r="B156" s="176" t="e">
        <f>B155/B$23</f>
        <v>#REF!</v>
      </c>
      <c r="C156" s="138"/>
      <c r="D156" s="174" t="e">
        <f t="shared" ref="D156:P156" si="113">D155/D$23</f>
        <v>#REF!</v>
      </c>
      <c r="E156" s="174" t="e">
        <f t="shared" si="113"/>
        <v>#REF!</v>
      </c>
      <c r="F156" s="174" t="e">
        <f t="shared" si="113"/>
        <v>#REF!</v>
      </c>
      <c r="G156" s="174" t="e">
        <f t="shared" si="113"/>
        <v>#REF!</v>
      </c>
      <c r="H156" s="174" t="e">
        <f t="shared" si="113"/>
        <v>#REF!</v>
      </c>
      <c r="I156" s="174" t="e">
        <f t="shared" si="113"/>
        <v>#REF!</v>
      </c>
      <c r="J156" s="174" t="e">
        <f t="shared" si="113"/>
        <v>#REF!</v>
      </c>
      <c r="K156" s="174" t="e">
        <f t="shared" si="113"/>
        <v>#REF!</v>
      </c>
      <c r="L156" s="174" t="e">
        <f t="shared" si="113"/>
        <v>#REF!</v>
      </c>
      <c r="M156" s="174" t="e">
        <f t="shared" si="113"/>
        <v>#REF!</v>
      </c>
      <c r="N156" s="174" t="e">
        <f t="shared" si="113"/>
        <v>#REF!</v>
      </c>
      <c r="O156" s="174" t="e">
        <f t="shared" si="113"/>
        <v>#REF!</v>
      </c>
      <c r="P156" s="174" t="e">
        <f t="shared" si="113"/>
        <v>#REF!</v>
      </c>
      <c r="Q156" s="168"/>
      <c r="R156" s="147"/>
    </row>
    <row r="157" spans="1:38" s="136" customFormat="1" x14ac:dyDescent="0.2">
      <c r="B157" s="179"/>
      <c r="C157" s="138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50"/>
      <c r="R157" s="147"/>
      <c r="S157" s="145"/>
      <c r="AI157" s="168"/>
    </row>
    <row r="158" spans="1:38" s="136" customFormat="1" ht="13.5" thickBot="1" x14ac:dyDescent="0.25">
      <c r="A158" s="155" t="s">
        <v>405</v>
      </c>
      <c r="B158" s="172" t="e">
        <f>B127+B155</f>
        <v>#REF!</v>
      </c>
      <c r="C158" s="138"/>
      <c r="D158" s="173" t="e">
        <f t="shared" ref="D158:P158" si="114">D127+D155</f>
        <v>#REF!</v>
      </c>
      <c r="E158" s="173" t="e">
        <f t="shared" si="114"/>
        <v>#REF!</v>
      </c>
      <c r="F158" s="173" t="e">
        <f t="shared" si="114"/>
        <v>#REF!</v>
      </c>
      <c r="G158" s="173" t="e">
        <f t="shared" si="114"/>
        <v>#REF!</v>
      </c>
      <c r="H158" s="173" t="e">
        <f t="shared" si="114"/>
        <v>#REF!</v>
      </c>
      <c r="I158" s="173" t="e">
        <f t="shared" si="114"/>
        <v>#REF!</v>
      </c>
      <c r="J158" s="173" t="e">
        <f t="shared" si="114"/>
        <v>#REF!</v>
      </c>
      <c r="K158" s="173" t="e">
        <f t="shared" si="114"/>
        <v>#REF!</v>
      </c>
      <c r="L158" s="173" t="e">
        <f t="shared" si="114"/>
        <v>#REF!</v>
      </c>
      <c r="M158" s="173" t="e">
        <f t="shared" si="114"/>
        <v>#REF!</v>
      </c>
      <c r="N158" s="173" t="e">
        <f t="shared" si="114"/>
        <v>#REF!</v>
      </c>
      <c r="O158" s="173" t="e">
        <f t="shared" si="114"/>
        <v>#REF!</v>
      </c>
      <c r="P158" s="173" t="e">
        <f t="shared" si="114"/>
        <v>#REF!</v>
      </c>
      <c r="Q158" s="150"/>
      <c r="R158" s="147"/>
      <c r="S158" s="145"/>
    </row>
    <row r="159" spans="1:38" s="136" customFormat="1" ht="13.5" thickTop="1" x14ac:dyDescent="0.2">
      <c r="A159" s="155"/>
      <c r="B159" s="149"/>
      <c r="C159" s="138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50"/>
      <c r="R159" s="147"/>
      <c r="S159" s="145"/>
    </row>
    <row r="160" spans="1:38" s="136" customFormat="1" x14ac:dyDescent="0.2">
      <c r="B160" s="149"/>
      <c r="C160" s="138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50"/>
      <c r="R160" s="147"/>
      <c r="S160" s="145"/>
    </row>
    <row r="161" spans="1:34" s="136" customFormat="1" x14ac:dyDescent="0.2">
      <c r="A161" s="155" t="s">
        <v>406</v>
      </c>
      <c r="B161" s="149"/>
      <c r="C161" s="138"/>
      <c r="D161" s="147" t="e">
        <f t="shared" ref="D161:O162" si="115">($B161/$P$8)*D$8</f>
        <v>#REF!</v>
      </c>
      <c r="E161" s="147" t="e">
        <f t="shared" si="115"/>
        <v>#REF!</v>
      </c>
      <c r="F161" s="147" t="e">
        <f t="shared" si="115"/>
        <v>#REF!</v>
      </c>
      <c r="G161" s="147" t="e">
        <f t="shared" si="115"/>
        <v>#REF!</v>
      </c>
      <c r="H161" s="147" t="e">
        <f t="shared" si="115"/>
        <v>#REF!</v>
      </c>
      <c r="I161" s="147" t="e">
        <f t="shared" si="115"/>
        <v>#REF!</v>
      </c>
      <c r="J161" s="147" t="e">
        <f t="shared" si="115"/>
        <v>#REF!</v>
      </c>
      <c r="K161" s="147" t="e">
        <f t="shared" si="115"/>
        <v>#REF!</v>
      </c>
      <c r="L161" s="147" t="e">
        <f t="shared" si="115"/>
        <v>#REF!</v>
      </c>
      <c r="M161" s="147" t="e">
        <f t="shared" si="115"/>
        <v>#REF!</v>
      </c>
      <c r="N161" s="147" t="e">
        <f t="shared" si="115"/>
        <v>#REF!</v>
      </c>
      <c r="O161" s="147" t="e">
        <f t="shared" si="115"/>
        <v>#REF!</v>
      </c>
      <c r="P161" s="147" t="e">
        <f>SUM(D161:O161)</f>
        <v>#REF!</v>
      </c>
      <c r="Q161" s="150"/>
      <c r="R161" s="147"/>
      <c r="S161" s="145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</row>
    <row r="162" spans="1:34" s="136" customFormat="1" x14ac:dyDescent="0.2">
      <c r="A162" s="155" t="s">
        <v>407</v>
      </c>
      <c r="B162" s="149" t="e">
        <f>-#REF!</f>
        <v>#REF!</v>
      </c>
      <c r="C162" s="138"/>
      <c r="D162" s="147" t="e">
        <f t="shared" si="115"/>
        <v>#REF!</v>
      </c>
      <c r="E162" s="147" t="e">
        <f t="shared" si="115"/>
        <v>#REF!</v>
      </c>
      <c r="F162" s="147" t="e">
        <f t="shared" si="115"/>
        <v>#REF!</v>
      </c>
      <c r="G162" s="147" t="e">
        <f t="shared" si="115"/>
        <v>#REF!</v>
      </c>
      <c r="H162" s="147" t="e">
        <f t="shared" si="115"/>
        <v>#REF!</v>
      </c>
      <c r="I162" s="147" t="e">
        <f t="shared" si="115"/>
        <v>#REF!</v>
      </c>
      <c r="J162" s="147" t="e">
        <f t="shared" si="115"/>
        <v>#REF!</v>
      </c>
      <c r="K162" s="147" t="e">
        <f t="shared" si="115"/>
        <v>#REF!</v>
      </c>
      <c r="L162" s="147" t="e">
        <f t="shared" si="115"/>
        <v>#REF!</v>
      </c>
      <c r="M162" s="147" t="e">
        <f t="shared" si="115"/>
        <v>#REF!</v>
      </c>
      <c r="N162" s="147" t="e">
        <f t="shared" si="115"/>
        <v>#REF!</v>
      </c>
      <c r="O162" s="147" t="e">
        <f t="shared" si="115"/>
        <v>#REF!</v>
      </c>
      <c r="P162" s="147" t="e">
        <f>SUM(D162:O162)</f>
        <v>#REF!</v>
      </c>
      <c r="Q162" s="150"/>
      <c r="R162" s="147"/>
      <c r="S162" s="145"/>
    </row>
    <row r="163" spans="1:34" s="136" customFormat="1" x14ac:dyDescent="0.2">
      <c r="B163" s="151"/>
      <c r="C163" s="138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0"/>
      <c r="R163" s="147"/>
      <c r="S163" s="145"/>
    </row>
    <row r="164" spans="1:34" s="136" customFormat="1" x14ac:dyDescent="0.2">
      <c r="A164" s="155" t="s">
        <v>408</v>
      </c>
      <c r="B164" s="175" t="e">
        <f>SUM(B161:B162)</f>
        <v>#REF!</v>
      </c>
      <c r="C164" s="138"/>
      <c r="D164" s="164" t="e">
        <f>SUM(D161:D162)</f>
        <v>#REF!</v>
      </c>
      <c r="E164" s="164" t="e">
        <f t="shared" ref="E164:P164" si="116">SUM(E161:E162)</f>
        <v>#REF!</v>
      </c>
      <c r="F164" s="164" t="e">
        <f t="shared" si="116"/>
        <v>#REF!</v>
      </c>
      <c r="G164" s="164" t="e">
        <f t="shared" si="116"/>
        <v>#REF!</v>
      </c>
      <c r="H164" s="164" t="e">
        <f t="shared" si="116"/>
        <v>#REF!</v>
      </c>
      <c r="I164" s="164" t="e">
        <f t="shared" si="116"/>
        <v>#REF!</v>
      </c>
      <c r="J164" s="164" t="e">
        <f t="shared" si="116"/>
        <v>#REF!</v>
      </c>
      <c r="K164" s="164" t="e">
        <f t="shared" si="116"/>
        <v>#REF!</v>
      </c>
      <c r="L164" s="164" t="e">
        <f t="shared" si="116"/>
        <v>#REF!</v>
      </c>
      <c r="M164" s="164" t="e">
        <f t="shared" si="116"/>
        <v>#REF!</v>
      </c>
      <c r="N164" s="164" t="e">
        <f t="shared" si="116"/>
        <v>#REF!</v>
      </c>
      <c r="O164" s="164" t="e">
        <f t="shared" si="116"/>
        <v>#REF!</v>
      </c>
      <c r="P164" s="164" t="e">
        <f t="shared" si="116"/>
        <v>#REF!</v>
      </c>
      <c r="Q164" s="150"/>
      <c r="R164" s="147"/>
      <c r="S164" s="145"/>
    </row>
    <row r="165" spans="1:34" s="136" customFormat="1" x14ac:dyDescent="0.2">
      <c r="B165" s="149"/>
      <c r="C165" s="138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50"/>
      <c r="R165" s="147"/>
      <c r="S165" s="145"/>
    </row>
    <row r="166" spans="1:34" s="136" customFormat="1" x14ac:dyDescent="0.2">
      <c r="A166" s="155" t="s">
        <v>409</v>
      </c>
      <c r="B166" s="149"/>
      <c r="C166" s="138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50"/>
      <c r="R166" s="147"/>
      <c r="S166" s="145"/>
    </row>
    <row r="167" spans="1:34" s="136" customFormat="1" x14ac:dyDescent="0.2">
      <c r="A167" s="155" t="s">
        <v>410</v>
      </c>
      <c r="B167" s="149" t="e">
        <f>-#REF!</f>
        <v>#REF!</v>
      </c>
      <c r="C167" s="138"/>
      <c r="D167" s="147" t="e">
        <f t="shared" ref="D167:O183" si="117">($B167/$P$8)*D$8</f>
        <v>#REF!</v>
      </c>
      <c r="E167" s="147" t="e">
        <f t="shared" si="117"/>
        <v>#REF!</v>
      </c>
      <c r="F167" s="147" t="e">
        <f t="shared" si="117"/>
        <v>#REF!</v>
      </c>
      <c r="G167" s="147" t="e">
        <f t="shared" si="117"/>
        <v>#REF!</v>
      </c>
      <c r="H167" s="147" t="e">
        <f t="shared" si="117"/>
        <v>#REF!</v>
      </c>
      <c r="I167" s="147" t="e">
        <f t="shared" si="117"/>
        <v>#REF!</v>
      </c>
      <c r="J167" s="147" t="e">
        <f t="shared" si="117"/>
        <v>#REF!</v>
      </c>
      <c r="K167" s="147" t="e">
        <f t="shared" si="117"/>
        <v>#REF!</v>
      </c>
      <c r="L167" s="147" t="e">
        <f t="shared" si="117"/>
        <v>#REF!</v>
      </c>
      <c r="M167" s="147" t="e">
        <f t="shared" si="117"/>
        <v>#REF!</v>
      </c>
      <c r="N167" s="147" t="e">
        <f t="shared" si="117"/>
        <v>#REF!</v>
      </c>
      <c r="O167" s="147" t="e">
        <f t="shared" si="117"/>
        <v>#REF!</v>
      </c>
      <c r="P167" s="147" t="e">
        <f t="shared" ref="P167:P193" si="118">SUM(D167:O167)</f>
        <v>#REF!</v>
      </c>
      <c r="Q167" s="150"/>
      <c r="R167" s="147"/>
    </row>
    <row r="168" spans="1:34" s="136" customFormat="1" x14ac:dyDescent="0.2">
      <c r="A168" s="155" t="s">
        <v>411</v>
      </c>
      <c r="B168" s="149" t="e">
        <f>-#REF!</f>
        <v>#REF!</v>
      </c>
      <c r="C168" s="138"/>
      <c r="D168" s="147" t="e">
        <f t="shared" si="117"/>
        <v>#REF!</v>
      </c>
      <c r="E168" s="147" t="e">
        <f t="shared" si="117"/>
        <v>#REF!</v>
      </c>
      <c r="F168" s="147" t="e">
        <f t="shared" si="117"/>
        <v>#REF!</v>
      </c>
      <c r="G168" s="147" t="e">
        <f t="shared" si="117"/>
        <v>#REF!</v>
      </c>
      <c r="H168" s="147" t="e">
        <f t="shared" si="117"/>
        <v>#REF!</v>
      </c>
      <c r="I168" s="147" t="e">
        <f t="shared" si="117"/>
        <v>#REF!</v>
      </c>
      <c r="J168" s="147" t="e">
        <f t="shared" si="117"/>
        <v>#REF!</v>
      </c>
      <c r="K168" s="147" t="e">
        <f t="shared" si="117"/>
        <v>#REF!</v>
      </c>
      <c r="L168" s="147" t="e">
        <f t="shared" si="117"/>
        <v>#REF!</v>
      </c>
      <c r="M168" s="147" t="e">
        <f t="shared" si="117"/>
        <v>#REF!</v>
      </c>
      <c r="N168" s="147" t="e">
        <f t="shared" si="117"/>
        <v>#REF!</v>
      </c>
      <c r="O168" s="147" t="e">
        <f t="shared" si="117"/>
        <v>#REF!</v>
      </c>
      <c r="P168" s="147" t="e">
        <f t="shared" si="118"/>
        <v>#REF!</v>
      </c>
      <c r="Q168" s="150"/>
      <c r="R168" s="147"/>
      <c r="S168" s="145"/>
    </row>
    <row r="169" spans="1:34" s="136" customFormat="1" x14ac:dyDescent="0.2">
      <c r="A169" s="155" t="s">
        <v>412</v>
      </c>
      <c r="B169" s="149" t="e">
        <f>-#REF!</f>
        <v>#REF!</v>
      </c>
      <c r="C169" s="138"/>
      <c r="D169" s="147" t="e">
        <f t="shared" si="117"/>
        <v>#REF!</v>
      </c>
      <c r="E169" s="147" t="e">
        <f t="shared" si="117"/>
        <v>#REF!</v>
      </c>
      <c r="F169" s="147" t="e">
        <f t="shared" si="117"/>
        <v>#REF!</v>
      </c>
      <c r="G169" s="147" t="e">
        <f t="shared" si="117"/>
        <v>#REF!</v>
      </c>
      <c r="H169" s="147" t="e">
        <f t="shared" si="117"/>
        <v>#REF!</v>
      </c>
      <c r="I169" s="147" t="e">
        <f t="shared" si="117"/>
        <v>#REF!</v>
      </c>
      <c r="J169" s="147" t="e">
        <f t="shared" si="117"/>
        <v>#REF!</v>
      </c>
      <c r="K169" s="147" t="e">
        <f t="shared" si="117"/>
        <v>#REF!</v>
      </c>
      <c r="L169" s="147" t="e">
        <f t="shared" si="117"/>
        <v>#REF!</v>
      </c>
      <c r="M169" s="147" t="e">
        <f t="shared" si="117"/>
        <v>#REF!</v>
      </c>
      <c r="N169" s="147" t="e">
        <f t="shared" si="117"/>
        <v>#REF!</v>
      </c>
      <c r="O169" s="147" t="e">
        <f t="shared" si="117"/>
        <v>#REF!</v>
      </c>
      <c r="P169" s="147" t="e">
        <f t="shared" si="118"/>
        <v>#REF!</v>
      </c>
      <c r="Q169" s="150"/>
      <c r="R169" s="147"/>
      <c r="S169" s="145"/>
    </row>
    <row r="170" spans="1:34" s="136" customFormat="1" x14ac:dyDescent="0.2">
      <c r="A170" s="155" t="s">
        <v>413</v>
      </c>
      <c r="B170" s="149" t="e">
        <f>-#REF!</f>
        <v>#REF!</v>
      </c>
      <c r="C170" s="138"/>
      <c r="D170" s="147" t="e">
        <f t="shared" si="117"/>
        <v>#REF!</v>
      </c>
      <c r="E170" s="147" t="e">
        <f t="shared" si="117"/>
        <v>#REF!</v>
      </c>
      <c r="F170" s="147" t="e">
        <f t="shared" si="117"/>
        <v>#REF!</v>
      </c>
      <c r="G170" s="147" t="e">
        <f t="shared" si="117"/>
        <v>#REF!</v>
      </c>
      <c r="H170" s="147" t="e">
        <f t="shared" si="117"/>
        <v>#REF!</v>
      </c>
      <c r="I170" s="147" t="e">
        <f t="shared" si="117"/>
        <v>#REF!</v>
      </c>
      <c r="J170" s="147" t="e">
        <f t="shared" si="117"/>
        <v>#REF!</v>
      </c>
      <c r="K170" s="147" t="e">
        <f t="shared" si="117"/>
        <v>#REF!</v>
      </c>
      <c r="L170" s="147" t="e">
        <f t="shared" si="117"/>
        <v>#REF!</v>
      </c>
      <c r="M170" s="147" t="e">
        <f t="shared" si="117"/>
        <v>#REF!</v>
      </c>
      <c r="N170" s="147" t="e">
        <f t="shared" si="117"/>
        <v>#REF!</v>
      </c>
      <c r="O170" s="147" t="e">
        <f t="shared" si="117"/>
        <v>#REF!</v>
      </c>
      <c r="P170" s="147" t="e">
        <f t="shared" si="118"/>
        <v>#REF!</v>
      </c>
      <c r="Q170" s="150"/>
      <c r="R170" s="147"/>
      <c r="S170" s="145"/>
    </row>
    <row r="171" spans="1:34" s="136" customFormat="1" x14ac:dyDescent="0.2">
      <c r="A171" s="155" t="s">
        <v>414</v>
      </c>
      <c r="B171" s="149" t="e">
        <f>-#REF!</f>
        <v>#REF!</v>
      </c>
      <c r="C171" s="138"/>
      <c r="D171" s="147" t="e">
        <f t="shared" si="117"/>
        <v>#REF!</v>
      </c>
      <c r="E171" s="147" t="e">
        <f t="shared" si="117"/>
        <v>#REF!</v>
      </c>
      <c r="F171" s="147" t="e">
        <f t="shared" si="117"/>
        <v>#REF!</v>
      </c>
      <c r="G171" s="147" t="e">
        <f t="shared" si="117"/>
        <v>#REF!</v>
      </c>
      <c r="H171" s="147" t="e">
        <f t="shared" si="117"/>
        <v>#REF!</v>
      </c>
      <c r="I171" s="147" t="e">
        <f t="shared" si="117"/>
        <v>#REF!</v>
      </c>
      <c r="J171" s="147" t="e">
        <f t="shared" si="117"/>
        <v>#REF!</v>
      </c>
      <c r="K171" s="147" t="e">
        <f t="shared" si="117"/>
        <v>#REF!</v>
      </c>
      <c r="L171" s="147" t="e">
        <f t="shared" si="117"/>
        <v>#REF!</v>
      </c>
      <c r="M171" s="147" t="e">
        <f t="shared" si="117"/>
        <v>#REF!</v>
      </c>
      <c r="N171" s="147" t="e">
        <f t="shared" si="117"/>
        <v>#REF!</v>
      </c>
      <c r="O171" s="147" t="e">
        <f t="shared" si="117"/>
        <v>#REF!</v>
      </c>
      <c r="P171" s="147" t="e">
        <f t="shared" si="118"/>
        <v>#REF!</v>
      </c>
      <c r="Q171" s="150"/>
      <c r="R171" s="147"/>
      <c r="S171" s="145"/>
    </row>
    <row r="172" spans="1:34" s="136" customFormat="1" x14ac:dyDescent="0.2">
      <c r="A172" s="155" t="s">
        <v>415</v>
      </c>
      <c r="B172" s="149" t="e">
        <f>-#REF!</f>
        <v>#REF!</v>
      </c>
      <c r="C172" s="138"/>
      <c r="D172" s="147" t="e">
        <f t="shared" si="117"/>
        <v>#REF!</v>
      </c>
      <c r="E172" s="147" t="e">
        <f t="shared" si="117"/>
        <v>#REF!</v>
      </c>
      <c r="F172" s="147" t="e">
        <f t="shared" si="117"/>
        <v>#REF!</v>
      </c>
      <c r="G172" s="147" t="e">
        <f t="shared" si="117"/>
        <v>#REF!</v>
      </c>
      <c r="H172" s="147" t="e">
        <f t="shared" si="117"/>
        <v>#REF!</v>
      </c>
      <c r="I172" s="147" t="e">
        <f t="shared" si="117"/>
        <v>#REF!</v>
      </c>
      <c r="J172" s="147" t="e">
        <f t="shared" si="117"/>
        <v>#REF!</v>
      </c>
      <c r="K172" s="147" t="e">
        <f t="shared" si="117"/>
        <v>#REF!</v>
      </c>
      <c r="L172" s="147" t="e">
        <f t="shared" si="117"/>
        <v>#REF!</v>
      </c>
      <c r="M172" s="147" t="e">
        <f t="shared" si="117"/>
        <v>#REF!</v>
      </c>
      <c r="N172" s="147" t="e">
        <f t="shared" si="117"/>
        <v>#REF!</v>
      </c>
      <c r="O172" s="147" t="e">
        <f t="shared" si="117"/>
        <v>#REF!</v>
      </c>
      <c r="P172" s="147" t="e">
        <f t="shared" si="118"/>
        <v>#REF!</v>
      </c>
      <c r="Q172" s="150"/>
      <c r="R172" s="147"/>
    </row>
    <row r="173" spans="1:34" s="136" customFormat="1" x14ac:dyDescent="0.2">
      <c r="A173" s="155" t="s">
        <v>416</v>
      </c>
      <c r="B173" s="149" t="e">
        <f>-#REF!</f>
        <v>#REF!</v>
      </c>
      <c r="C173" s="138"/>
      <c r="D173" s="147" t="e">
        <f t="shared" si="117"/>
        <v>#REF!</v>
      </c>
      <c r="E173" s="147" t="e">
        <f t="shared" si="117"/>
        <v>#REF!</v>
      </c>
      <c r="F173" s="147" t="e">
        <f t="shared" si="117"/>
        <v>#REF!</v>
      </c>
      <c r="G173" s="147" t="e">
        <f t="shared" si="117"/>
        <v>#REF!</v>
      </c>
      <c r="H173" s="147" t="e">
        <f t="shared" si="117"/>
        <v>#REF!</v>
      </c>
      <c r="I173" s="147" t="e">
        <f t="shared" si="117"/>
        <v>#REF!</v>
      </c>
      <c r="J173" s="147" t="e">
        <f t="shared" si="117"/>
        <v>#REF!</v>
      </c>
      <c r="K173" s="147" t="e">
        <f t="shared" si="117"/>
        <v>#REF!</v>
      </c>
      <c r="L173" s="147" t="e">
        <f t="shared" si="117"/>
        <v>#REF!</v>
      </c>
      <c r="M173" s="147" t="e">
        <f t="shared" si="117"/>
        <v>#REF!</v>
      </c>
      <c r="N173" s="147" t="e">
        <f t="shared" si="117"/>
        <v>#REF!</v>
      </c>
      <c r="O173" s="147" t="e">
        <f t="shared" si="117"/>
        <v>#REF!</v>
      </c>
      <c r="P173" s="147" t="e">
        <f t="shared" si="118"/>
        <v>#REF!</v>
      </c>
      <c r="Q173" s="150"/>
      <c r="R173" s="147"/>
    </row>
    <row r="174" spans="1:34" s="136" customFormat="1" x14ac:dyDescent="0.2">
      <c r="A174" s="155" t="s">
        <v>417</v>
      </c>
      <c r="B174" s="149" t="e">
        <f>-#REF!</f>
        <v>#REF!</v>
      </c>
      <c r="C174" s="138"/>
      <c r="D174" s="147" t="e">
        <f t="shared" si="117"/>
        <v>#REF!</v>
      </c>
      <c r="E174" s="147" t="e">
        <f t="shared" si="117"/>
        <v>#REF!</v>
      </c>
      <c r="F174" s="147" t="e">
        <f t="shared" si="117"/>
        <v>#REF!</v>
      </c>
      <c r="G174" s="147" t="e">
        <f t="shared" si="117"/>
        <v>#REF!</v>
      </c>
      <c r="H174" s="147" t="e">
        <f t="shared" si="117"/>
        <v>#REF!</v>
      </c>
      <c r="I174" s="147" t="e">
        <f t="shared" si="117"/>
        <v>#REF!</v>
      </c>
      <c r="J174" s="147" t="e">
        <f t="shared" si="117"/>
        <v>#REF!</v>
      </c>
      <c r="K174" s="147" t="e">
        <f t="shared" si="117"/>
        <v>#REF!</v>
      </c>
      <c r="L174" s="147" t="e">
        <f t="shared" si="117"/>
        <v>#REF!</v>
      </c>
      <c r="M174" s="147" t="e">
        <f t="shared" si="117"/>
        <v>#REF!</v>
      </c>
      <c r="N174" s="147" t="e">
        <f t="shared" si="117"/>
        <v>#REF!</v>
      </c>
      <c r="O174" s="147" t="e">
        <f t="shared" si="117"/>
        <v>#REF!</v>
      </c>
      <c r="P174" s="147" t="e">
        <f t="shared" si="118"/>
        <v>#REF!</v>
      </c>
      <c r="Q174" s="150"/>
      <c r="R174" s="147"/>
    </row>
    <row r="175" spans="1:34" s="136" customFormat="1" x14ac:dyDescent="0.2">
      <c r="A175" s="155" t="s">
        <v>418</v>
      </c>
      <c r="B175" s="149" t="e">
        <f>-#REF!</f>
        <v>#REF!</v>
      </c>
      <c r="C175" s="138"/>
      <c r="D175" s="147" t="e">
        <f t="shared" si="117"/>
        <v>#REF!</v>
      </c>
      <c r="E175" s="147" t="e">
        <f t="shared" si="117"/>
        <v>#REF!</v>
      </c>
      <c r="F175" s="147" t="e">
        <f t="shared" si="117"/>
        <v>#REF!</v>
      </c>
      <c r="G175" s="147" t="e">
        <f t="shared" si="117"/>
        <v>#REF!</v>
      </c>
      <c r="H175" s="147" t="e">
        <f t="shared" si="117"/>
        <v>#REF!</v>
      </c>
      <c r="I175" s="147" t="e">
        <f t="shared" si="117"/>
        <v>#REF!</v>
      </c>
      <c r="J175" s="147" t="e">
        <f t="shared" si="117"/>
        <v>#REF!</v>
      </c>
      <c r="K175" s="147" t="e">
        <f t="shared" si="117"/>
        <v>#REF!</v>
      </c>
      <c r="L175" s="147" t="e">
        <f t="shared" si="117"/>
        <v>#REF!</v>
      </c>
      <c r="M175" s="147" t="e">
        <f t="shared" si="117"/>
        <v>#REF!</v>
      </c>
      <c r="N175" s="147" t="e">
        <f t="shared" si="117"/>
        <v>#REF!</v>
      </c>
      <c r="O175" s="147" t="e">
        <f t="shared" si="117"/>
        <v>#REF!</v>
      </c>
      <c r="P175" s="147" t="e">
        <f t="shared" si="118"/>
        <v>#REF!</v>
      </c>
      <c r="Q175" s="150"/>
      <c r="R175" s="147"/>
    </row>
    <row r="176" spans="1:34" s="136" customFormat="1" x14ac:dyDescent="0.2">
      <c r="A176" s="155" t="s">
        <v>419</v>
      </c>
      <c r="B176" s="149" t="e">
        <f>-#REF!</f>
        <v>#REF!</v>
      </c>
      <c r="C176" s="138"/>
      <c r="D176" s="147" t="e">
        <f t="shared" si="117"/>
        <v>#REF!</v>
      </c>
      <c r="E176" s="147" t="e">
        <f t="shared" si="117"/>
        <v>#REF!</v>
      </c>
      <c r="F176" s="147" t="e">
        <f t="shared" si="117"/>
        <v>#REF!</v>
      </c>
      <c r="G176" s="147" t="e">
        <f t="shared" si="117"/>
        <v>#REF!</v>
      </c>
      <c r="H176" s="147" t="e">
        <f t="shared" si="117"/>
        <v>#REF!</v>
      </c>
      <c r="I176" s="147" t="e">
        <f t="shared" si="117"/>
        <v>#REF!</v>
      </c>
      <c r="J176" s="147" t="e">
        <f t="shared" si="117"/>
        <v>#REF!</v>
      </c>
      <c r="K176" s="147" t="e">
        <f t="shared" si="117"/>
        <v>#REF!</v>
      </c>
      <c r="L176" s="147" t="e">
        <f t="shared" si="117"/>
        <v>#REF!</v>
      </c>
      <c r="M176" s="147" t="e">
        <f t="shared" si="117"/>
        <v>#REF!</v>
      </c>
      <c r="N176" s="147" t="e">
        <f t="shared" si="117"/>
        <v>#REF!</v>
      </c>
      <c r="O176" s="147" t="e">
        <f t="shared" si="117"/>
        <v>#REF!</v>
      </c>
      <c r="P176" s="147" t="e">
        <f t="shared" si="118"/>
        <v>#REF!</v>
      </c>
      <c r="Q176" s="150"/>
      <c r="R176" s="147"/>
    </row>
    <row r="177" spans="1:38" s="136" customFormat="1" x14ac:dyDescent="0.2">
      <c r="A177" s="155" t="s">
        <v>420</v>
      </c>
      <c r="B177" s="149" t="e">
        <f>-#REF!</f>
        <v>#REF!</v>
      </c>
      <c r="C177" s="138"/>
      <c r="D177" s="147" t="e">
        <f t="shared" si="117"/>
        <v>#REF!</v>
      </c>
      <c r="E177" s="147" t="e">
        <f t="shared" si="117"/>
        <v>#REF!</v>
      </c>
      <c r="F177" s="147" t="e">
        <f t="shared" si="117"/>
        <v>#REF!</v>
      </c>
      <c r="G177" s="147" t="e">
        <f t="shared" si="117"/>
        <v>#REF!</v>
      </c>
      <c r="H177" s="147" t="e">
        <f t="shared" si="117"/>
        <v>#REF!</v>
      </c>
      <c r="I177" s="147" t="e">
        <f t="shared" si="117"/>
        <v>#REF!</v>
      </c>
      <c r="J177" s="147" t="e">
        <f t="shared" si="117"/>
        <v>#REF!</v>
      </c>
      <c r="K177" s="147" t="e">
        <f t="shared" si="117"/>
        <v>#REF!</v>
      </c>
      <c r="L177" s="147" t="e">
        <f t="shared" si="117"/>
        <v>#REF!</v>
      </c>
      <c r="M177" s="147" t="e">
        <f t="shared" si="117"/>
        <v>#REF!</v>
      </c>
      <c r="N177" s="147" t="e">
        <f t="shared" si="117"/>
        <v>#REF!</v>
      </c>
      <c r="O177" s="147" t="e">
        <f t="shared" si="117"/>
        <v>#REF!</v>
      </c>
      <c r="P177" s="147" t="e">
        <f t="shared" si="118"/>
        <v>#REF!</v>
      </c>
      <c r="Q177" s="150"/>
      <c r="R177" s="147"/>
    </row>
    <row r="178" spans="1:38" s="136" customFormat="1" x14ac:dyDescent="0.2">
      <c r="A178" s="155" t="s">
        <v>421</v>
      </c>
      <c r="B178" s="149" t="e">
        <f>-#REF!</f>
        <v>#REF!</v>
      </c>
      <c r="C178" s="138"/>
      <c r="D178" s="147" t="e">
        <f t="shared" si="117"/>
        <v>#REF!</v>
      </c>
      <c r="E178" s="147" t="e">
        <f t="shared" si="117"/>
        <v>#REF!</v>
      </c>
      <c r="F178" s="147" t="e">
        <f t="shared" si="117"/>
        <v>#REF!</v>
      </c>
      <c r="G178" s="147" t="e">
        <f t="shared" si="117"/>
        <v>#REF!</v>
      </c>
      <c r="H178" s="147" t="e">
        <f t="shared" si="117"/>
        <v>#REF!</v>
      </c>
      <c r="I178" s="147" t="e">
        <f t="shared" si="117"/>
        <v>#REF!</v>
      </c>
      <c r="J178" s="147" t="e">
        <f t="shared" si="117"/>
        <v>#REF!</v>
      </c>
      <c r="K178" s="147" t="e">
        <f t="shared" si="117"/>
        <v>#REF!</v>
      </c>
      <c r="L178" s="147" t="e">
        <f t="shared" si="117"/>
        <v>#REF!</v>
      </c>
      <c r="M178" s="147" t="e">
        <f t="shared" si="117"/>
        <v>#REF!</v>
      </c>
      <c r="N178" s="147" t="e">
        <f t="shared" si="117"/>
        <v>#REF!</v>
      </c>
      <c r="O178" s="147" t="e">
        <f t="shared" si="117"/>
        <v>#REF!</v>
      </c>
      <c r="P178" s="147" t="e">
        <f t="shared" si="118"/>
        <v>#REF!</v>
      </c>
      <c r="Q178" s="150"/>
      <c r="R178" s="147"/>
    </row>
    <row r="179" spans="1:38" s="136" customFormat="1" x14ac:dyDescent="0.2">
      <c r="A179" s="155" t="s">
        <v>422</v>
      </c>
      <c r="B179" s="149" t="e">
        <f>-#REF!</f>
        <v>#REF!</v>
      </c>
      <c r="C179" s="138"/>
      <c r="D179" s="147" t="e">
        <f t="shared" si="117"/>
        <v>#REF!</v>
      </c>
      <c r="E179" s="147" t="e">
        <f t="shared" si="117"/>
        <v>#REF!</v>
      </c>
      <c r="F179" s="147" t="e">
        <f t="shared" si="117"/>
        <v>#REF!</v>
      </c>
      <c r="G179" s="147" t="e">
        <f t="shared" si="117"/>
        <v>#REF!</v>
      </c>
      <c r="H179" s="147" t="e">
        <f t="shared" si="117"/>
        <v>#REF!</v>
      </c>
      <c r="I179" s="147" t="e">
        <f t="shared" si="117"/>
        <v>#REF!</v>
      </c>
      <c r="J179" s="147" t="e">
        <f t="shared" si="117"/>
        <v>#REF!</v>
      </c>
      <c r="K179" s="147" t="e">
        <f t="shared" si="117"/>
        <v>#REF!</v>
      </c>
      <c r="L179" s="147" t="e">
        <f t="shared" si="117"/>
        <v>#REF!</v>
      </c>
      <c r="M179" s="147" t="e">
        <f t="shared" si="117"/>
        <v>#REF!</v>
      </c>
      <c r="N179" s="147" t="e">
        <f t="shared" si="117"/>
        <v>#REF!</v>
      </c>
      <c r="O179" s="147" t="e">
        <f t="shared" si="117"/>
        <v>#REF!</v>
      </c>
      <c r="P179" s="147" t="e">
        <f t="shared" si="118"/>
        <v>#REF!</v>
      </c>
      <c r="Q179" s="150"/>
      <c r="R179" s="147"/>
    </row>
    <row r="180" spans="1:38" s="136" customFormat="1" x14ac:dyDescent="0.2">
      <c r="A180" s="155" t="s">
        <v>423</v>
      </c>
      <c r="B180" s="149" t="e">
        <f>-#REF!</f>
        <v>#REF!</v>
      </c>
      <c r="C180" s="138"/>
      <c r="D180" s="147" t="e">
        <f t="shared" si="117"/>
        <v>#REF!</v>
      </c>
      <c r="E180" s="147" t="e">
        <f t="shared" si="117"/>
        <v>#REF!</v>
      </c>
      <c r="F180" s="147" t="e">
        <f t="shared" si="117"/>
        <v>#REF!</v>
      </c>
      <c r="G180" s="147" t="e">
        <f t="shared" si="117"/>
        <v>#REF!</v>
      </c>
      <c r="H180" s="147" t="e">
        <f t="shared" si="117"/>
        <v>#REF!</v>
      </c>
      <c r="I180" s="147" t="e">
        <f t="shared" si="117"/>
        <v>#REF!</v>
      </c>
      <c r="J180" s="147" t="e">
        <f t="shared" si="117"/>
        <v>#REF!</v>
      </c>
      <c r="K180" s="147" t="e">
        <f t="shared" si="117"/>
        <v>#REF!</v>
      </c>
      <c r="L180" s="147" t="e">
        <f t="shared" si="117"/>
        <v>#REF!</v>
      </c>
      <c r="M180" s="147" t="e">
        <f t="shared" si="117"/>
        <v>#REF!</v>
      </c>
      <c r="N180" s="147" t="e">
        <f t="shared" si="117"/>
        <v>#REF!</v>
      </c>
      <c r="O180" s="147" t="e">
        <f t="shared" si="117"/>
        <v>#REF!</v>
      </c>
      <c r="P180" s="147" t="e">
        <f t="shared" si="118"/>
        <v>#REF!</v>
      </c>
      <c r="Q180" s="150"/>
      <c r="R180" s="147"/>
    </row>
    <row r="181" spans="1:38" s="136" customFormat="1" x14ac:dyDescent="0.2">
      <c r="A181" s="155" t="s">
        <v>424</v>
      </c>
      <c r="B181" s="149" t="e">
        <f>-#REF!</f>
        <v>#REF!</v>
      </c>
      <c r="C181" s="138"/>
      <c r="D181" s="147" t="e">
        <f t="shared" si="117"/>
        <v>#REF!</v>
      </c>
      <c r="E181" s="147" t="e">
        <f t="shared" si="117"/>
        <v>#REF!</v>
      </c>
      <c r="F181" s="147" t="e">
        <f t="shared" si="117"/>
        <v>#REF!</v>
      </c>
      <c r="G181" s="147" t="e">
        <f t="shared" si="117"/>
        <v>#REF!</v>
      </c>
      <c r="H181" s="147" t="e">
        <f t="shared" si="117"/>
        <v>#REF!</v>
      </c>
      <c r="I181" s="147" t="e">
        <f t="shared" si="117"/>
        <v>#REF!</v>
      </c>
      <c r="J181" s="147" t="e">
        <f t="shared" si="117"/>
        <v>#REF!</v>
      </c>
      <c r="K181" s="147" t="e">
        <f t="shared" si="117"/>
        <v>#REF!</v>
      </c>
      <c r="L181" s="147" t="e">
        <f t="shared" si="117"/>
        <v>#REF!</v>
      </c>
      <c r="M181" s="147" t="e">
        <f t="shared" si="117"/>
        <v>#REF!</v>
      </c>
      <c r="N181" s="147" t="e">
        <f t="shared" si="117"/>
        <v>#REF!</v>
      </c>
      <c r="O181" s="147" t="e">
        <f t="shared" si="117"/>
        <v>#REF!</v>
      </c>
      <c r="P181" s="147" t="e">
        <f t="shared" si="118"/>
        <v>#REF!</v>
      </c>
      <c r="Q181" s="150"/>
      <c r="R181" s="147"/>
    </row>
    <row r="182" spans="1:38" s="136" customFormat="1" x14ac:dyDescent="0.2">
      <c r="A182" s="155" t="s">
        <v>581</v>
      </c>
      <c r="B182" s="149" t="e">
        <f>-#REF!</f>
        <v>#REF!</v>
      </c>
      <c r="C182" s="138"/>
      <c r="D182" s="147" t="e">
        <f t="shared" si="117"/>
        <v>#REF!</v>
      </c>
      <c r="E182" s="147" t="e">
        <f t="shared" si="117"/>
        <v>#REF!</v>
      </c>
      <c r="F182" s="147" t="e">
        <f t="shared" si="117"/>
        <v>#REF!</v>
      </c>
      <c r="G182" s="147" t="e">
        <f t="shared" si="117"/>
        <v>#REF!</v>
      </c>
      <c r="H182" s="147" t="e">
        <f t="shared" si="117"/>
        <v>#REF!</v>
      </c>
      <c r="I182" s="147" t="e">
        <f t="shared" si="117"/>
        <v>#REF!</v>
      </c>
      <c r="J182" s="147" t="e">
        <f t="shared" si="117"/>
        <v>#REF!</v>
      </c>
      <c r="K182" s="147" t="e">
        <f t="shared" si="117"/>
        <v>#REF!</v>
      </c>
      <c r="L182" s="147" t="e">
        <f t="shared" si="117"/>
        <v>#REF!</v>
      </c>
      <c r="M182" s="147" t="e">
        <f t="shared" si="117"/>
        <v>#REF!</v>
      </c>
      <c r="N182" s="147" t="e">
        <f t="shared" si="117"/>
        <v>#REF!</v>
      </c>
      <c r="O182" s="147" t="e">
        <f t="shared" si="117"/>
        <v>#REF!</v>
      </c>
      <c r="P182" s="147" t="e">
        <f t="shared" si="118"/>
        <v>#REF!</v>
      </c>
      <c r="Q182" s="150"/>
      <c r="R182" s="147"/>
    </row>
    <row r="183" spans="1:38" s="136" customFormat="1" x14ac:dyDescent="0.2">
      <c r="A183" s="155" t="s">
        <v>425</v>
      </c>
      <c r="B183" s="149" t="e">
        <f>-#REF!</f>
        <v>#REF!</v>
      </c>
      <c r="C183" s="138"/>
      <c r="D183" s="147" t="e">
        <f t="shared" si="117"/>
        <v>#REF!</v>
      </c>
      <c r="E183" s="147" t="e">
        <f t="shared" si="117"/>
        <v>#REF!</v>
      </c>
      <c r="F183" s="147" t="e">
        <f t="shared" si="117"/>
        <v>#REF!</v>
      </c>
      <c r="G183" s="147" t="e">
        <f t="shared" si="117"/>
        <v>#REF!</v>
      </c>
      <c r="H183" s="147" t="e">
        <f t="shared" si="117"/>
        <v>#REF!</v>
      </c>
      <c r="I183" s="147" t="e">
        <f t="shared" si="117"/>
        <v>#REF!</v>
      </c>
      <c r="J183" s="147" t="e">
        <f t="shared" si="117"/>
        <v>#REF!</v>
      </c>
      <c r="K183" s="147" t="e">
        <f t="shared" si="117"/>
        <v>#REF!</v>
      </c>
      <c r="L183" s="147" t="e">
        <f t="shared" si="117"/>
        <v>#REF!</v>
      </c>
      <c r="M183" s="147" t="e">
        <f t="shared" si="117"/>
        <v>#REF!</v>
      </c>
      <c r="N183" s="147" t="e">
        <f t="shared" si="117"/>
        <v>#REF!</v>
      </c>
      <c r="O183" s="147" t="e">
        <f t="shared" si="117"/>
        <v>#REF!</v>
      </c>
      <c r="P183" s="147" t="e">
        <f t="shared" si="118"/>
        <v>#REF!</v>
      </c>
      <c r="Q183" s="150"/>
      <c r="R183" s="147"/>
    </row>
    <row r="184" spans="1:38" s="136" customFormat="1" x14ac:dyDescent="0.2">
      <c r="A184" s="155" t="s">
        <v>162</v>
      </c>
      <c r="B184" s="149" t="e">
        <f>-#REF!</f>
        <v>#REF!</v>
      </c>
      <c r="C184" s="138"/>
      <c r="D184" s="147" t="e">
        <f t="shared" ref="D184:O193" si="119">($B184/$P$8)*D$8</f>
        <v>#REF!</v>
      </c>
      <c r="E184" s="147" t="e">
        <f t="shared" si="119"/>
        <v>#REF!</v>
      </c>
      <c r="F184" s="147" t="e">
        <f t="shared" si="119"/>
        <v>#REF!</v>
      </c>
      <c r="G184" s="147" t="e">
        <f t="shared" si="119"/>
        <v>#REF!</v>
      </c>
      <c r="H184" s="147" t="e">
        <f t="shared" si="119"/>
        <v>#REF!</v>
      </c>
      <c r="I184" s="147" t="e">
        <f t="shared" si="119"/>
        <v>#REF!</v>
      </c>
      <c r="J184" s="147" t="e">
        <f t="shared" si="119"/>
        <v>#REF!</v>
      </c>
      <c r="K184" s="147" t="e">
        <f t="shared" si="119"/>
        <v>#REF!</v>
      </c>
      <c r="L184" s="147" t="e">
        <f t="shared" si="119"/>
        <v>#REF!</v>
      </c>
      <c r="M184" s="147" t="e">
        <f t="shared" si="119"/>
        <v>#REF!</v>
      </c>
      <c r="N184" s="147" t="e">
        <f t="shared" si="119"/>
        <v>#REF!</v>
      </c>
      <c r="O184" s="147" t="e">
        <f t="shared" si="119"/>
        <v>#REF!</v>
      </c>
      <c r="P184" s="147" t="e">
        <f t="shared" si="118"/>
        <v>#REF!</v>
      </c>
      <c r="Q184" s="150"/>
      <c r="R184" s="147"/>
    </row>
    <row r="185" spans="1:38" s="136" customFormat="1" x14ac:dyDescent="0.2">
      <c r="A185" s="155" t="s">
        <v>426</v>
      </c>
      <c r="B185" s="149" t="e">
        <f>-#REF!</f>
        <v>#REF!</v>
      </c>
      <c r="C185" s="138"/>
      <c r="D185" s="147" t="e">
        <f t="shared" si="119"/>
        <v>#REF!</v>
      </c>
      <c r="E185" s="147" t="e">
        <f t="shared" si="119"/>
        <v>#REF!</v>
      </c>
      <c r="F185" s="147" t="e">
        <f t="shared" si="119"/>
        <v>#REF!</v>
      </c>
      <c r="G185" s="147" t="e">
        <f t="shared" si="119"/>
        <v>#REF!</v>
      </c>
      <c r="H185" s="147" t="e">
        <f t="shared" si="119"/>
        <v>#REF!</v>
      </c>
      <c r="I185" s="147" t="e">
        <f t="shared" si="119"/>
        <v>#REF!</v>
      </c>
      <c r="J185" s="147" t="e">
        <f t="shared" si="119"/>
        <v>#REF!</v>
      </c>
      <c r="K185" s="147" t="e">
        <f t="shared" si="119"/>
        <v>#REF!</v>
      </c>
      <c r="L185" s="147" t="e">
        <f t="shared" si="119"/>
        <v>#REF!</v>
      </c>
      <c r="M185" s="147" t="e">
        <f t="shared" si="119"/>
        <v>#REF!</v>
      </c>
      <c r="N185" s="147" t="e">
        <f t="shared" si="119"/>
        <v>#REF!</v>
      </c>
      <c r="O185" s="147" t="e">
        <f t="shared" si="119"/>
        <v>#REF!</v>
      </c>
      <c r="P185" s="147" t="e">
        <f t="shared" si="118"/>
        <v>#REF!</v>
      </c>
      <c r="Q185" s="150"/>
      <c r="R185" s="147"/>
    </row>
    <row r="186" spans="1:38" s="136" customFormat="1" x14ac:dyDescent="0.2">
      <c r="A186" s="155" t="s">
        <v>427</v>
      </c>
      <c r="B186" s="149" t="e">
        <f>-#REF!</f>
        <v>#REF!</v>
      </c>
      <c r="C186" s="138"/>
      <c r="D186" s="147" t="e">
        <f t="shared" si="119"/>
        <v>#REF!</v>
      </c>
      <c r="E186" s="147" t="e">
        <f t="shared" si="119"/>
        <v>#REF!</v>
      </c>
      <c r="F186" s="147" t="e">
        <f t="shared" si="119"/>
        <v>#REF!</v>
      </c>
      <c r="G186" s="147" t="e">
        <f t="shared" si="119"/>
        <v>#REF!</v>
      </c>
      <c r="H186" s="147" t="e">
        <f t="shared" si="119"/>
        <v>#REF!</v>
      </c>
      <c r="I186" s="147" t="e">
        <f t="shared" si="119"/>
        <v>#REF!</v>
      </c>
      <c r="J186" s="147" t="e">
        <f t="shared" si="119"/>
        <v>#REF!</v>
      </c>
      <c r="K186" s="147" t="e">
        <f t="shared" si="119"/>
        <v>#REF!</v>
      </c>
      <c r="L186" s="147" t="e">
        <f t="shared" si="119"/>
        <v>#REF!</v>
      </c>
      <c r="M186" s="147" t="e">
        <f t="shared" si="119"/>
        <v>#REF!</v>
      </c>
      <c r="N186" s="147" t="e">
        <f t="shared" si="119"/>
        <v>#REF!</v>
      </c>
      <c r="O186" s="147" t="e">
        <f t="shared" si="119"/>
        <v>#REF!</v>
      </c>
      <c r="P186" s="147" t="e">
        <f t="shared" si="118"/>
        <v>#REF!</v>
      </c>
      <c r="Q186" s="150"/>
      <c r="R186" s="147"/>
    </row>
    <row r="187" spans="1:38" s="136" customFormat="1" x14ac:dyDescent="0.2">
      <c r="A187" s="155" t="s">
        <v>428</v>
      </c>
      <c r="B187" s="149" t="e">
        <f>-#REF!</f>
        <v>#REF!</v>
      </c>
      <c r="C187" s="138"/>
      <c r="D187" s="147" t="e">
        <f t="shared" si="119"/>
        <v>#REF!</v>
      </c>
      <c r="E187" s="147" t="e">
        <f t="shared" si="119"/>
        <v>#REF!</v>
      </c>
      <c r="F187" s="147" t="e">
        <f t="shared" si="119"/>
        <v>#REF!</v>
      </c>
      <c r="G187" s="147" t="e">
        <f t="shared" si="119"/>
        <v>#REF!</v>
      </c>
      <c r="H187" s="147" t="e">
        <f t="shared" si="119"/>
        <v>#REF!</v>
      </c>
      <c r="I187" s="147" t="e">
        <f t="shared" si="119"/>
        <v>#REF!</v>
      </c>
      <c r="J187" s="147" t="e">
        <f t="shared" si="119"/>
        <v>#REF!</v>
      </c>
      <c r="K187" s="147" t="e">
        <f t="shared" si="119"/>
        <v>#REF!</v>
      </c>
      <c r="L187" s="147" t="e">
        <f t="shared" si="119"/>
        <v>#REF!</v>
      </c>
      <c r="M187" s="147" t="e">
        <f t="shared" si="119"/>
        <v>#REF!</v>
      </c>
      <c r="N187" s="147" t="e">
        <f t="shared" si="119"/>
        <v>#REF!</v>
      </c>
      <c r="O187" s="147" t="e">
        <f t="shared" si="119"/>
        <v>#REF!</v>
      </c>
      <c r="P187" s="147" t="e">
        <f t="shared" si="118"/>
        <v>#REF!</v>
      </c>
      <c r="Q187" s="150"/>
      <c r="R187" s="147"/>
    </row>
    <row r="188" spans="1:38" s="136" customFormat="1" x14ac:dyDescent="0.2">
      <c r="A188" s="155" t="s">
        <v>429</v>
      </c>
      <c r="B188" s="149" t="e">
        <f>-#REF!</f>
        <v>#REF!</v>
      </c>
      <c r="C188" s="138"/>
      <c r="D188" s="147" t="e">
        <f t="shared" si="119"/>
        <v>#REF!</v>
      </c>
      <c r="E188" s="147" t="e">
        <f t="shared" si="119"/>
        <v>#REF!</v>
      </c>
      <c r="F188" s="147" t="e">
        <f t="shared" si="119"/>
        <v>#REF!</v>
      </c>
      <c r="G188" s="147" t="e">
        <f t="shared" si="119"/>
        <v>#REF!</v>
      </c>
      <c r="H188" s="147" t="e">
        <f t="shared" si="119"/>
        <v>#REF!</v>
      </c>
      <c r="I188" s="147" t="e">
        <f t="shared" si="119"/>
        <v>#REF!</v>
      </c>
      <c r="J188" s="147" t="e">
        <f t="shared" si="119"/>
        <v>#REF!</v>
      </c>
      <c r="K188" s="147" t="e">
        <f t="shared" si="119"/>
        <v>#REF!</v>
      </c>
      <c r="L188" s="147" t="e">
        <f t="shared" si="119"/>
        <v>#REF!</v>
      </c>
      <c r="M188" s="147" t="e">
        <f t="shared" si="119"/>
        <v>#REF!</v>
      </c>
      <c r="N188" s="147" t="e">
        <f t="shared" si="119"/>
        <v>#REF!</v>
      </c>
      <c r="O188" s="147" t="e">
        <f t="shared" si="119"/>
        <v>#REF!</v>
      </c>
      <c r="P188" s="147" t="e">
        <f t="shared" si="118"/>
        <v>#REF!</v>
      </c>
      <c r="Q188" s="150"/>
      <c r="R188" s="147"/>
    </row>
    <row r="189" spans="1:38" s="136" customFormat="1" x14ac:dyDescent="0.2">
      <c r="A189" s="155" t="s">
        <v>430</v>
      </c>
      <c r="B189" s="149" t="e">
        <f>-#REF!</f>
        <v>#REF!</v>
      </c>
      <c r="C189" s="138"/>
      <c r="D189" s="147" t="e">
        <f t="shared" si="119"/>
        <v>#REF!</v>
      </c>
      <c r="E189" s="147" t="e">
        <f t="shared" si="119"/>
        <v>#REF!</v>
      </c>
      <c r="F189" s="147" t="e">
        <f t="shared" si="119"/>
        <v>#REF!</v>
      </c>
      <c r="G189" s="147" t="e">
        <f t="shared" si="119"/>
        <v>#REF!</v>
      </c>
      <c r="H189" s="147" t="e">
        <f t="shared" si="119"/>
        <v>#REF!</v>
      </c>
      <c r="I189" s="147" t="e">
        <f t="shared" si="119"/>
        <v>#REF!</v>
      </c>
      <c r="J189" s="147" t="e">
        <f t="shared" si="119"/>
        <v>#REF!</v>
      </c>
      <c r="K189" s="147" t="e">
        <f t="shared" si="119"/>
        <v>#REF!</v>
      </c>
      <c r="L189" s="147" t="e">
        <f t="shared" si="119"/>
        <v>#REF!</v>
      </c>
      <c r="M189" s="147" t="e">
        <f t="shared" si="119"/>
        <v>#REF!</v>
      </c>
      <c r="N189" s="147" t="e">
        <f t="shared" si="119"/>
        <v>#REF!</v>
      </c>
      <c r="O189" s="147" t="e">
        <f t="shared" si="119"/>
        <v>#REF!</v>
      </c>
      <c r="P189" s="147" t="e">
        <f t="shared" si="118"/>
        <v>#REF!</v>
      </c>
      <c r="Q189" s="150"/>
      <c r="R189" s="147"/>
    </row>
    <row r="190" spans="1:38" s="136" customFormat="1" x14ac:dyDescent="0.2">
      <c r="A190" s="155" t="s">
        <v>431</v>
      </c>
      <c r="B190" s="149" t="e">
        <f>-#REF!</f>
        <v>#REF!</v>
      </c>
      <c r="C190" s="138"/>
      <c r="D190" s="147" t="e">
        <f t="shared" si="119"/>
        <v>#REF!</v>
      </c>
      <c r="E190" s="147" t="e">
        <f t="shared" si="119"/>
        <v>#REF!</v>
      </c>
      <c r="F190" s="147" t="e">
        <f t="shared" si="119"/>
        <v>#REF!</v>
      </c>
      <c r="G190" s="147" t="e">
        <f t="shared" si="119"/>
        <v>#REF!</v>
      </c>
      <c r="H190" s="147" t="e">
        <f t="shared" si="119"/>
        <v>#REF!</v>
      </c>
      <c r="I190" s="147" t="e">
        <f t="shared" si="119"/>
        <v>#REF!</v>
      </c>
      <c r="J190" s="147" t="e">
        <f t="shared" si="119"/>
        <v>#REF!</v>
      </c>
      <c r="K190" s="147" t="e">
        <f t="shared" si="119"/>
        <v>#REF!</v>
      </c>
      <c r="L190" s="147" t="e">
        <f t="shared" si="119"/>
        <v>#REF!</v>
      </c>
      <c r="M190" s="147" t="e">
        <f t="shared" si="119"/>
        <v>#REF!</v>
      </c>
      <c r="N190" s="147" t="e">
        <f t="shared" si="119"/>
        <v>#REF!</v>
      </c>
      <c r="O190" s="147" t="e">
        <f t="shared" si="119"/>
        <v>#REF!</v>
      </c>
      <c r="P190" s="147" t="e">
        <f t="shared" si="118"/>
        <v>#REF!</v>
      </c>
      <c r="Q190" s="150"/>
      <c r="R190" s="147"/>
    </row>
    <row r="191" spans="1:38" s="136" customFormat="1" x14ac:dyDescent="0.2">
      <c r="A191" s="155" t="s">
        <v>432</v>
      </c>
      <c r="B191" s="149" t="e">
        <f>-#REF!</f>
        <v>#REF!</v>
      </c>
      <c r="C191" s="138"/>
      <c r="D191" s="147" t="e">
        <f t="shared" si="119"/>
        <v>#REF!</v>
      </c>
      <c r="E191" s="147" t="e">
        <f t="shared" si="119"/>
        <v>#REF!</v>
      </c>
      <c r="F191" s="147" t="e">
        <f t="shared" si="119"/>
        <v>#REF!</v>
      </c>
      <c r="G191" s="147" t="e">
        <f t="shared" si="119"/>
        <v>#REF!</v>
      </c>
      <c r="H191" s="147" t="e">
        <f t="shared" si="119"/>
        <v>#REF!</v>
      </c>
      <c r="I191" s="147" t="e">
        <f t="shared" si="119"/>
        <v>#REF!</v>
      </c>
      <c r="J191" s="147" t="e">
        <f t="shared" si="119"/>
        <v>#REF!</v>
      </c>
      <c r="K191" s="147" t="e">
        <f t="shared" si="119"/>
        <v>#REF!</v>
      </c>
      <c r="L191" s="147" t="e">
        <f t="shared" si="119"/>
        <v>#REF!</v>
      </c>
      <c r="M191" s="147" t="e">
        <f t="shared" si="119"/>
        <v>#REF!</v>
      </c>
      <c r="N191" s="147" t="e">
        <f t="shared" si="119"/>
        <v>#REF!</v>
      </c>
      <c r="O191" s="147" t="e">
        <f t="shared" si="119"/>
        <v>#REF!</v>
      </c>
      <c r="P191" s="147" t="e">
        <f t="shared" si="118"/>
        <v>#REF!</v>
      </c>
      <c r="Q191" s="150"/>
      <c r="R191" s="147"/>
    </row>
    <row r="192" spans="1:38" s="168" customFormat="1" x14ac:dyDescent="0.2">
      <c r="A192" s="155" t="s">
        <v>433</v>
      </c>
      <c r="B192" s="149" t="e">
        <f>-#REF!</f>
        <v>#REF!</v>
      </c>
      <c r="C192" s="138"/>
      <c r="D192" s="147" t="e">
        <f t="shared" si="119"/>
        <v>#REF!</v>
      </c>
      <c r="E192" s="147" t="e">
        <f t="shared" si="119"/>
        <v>#REF!</v>
      </c>
      <c r="F192" s="147" t="e">
        <f t="shared" si="119"/>
        <v>#REF!</v>
      </c>
      <c r="G192" s="147" t="e">
        <f t="shared" si="119"/>
        <v>#REF!</v>
      </c>
      <c r="H192" s="147" t="e">
        <f t="shared" si="119"/>
        <v>#REF!</v>
      </c>
      <c r="I192" s="147" t="e">
        <f t="shared" si="119"/>
        <v>#REF!</v>
      </c>
      <c r="J192" s="147" t="e">
        <f t="shared" si="119"/>
        <v>#REF!</v>
      </c>
      <c r="K192" s="147" t="e">
        <f t="shared" si="119"/>
        <v>#REF!</v>
      </c>
      <c r="L192" s="147" t="e">
        <f t="shared" si="119"/>
        <v>#REF!</v>
      </c>
      <c r="M192" s="147" t="e">
        <f t="shared" si="119"/>
        <v>#REF!</v>
      </c>
      <c r="N192" s="147" t="e">
        <f t="shared" si="119"/>
        <v>#REF!</v>
      </c>
      <c r="O192" s="147" t="e">
        <f t="shared" si="119"/>
        <v>#REF!</v>
      </c>
      <c r="P192" s="147" t="e">
        <f t="shared" si="118"/>
        <v>#REF!</v>
      </c>
      <c r="Q192" s="150"/>
      <c r="R192" s="147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</row>
    <row r="193" spans="1:38" s="168" customFormat="1" x14ac:dyDescent="0.2">
      <c r="A193" s="155" t="s">
        <v>434</v>
      </c>
      <c r="B193" s="149" t="e">
        <f>-#REF!</f>
        <v>#REF!</v>
      </c>
      <c r="C193" s="138"/>
      <c r="D193" s="147" t="e">
        <f t="shared" si="119"/>
        <v>#REF!</v>
      </c>
      <c r="E193" s="147" t="e">
        <f t="shared" si="119"/>
        <v>#REF!</v>
      </c>
      <c r="F193" s="147" t="e">
        <f t="shared" si="119"/>
        <v>#REF!</v>
      </c>
      <c r="G193" s="147" t="e">
        <f t="shared" si="119"/>
        <v>#REF!</v>
      </c>
      <c r="H193" s="147" t="e">
        <f t="shared" si="119"/>
        <v>#REF!</v>
      </c>
      <c r="I193" s="147" t="e">
        <f t="shared" si="119"/>
        <v>#REF!</v>
      </c>
      <c r="J193" s="147" t="e">
        <f t="shared" si="119"/>
        <v>#REF!</v>
      </c>
      <c r="K193" s="147" t="e">
        <f t="shared" si="119"/>
        <v>#REF!</v>
      </c>
      <c r="L193" s="147" t="e">
        <f t="shared" si="119"/>
        <v>#REF!</v>
      </c>
      <c r="M193" s="147" t="e">
        <f t="shared" si="119"/>
        <v>#REF!</v>
      </c>
      <c r="N193" s="147" t="e">
        <f t="shared" si="119"/>
        <v>#REF!</v>
      </c>
      <c r="O193" s="147" t="e">
        <f t="shared" si="119"/>
        <v>#REF!</v>
      </c>
      <c r="P193" s="147" t="e">
        <f t="shared" si="118"/>
        <v>#REF!</v>
      </c>
      <c r="Q193" s="150"/>
      <c r="R193" s="147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</row>
    <row r="194" spans="1:38" s="136" customFormat="1" x14ac:dyDescent="0.2">
      <c r="B194" s="151"/>
      <c r="C194" s="138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0"/>
      <c r="R194" s="147"/>
      <c r="AK194" s="168"/>
      <c r="AL194" s="168"/>
    </row>
    <row r="195" spans="1:38" s="136" customFormat="1" x14ac:dyDescent="0.2">
      <c r="A195" s="155" t="s">
        <v>435</v>
      </c>
      <c r="B195" s="175" t="e">
        <f>SUM(B167:B194)</f>
        <v>#REF!</v>
      </c>
      <c r="C195" s="138"/>
      <c r="D195" s="164" t="e">
        <f t="shared" ref="D195:P195" si="120">SUM(D167:D194)</f>
        <v>#REF!</v>
      </c>
      <c r="E195" s="164" t="e">
        <f t="shared" si="120"/>
        <v>#REF!</v>
      </c>
      <c r="F195" s="164" t="e">
        <f t="shared" si="120"/>
        <v>#REF!</v>
      </c>
      <c r="G195" s="164" t="e">
        <f t="shared" si="120"/>
        <v>#REF!</v>
      </c>
      <c r="H195" s="164" t="e">
        <f t="shared" si="120"/>
        <v>#REF!</v>
      </c>
      <c r="I195" s="164" t="e">
        <f t="shared" si="120"/>
        <v>#REF!</v>
      </c>
      <c r="J195" s="164" t="e">
        <f t="shared" si="120"/>
        <v>#REF!</v>
      </c>
      <c r="K195" s="164" t="e">
        <f t="shared" si="120"/>
        <v>#REF!</v>
      </c>
      <c r="L195" s="164" t="e">
        <f t="shared" si="120"/>
        <v>#REF!</v>
      </c>
      <c r="M195" s="164" t="e">
        <f t="shared" si="120"/>
        <v>#REF!</v>
      </c>
      <c r="N195" s="164" t="e">
        <f t="shared" si="120"/>
        <v>#REF!</v>
      </c>
      <c r="O195" s="164" t="e">
        <f t="shared" si="120"/>
        <v>#REF!</v>
      </c>
      <c r="P195" s="164" t="e">
        <f t="shared" si="120"/>
        <v>#REF!</v>
      </c>
      <c r="Q195" s="150"/>
      <c r="R195" s="147"/>
      <c r="AK195" s="168"/>
      <c r="AL195" s="168"/>
    </row>
    <row r="196" spans="1:38" s="136" customFormat="1" x14ac:dyDescent="0.2">
      <c r="B196" s="179"/>
      <c r="C196" s="138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50"/>
      <c r="R196" s="147"/>
    </row>
    <row r="197" spans="1:38" s="168" customFormat="1" ht="13.5" thickBot="1" x14ac:dyDescent="0.25">
      <c r="A197" s="155" t="s">
        <v>436</v>
      </c>
      <c r="B197" s="172" t="e">
        <f>B66+B74+B87+B158+B164+B195</f>
        <v>#REF!</v>
      </c>
      <c r="C197" s="138"/>
      <c r="D197" s="173" t="e">
        <f t="shared" ref="D197:O197" si="121">D66+D74+D87+D158+D164+D195</f>
        <v>#REF!</v>
      </c>
      <c r="E197" s="173" t="e">
        <f t="shared" si="121"/>
        <v>#REF!</v>
      </c>
      <c r="F197" s="173" t="e">
        <f t="shared" si="121"/>
        <v>#REF!</v>
      </c>
      <c r="G197" s="173" t="e">
        <f t="shared" si="121"/>
        <v>#REF!</v>
      </c>
      <c r="H197" s="173" t="e">
        <f>H66+H74+H87+H158+H164+H195</f>
        <v>#REF!</v>
      </c>
      <c r="I197" s="173" t="e">
        <f t="shared" si="121"/>
        <v>#REF!</v>
      </c>
      <c r="J197" s="173" t="e">
        <f t="shared" si="121"/>
        <v>#REF!</v>
      </c>
      <c r="K197" s="173" t="e">
        <f t="shared" si="121"/>
        <v>#REF!</v>
      </c>
      <c r="L197" s="173" t="e">
        <f t="shared" si="121"/>
        <v>#REF!</v>
      </c>
      <c r="M197" s="173" t="e">
        <f t="shared" si="121"/>
        <v>#REF!</v>
      </c>
      <c r="N197" s="173" t="e">
        <f t="shared" si="121"/>
        <v>#REF!</v>
      </c>
      <c r="O197" s="173" t="e">
        <f t="shared" si="121"/>
        <v>#REF!</v>
      </c>
      <c r="P197" s="173" t="e">
        <f>P66+P74+P87+P158+P164+P195</f>
        <v>#REF!</v>
      </c>
      <c r="Q197" s="150"/>
      <c r="R197" s="147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K197" s="136"/>
      <c r="AL197" s="136"/>
    </row>
    <row r="198" spans="1:38" s="136" customFormat="1" ht="13.5" thickTop="1" x14ac:dyDescent="0.2">
      <c r="A198" s="168"/>
      <c r="B198" s="176" t="e">
        <f>B197/B$23</f>
        <v>#REF!</v>
      </c>
      <c r="C198" s="180"/>
      <c r="D198" s="174" t="e">
        <f t="shared" ref="D198:P198" si="122">D197/D$23</f>
        <v>#REF!</v>
      </c>
      <c r="E198" s="174" t="e">
        <f t="shared" si="122"/>
        <v>#REF!</v>
      </c>
      <c r="F198" s="174" t="e">
        <f t="shared" si="122"/>
        <v>#REF!</v>
      </c>
      <c r="G198" s="174" t="e">
        <f t="shared" si="122"/>
        <v>#REF!</v>
      </c>
      <c r="H198" s="174" t="e">
        <f t="shared" si="122"/>
        <v>#REF!</v>
      </c>
      <c r="I198" s="174" t="e">
        <f t="shared" si="122"/>
        <v>#REF!</v>
      </c>
      <c r="J198" s="174" t="e">
        <f t="shared" si="122"/>
        <v>#REF!</v>
      </c>
      <c r="K198" s="174" t="e">
        <f t="shared" si="122"/>
        <v>#REF!</v>
      </c>
      <c r="L198" s="174" t="e">
        <f t="shared" si="122"/>
        <v>#REF!</v>
      </c>
      <c r="M198" s="174" t="e">
        <f t="shared" si="122"/>
        <v>#REF!</v>
      </c>
      <c r="N198" s="174" t="e">
        <f t="shared" si="122"/>
        <v>#REF!</v>
      </c>
      <c r="O198" s="174" t="e">
        <f t="shared" si="122"/>
        <v>#REF!</v>
      </c>
      <c r="P198" s="174" t="e">
        <f t="shared" si="122"/>
        <v>#REF!</v>
      </c>
      <c r="Q198" s="168"/>
      <c r="R198" s="147"/>
      <c r="AJ198" s="168"/>
    </row>
    <row r="199" spans="1:38" s="136" customFormat="1" x14ac:dyDescent="0.2">
      <c r="A199" s="168"/>
      <c r="B199" s="179"/>
      <c r="C199" s="180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50"/>
      <c r="R199" s="147"/>
      <c r="S199" s="145"/>
      <c r="AI199" s="168"/>
      <c r="AK199" s="168"/>
      <c r="AL199" s="168"/>
    </row>
    <row r="200" spans="1:38" s="136" customFormat="1" x14ac:dyDescent="0.2">
      <c r="B200" s="151"/>
      <c r="C200" s="180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0"/>
      <c r="R200" s="147"/>
      <c r="S200" s="145"/>
      <c r="AI200" s="168"/>
      <c r="AK200" s="168"/>
      <c r="AL200" s="168"/>
    </row>
    <row r="201" spans="1:38" s="136" customFormat="1" ht="13.5" thickBot="1" x14ac:dyDescent="0.25">
      <c r="A201" s="136" t="s">
        <v>437</v>
      </c>
      <c r="B201" s="172" t="e">
        <f>B23-B197</f>
        <v>#REF!</v>
      </c>
      <c r="C201" s="180"/>
      <c r="D201" s="173" t="e">
        <f t="shared" ref="D201:P201" si="123">D23-D197</f>
        <v>#REF!</v>
      </c>
      <c r="E201" s="173" t="e">
        <f t="shared" si="123"/>
        <v>#REF!</v>
      </c>
      <c r="F201" s="173" t="e">
        <f t="shared" si="123"/>
        <v>#REF!</v>
      </c>
      <c r="G201" s="173" t="e">
        <f t="shared" si="123"/>
        <v>#REF!</v>
      </c>
      <c r="H201" s="173" t="e">
        <f t="shared" si="123"/>
        <v>#REF!</v>
      </c>
      <c r="I201" s="173" t="e">
        <f t="shared" si="123"/>
        <v>#REF!</v>
      </c>
      <c r="J201" s="173" t="e">
        <f t="shared" si="123"/>
        <v>#REF!</v>
      </c>
      <c r="K201" s="173" t="e">
        <f t="shared" si="123"/>
        <v>#REF!</v>
      </c>
      <c r="L201" s="173" t="e">
        <f t="shared" si="123"/>
        <v>#REF!</v>
      </c>
      <c r="M201" s="173" t="e">
        <f t="shared" si="123"/>
        <v>#REF!</v>
      </c>
      <c r="N201" s="173" t="e">
        <f t="shared" si="123"/>
        <v>#REF!</v>
      </c>
      <c r="O201" s="173" t="e">
        <f t="shared" si="123"/>
        <v>#REF!</v>
      </c>
      <c r="P201" s="173" t="e">
        <f t="shared" si="123"/>
        <v>#REF!</v>
      </c>
      <c r="Q201" s="150"/>
      <c r="R201" s="147"/>
      <c r="S201" s="145"/>
      <c r="AK201" s="168"/>
      <c r="AL201" s="168"/>
    </row>
    <row r="202" spans="1:38" s="136" customFormat="1" ht="13.5" thickTop="1" x14ac:dyDescent="0.2">
      <c r="A202" s="155"/>
      <c r="B202" s="181" t="e">
        <f>B201/B$23</f>
        <v>#REF!</v>
      </c>
      <c r="C202" s="180"/>
      <c r="D202" s="182" t="e">
        <f t="shared" ref="D202:P202" si="124">D201/D$23</f>
        <v>#REF!</v>
      </c>
      <c r="E202" s="182" t="e">
        <f t="shared" si="124"/>
        <v>#REF!</v>
      </c>
      <c r="F202" s="182" t="e">
        <f t="shared" si="124"/>
        <v>#REF!</v>
      </c>
      <c r="G202" s="182" t="e">
        <f t="shared" si="124"/>
        <v>#REF!</v>
      </c>
      <c r="H202" s="182" t="e">
        <f t="shared" si="124"/>
        <v>#REF!</v>
      </c>
      <c r="I202" s="182" t="e">
        <f t="shared" si="124"/>
        <v>#REF!</v>
      </c>
      <c r="J202" s="182" t="e">
        <f t="shared" si="124"/>
        <v>#REF!</v>
      </c>
      <c r="K202" s="182" t="e">
        <f t="shared" si="124"/>
        <v>#REF!</v>
      </c>
      <c r="L202" s="182" t="e">
        <f t="shared" si="124"/>
        <v>#REF!</v>
      </c>
      <c r="M202" s="182" t="e">
        <f t="shared" si="124"/>
        <v>#REF!</v>
      </c>
      <c r="N202" s="182" t="e">
        <f t="shared" si="124"/>
        <v>#REF!</v>
      </c>
      <c r="O202" s="182" t="e">
        <f t="shared" si="124"/>
        <v>#REF!</v>
      </c>
      <c r="P202" s="182" t="e">
        <f t="shared" si="124"/>
        <v>#REF!</v>
      </c>
      <c r="Q202" s="150"/>
      <c r="R202" s="147"/>
      <c r="S202" s="145"/>
      <c r="AJ202" s="168"/>
    </row>
    <row r="203" spans="1:38" s="136" customFormat="1" x14ac:dyDescent="0.2">
      <c r="A203" s="168"/>
      <c r="B203" s="149"/>
      <c r="C203" s="180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50"/>
      <c r="R203" s="147"/>
      <c r="S203" s="145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J203" s="168"/>
    </row>
    <row r="204" spans="1:38" s="136" customFormat="1" x14ac:dyDescent="0.2">
      <c r="A204" s="168" t="s">
        <v>219</v>
      </c>
      <c r="B204" s="149"/>
      <c r="C204" s="180"/>
      <c r="D204" s="147" t="e">
        <f t="shared" ref="D204:O211" si="125">($B204/$P$8)*D$8</f>
        <v>#REF!</v>
      </c>
      <c r="E204" s="147" t="e">
        <f t="shared" si="125"/>
        <v>#REF!</v>
      </c>
      <c r="F204" s="147" t="e">
        <f t="shared" si="125"/>
        <v>#REF!</v>
      </c>
      <c r="G204" s="147" t="e">
        <f t="shared" si="125"/>
        <v>#REF!</v>
      </c>
      <c r="H204" s="147" t="e">
        <f t="shared" si="125"/>
        <v>#REF!</v>
      </c>
      <c r="I204" s="147" t="e">
        <f t="shared" si="125"/>
        <v>#REF!</v>
      </c>
      <c r="J204" s="147" t="e">
        <f t="shared" si="125"/>
        <v>#REF!</v>
      </c>
      <c r="K204" s="147" t="e">
        <f t="shared" si="125"/>
        <v>#REF!</v>
      </c>
      <c r="L204" s="147" t="e">
        <f t="shared" si="125"/>
        <v>#REF!</v>
      </c>
      <c r="M204" s="147" t="e">
        <f t="shared" si="125"/>
        <v>#REF!</v>
      </c>
      <c r="N204" s="147" t="e">
        <f t="shared" si="125"/>
        <v>#REF!</v>
      </c>
      <c r="O204" s="147" t="e">
        <f t="shared" si="125"/>
        <v>#REF!</v>
      </c>
      <c r="P204" s="147" t="e">
        <f t="shared" ref="P204:P211" si="126">SUM(D204:O204)</f>
        <v>#REF!</v>
      </c>
      <c r="Q204" s="150"/>
      <c r="R204" s="147"/>
      <c r="S204" s="145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</row>
    <row r="205" spans="1:38" s="136" customFormat="1" x14ac:dyDescent="0.2">
      <c r="A205" s="168" t="s">
        <v>438</v>
      </c>
      <c r="B205" s="149"/>
      <c r="C205" s="180"/>
      <c r="D205" s="147" t="e">
        <f t="shared" si="125"/>
        <v>#REF!</v>
      </c>
      <c r="E205" s="147" t="e">
        <f t="shared" si="125"/>
        <v>#REF!</v>
      </c>
      <c r="F205" s="147" t="e">
        <f t="shared" si="125"/>
        <v>#REF!</v>
      </c>
      <c r="G205" s="147" t="e">
        <f t="shared" si="125"/>
        <v>#REF!</v>
      </c>
      <c r="H205" s="147" t="e">
        <f t="shared" si="125"/>
        <v>#REF!</v>
      </c>
      <c r="I205" s="147" t="e">
        <f t="shared" si="125"/>
        <v>#REF!</v>
      </c>
      <c r="J205" s="147" t="e">
        <f t="shared" si="125"/>
        <v>#REF!</v>
      </c>
      <c r="K205" s="147" t="e">
        <f t="shared" si="125"/>
        <v>#REF!</v>
      </c>
      <c r="L205" s="147" t="e">
        <f t="shared" si="125"/>
        <v>#REF!</v>
      </c>
      <c r="M205" s="147" t="e">
        <f t="shared" si="125"/>
        <v>#REF!</v>
      </c>
      <c r="N205" s="147" t="e">
        <f t="shared" si="125"/>
        <v>#REF!</v>
      </c>
      <c r="O205" s="147" t="e">
        <f t="shared" si="125"/>
        <v>#REF!</v>
      </c>
      <c r="P205" s="147" t="e">
        <f t="shared" si="126"/>
        <v>#REF!</v>
      </c>
      <c r="Q205" s="150"/>
      <c r="R205" s="147"/>
      <c r="S205" s="145"/>
      <c r="AI205" s="168"/>
    </row>
    <row r="206" spans="1:38" s="136" customFormat="1" x14ac:dyDescent="0.2">
      <c r="A206" s="136" t="s">
        <v>31</v>
      </c>
      <c r="B206" s="149" t="e">
        <f>-#REF!</f>
        <v>#REF!</v>
      </c>
      <c r="C206" s="180"/>
      <c r="D206" s="147" t="e">
        <f t="shared" si="125"/>
        <v>#REF!</v>
      </c>
      <c r="E206" s="147" t="e">
        <f t="shared" si="125"/>
        <v>#REF!</v>
      </c>
      <c r="F206" s="147" t="e">
        <f t="shared" si="125"/>
        <v>#REF!</v>
      </c>
      <c r="G206" s="147" t="e">
        <f t="shared" si="125"/>
        <v>#REF!</v>
      </c>
      <c r="H206" s="147" t="e">
        <f t="shared" si="125"/>
        <v>#REF!</v>
      </c>
      <c r="I206" s="147" t="e">
        <f t="shared" si="125"/>
        <v>#REF!</v>
      </c>
      <c r="J206" s="147" t="e">
        <f t="shared" si="125"/>
        <v>#REF!</v>
      </c>
      <c r="K206" s="147" t="e">
        <f t="shared" si="125"/>
        <v>#REF!</v>
      </c>
      <c r="L206" s="147" t="e">
        <f t="shared" si="125"/>
        <v>#REF!</v>
      </c>
      <c r="M206" s="147" t="e">
        <f t="shared" si="125"/>
        <v>#REF!</v>
      </c>
      <c r="N206" s="147" t="e">
        <f t="shared" si="125"/>
        <v>#REF!</v>
      </c>
      <c r="O206" s="147" t="e">
        <f t="shared" si="125"/>
        <v>#REF!</v>
      </c>
      <c r="P206" s="147" t="e">
        <f t="shared" si="126"/>
        <v>#REF!</v>
      </c>
      <c r="Q206" s="150"/>
      <c r="R206" s="147"/>
      <c r="S206" s="145"/>
      <c r="AI206" s="168"/>
    </row>
    <row r="207" spans="1:38" s="136" customFormat="1" x14ac:dyDescent="0.2">
      <c r="A207" s="136" t="s">
        <v>439</v>
      </c>
      <c r="B207" s="149"/>
      <c r="C207" s="180"/>
      <c r="D207" s="147" t="e">
        <f t="shared" si="125"/>
        <v>#REF!</v>
      </c>
      <c r="E207" s="147" t="e">
        <f t="shared" si="125"/>
        <v>#REF!</v>
      </c>
      <c r="F207" s="147" t="e">
        <f t="shared" si="125"/>
        <v>#REF!</v>
      </c>
      <c r="G207" s="147" t="e">
        <f t="shared" si="125"/>
        <v>#REF!</v>
      </c>
      <c r="H207" s="147" t="e">
        <f t="shared" si="125"/>
        <v>#REF!</v>
      </c>
      <c r="I207" s="147" t="e">
        <f t="shared" si="125"/>
        <v>#REF!</v>
      </c>
      <c r="J207" s="147" t="e">
        <f t="shared" si="125"/>
        <v>#REF!</v>
      </c>
      <c r="K207" s="147" t="e">
        <f t="shared" si="125"/>
        <v>#REF!</v>
      </c>
      <c r="L207" s="147" t="e">
        <f t="shared" si="125"/>
        <v>#REF!</v>
      </c>
      <c r="M207" s="147" t="e">
        <f t="shared" si="125"/>
        <v>#REF!</v>
      </c>
      <c r="N207" s="147" t="e">
        <f t="shared" si="125"/>
        <v>#REF!</v>
      </c>
      <c r="O207" s="147" t="e">
        <f t="shared" si="125"/>
        <v>#REF!</v>
      </c>
      <c r="P207" s="147" t="e">
        <f t="shared" si="126"/>
        <v>#REF!</v>
      </c>
      <c r="Q207" s="150"/>
      <c r="R207" s="147"/>
      <c r="S207" s="145"/>
    </row>
    <row r="208" spans="1:38" s="136" customFormat="1" x14ac:dyDescent="0.2">
      <c r="A208" s="136" t="s">
        <v>440</v>
      </c>
      <c r="B208" s="149"/>
      <c r="C208" s="180"/>
      <c r="D208" s="147" t="e">
        <f t="shared" si="125"/>
        <v>#REF!</v>
      </c>
      <c r="E208" s="147" t="e">
        <f t="shared" si="125"/>
        <v>#REF!</v>
      </c>
      <c r="F208" s="147" t="e">
        <f t="shared" si="125"/>
        <v>#REF!</v>
      </c>
      <c r="G208" s="147" t="e">
        <f t="shared" si="125"/>
        <v>#REF!</v>
      </c>
      <c r="H208" s="147" t="e">
        <f t="shared" si="125"/>
        <v>#REF!</v>
      </c>
      <c r="I208" s="147" t="e">
        <f t="shared" si="125"/>
        <v>#REF!</v>
      </c>
      <c r="J208" s="147" t="e">
        <f t="shared" si="125"/>
        <v>#REF!</v>
      </c>
      <c r="K208" s="147" t="e">
        <f t="shared" si="125"/>
        <v>#REF!</v>
      </c>
      <c r="L208" s="147" t="e">
        <f t="shared" si="125"/>
        <v>#REF!</v>
      </c>
      <c r="M208" s="147" t="e">
        <f t="shared" si="125"/>
        <v>#REF!</v>
      </c>
      <c r="N208" s="147" t="e">
        <f t="shared" si="125"/>
        <v>#REF!</v>
      </c>
      <c r="O208" s="147" t="e">
        <f t="shared" si="125"/>
        <v>#REF!</v>
      </c>
      <c r="P208" s="147" t="e">
        <f t="shared" si="126"/>
        <v>#REF!</v>
      </c>
      <c r="Q208" s="150"/>
      <c r="R208" s="147"/>
      <c r="S208" s="145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</row>
    <row r="209" spans="1:34" s="136" customFormat="1" x14ac:dyDescent="0.2">
      <c r="A209" s="155" t="s">
        <v>441</v>
      </c>
      <c r="B209" s="149"/>
      <c r="C209" s="180"/>
      <c r="D209" s="147" t="e">
        <f t="shared" si="125"/>
        <v>#REF!</v>
      </c>
      <c r="E209" s="147" t="e">
        <f t="shared" si="125"/>
        <v>#REF!</v>
      </c>
      <c r="F209" s="147" t="e">
        <f t="shared" si="125"/>
        <v>#REF!</v>
      </c>
      <c r="G209" s="147" t="e">
        <f t="shared" si="125"/>
        <v>#REF!</v>
      </c>
      <c r="H209" s="147" t="e">
        <f t="shared" si="125"/>
        <v>#REF!</v>
      </c>
      <c r="I209" s="147" t="e">
        <f t="shared" si="125"/>
        <v>#REF!</v>
      </c>
      <c r="J209" s="147" t="e">
        <f t="shared" si="125"/>
        <v>#REF!</v>
      </c>
      <c r="K209" s="147" t="e">
        <f t="shared" si="125"/>
        <v>#REF!</v>
      </c>
      <c r="L209" s="147" t="e">
        <f t="shared" si="125"/>
        <v>#REF!</v>
      </c>
      <c r="M209" s="147" t="e">
        <f t="shared" si="125"/>
        <v>#REF!</v>
      </c>
      <c r="N209" s="147" t="e">
        <f t="shared" si="125"/>
        <v>#REF!</v>
      </c>
      <c r="O209" s="147" t="e">
        <f t="shared" si="125"/>
        <v>#REF!</v>
      </c>
      <c r="P209" s="147" t="e">
        <f t="shared" si="126"/>
        <v>#REF!</v>
      </c>
      <c r="Q209" s="183"/>
      <c r="R209" s="147"/>
      <c r="S209" s="145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</row>
    <row r="210" spans="1:34" s="136" customFormat="1" x14ac:dyDescent="0.2">
      <c r="A210" s="155" t="s">
        <v>442</v>
      </c>
      <c r="B210" s="149"/>
      <c r="C210" s="180"/>
      <c r="D210" s="147" t="e">
        <f t="shared" si="125"/>
        <v>#REF!</v>
      </c>
      <c r="E210" s="147" t="e">
        <f t="shared" si="125"/>
        <v>#REF!</v>
      </c>
      <c r="F210" s="147" t="e">
        <f t="shared" si="125"/>
        <v>#REF!</v>
      </c>
      <c r="G210" s="147" t="e">
        <f t="shared" si="125"/>
        <v>#REF!</v>
      </c>
      <c r="H210" s="147" t="e">
        <f t="shared" si="125"/>
        <v>#REF!</v>
      </c>
      <c r="I210" s="147" t="e">
        <f t="shared" si="125"/>
        <v>#REF!</v>
      </c>
      <c r="J210" s="147" t="e">
        <f t="shared" si="125"/>
        <v>#REF!</v>
      </c>
      <c r="K210" s="147" t="e">
        <f t="shared" si="125"/>
        <v>#REF!</v>
      </c>
      <c r="L210" s="147" t="e">
        <f t="shared" si="125"/>
        <v>#REF!</v>
      </c>
      <c r="M210" s="147" t="e">
        <f t="shared" si="125"/>
        <v>#REF!</v>
      </c>
      <c r="N210" s="147" t="e">
        <f t="shared" si="125"/>
        <v>#REF!</v>
      </c>
      <c r="O210" s="147" t="e">
        <f t="shared" si="125"/>
        <v>#REF!</v>
      </c>
      <c r="P210" s="147" t="e">
        <f t="shared" si="126"/>
        <v>#REF!</v>
      </c>
      <c r="Q210" s="183"/>
      <c r="R210" s="147"/>
      <c r="S210" s="145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</row>
    <row r="211" spans="1:34" s="136" customFormat="1" x14ac:dyDescent="0.2">
      <c r="A211" s="155" t="s">
        <v>443</v>
      </c>
      <c r="B211" s="149"/>
      <c r="C211" s="180"/>
      <c r="D211" s="147" t="e">
        <f t="shared" si="125"/>
        <v>#REF!</v>
      </c>
      <c r="E211" s="147" t="e">
        <f t="shared" si="125"/>
        <v>#REF!</v>
      </c>
      <c r="F211" s="147" t="e">
        <f t="shared" si="125"/>
        <v>#REF!</v>
      </c>
      <c r="G211" s="147" t="e">
        <f t="shared" si="125"/>
        <v>#REF!</v>
      </c>
      <c r="H211" s="147" t="e">
        <f t="shared" si="125"/>
        <v>#REF!</v>
      </c>
      <c r="I211" s="147" t="e">
        <f t="shared" si="125"/>
        <v>#REF!</v>
      </c>
      <c r="J211" s="147" t="e">
        <f t="shared" si="125"/>
        <v>#REF!</v>
      </c>
      <c r="K211" s="147" t="e">
        <f t="shared" si="125"/>
        <v>#REF!</v>
      </c>
      <c r="L211" s="147" t="e">
        <f t="shared" si="125"/>
        <v>#REF!</v>
      </c>
      <c r="M211" s="147" t="e">
        <f t="shared" si="125"/>
        <v>#REF!</v>
      </c>
      <c r="N211" s="147" t="e">
        <f t="shared" si="125"/>
        <v>#REF!</v>
      </c>
      <c r="O211" s="147" t="e">
        <f t="shared" si="125"/>
        <v>#REF!</v>
      </c>
      <c r="P211" s="147" t="e">
        <f t="shared" si="126"/>
        <v>#REF!</v>
      </c>
      <c r="Q211" s="183"/>
      <c r="R211" s="147"/>
      <c r="S211" s="145"/>
    </row>
    <row r="212" spans="1:34" s="136" customFormat="1" x14ac:dyDescent="0.2">
      <c r="B212" s="149"/>
      <c r="C212" s="180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0"/>
      <c r="R212" s="147"/>
      <c r="S212" s="145"/>
    </row>
    <row r="213" spans="1:34" s="136" customFormat="1" ht="13.5" thickBot="1" x14ac:dyDescent="0.25">
      <c r="A213" s="136" t="s">
        <v>444</v>
      </c>
      <c r="B213" s="172" t="e">
        <f>B201-B204-B205-B206-B207-B208-B209-B210-B211</f>
        <v>#REF!</v>
      </c>
      <c r="C213" s="180"/>
      <c r="D213" s="173" t="e">
        <f t="shared" ref="D213:O213" si="127">D201-D204-D205-D206-D207-D208-D209-D210-D211</f>
        <v>#REF!</v>
      </c>
      <c r="E213" s="173" t="e">
        <f t="shared" si="127"/>
        <v>#REF!</v>
      </c>
      <c r="F213" s="173" t="e">
        <f t="shared" si="127"/>
        <v>#REF!</v>
      </c>
      <c r="G213" s="173" t="e">
        <f t="shared" si="127"/>
        <v>#REF!</v>
      </c>
      <c r="H213" s="173" t="e">
        <f t="shared" si="127"/>
        <v>#REF!</v>
      </c>
      <c r="I213" s="173" t="e">
        <f t="shared" si="127"/>
        <v>#REF!</v>
      </c>
      <c r="J213" s="173" t="e">
        <f t="shared" si="127"/>
        <v>#REF!</v>
      </c>
      <c r="K213" s="173" t="e">
        <f t="shared" si="127"/>
        <v>#REF!</v>
      </c>
      <c r="L213" s="173" t="e">
        <f t="shared" si="127"/>
        <v>#REF!</v>
      </c>
      <c r="M213" s="173" t="e">
        <f t="shared" si="127"/>
        <v>#REF!</v>
      </c>
      <c r="N213" s="173" t="e">
        <f t="shared" si="127"/>
        <v>#REF!</v>
      </c>
      <c r="O213" s="173" t="e">
        <f t="shared" si="127"/>
        <v>#REF!</v>
      </c>
      <c r="P213" s="173" t="e">
        <f>P201-P204-P205-P206-P207-P208-P209-P210-P211</f>
        <v>#REF!</v>
      </c>
      <c r="Q213" s="167"/>
      <c r="R213" s="147"/>
      <c r="S213" s="145"/>
    </row>
    <row r="214" spans="1:34" s="136" customFormat="1" ht="13.5" thickTop="1" x14ac:dyDescent="0.2">
      <c r="A214" s="155"/>
      <c r="B214" s="176" t="e">
        <f>B213/B$23</f>
        <v>#REF!</v>
      </c>
      <c r="C214" s="180"/>
      <c r="D214" s="174" t="e">
        <f t="shared" ref="D214:P214" si="128">D213/D$23</f>
        <v>#REF!</v>
      </c>
      <c r="E214" s="174" t="e">
        <f t="shared" si="128"/>
        <v>#REF!</v>
      </c>
      <c r="F214" s="174" t="e">
        <f t="shared" si="128"/>
        <v>#REF!</v>
      </c>
      <c r="G214" s="174" t="e">
        <f t="shared" si="128"/>
        <v>#REF!</v>
      </c>
      <c r="H214" s="174" t="e">
        <f t="shared" si="128"/>
        <v>#REF!</v>
      </c>
      <c r="I214" s="174" t="e">
        <f t="shared" si="128"/>
        <v>#REF!</v>
      </c>
      <c r="J214" s="174" t="e">
        <f t="shared" si="128"/>
        <v>#REF!</v>
      </c>
      <c r="K214" s="174" t="e">
        <f t="shared" si="128"/>
        <v>#REF!</v>
      </c>
      <c r="L214" s="174" t="e">
        <f t="shared" si="128"/>
        <v>#REF!</v>
      </c>
      <c r="M214" s="174" t="e">
        <f t="shared" si="128"/>
        <v>#REF!</v>
      </c>
      <c r="N214" s="174" t="e">
        <f t="shared" si="128"/>
        <v>#REF!</v>
      </c>
      <c r="O214" s="174" t="e">
        <f t="shared" si="128"/>
        <v>#REF!</v>
      </c>
      <c r="P214" s="174" t="e">
        <f t="shared" si="128"/>
        <v>#REF!</v>
      </c>
      <c r="R214" s="147"/>
      <c r="S214" s="145"/>
    </row>
    <row r="215" spans="1:34" s="136" customFormat="1" x14ac:dyDescent="0.2">
      <c r="A215" s="155"/>
      <c r="B215" s="179"/>
      <c r="C215" s="180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50"/>
      <c r="R215" s="147"/>
      <c r="S215" s="145"/>
    </row>
    <row r="216" spans="1:34" s="136" customFormat="1" x14ac:dyDescent="0.2">
      <c r="A216" s="155" t="s">
        <v>445</v>
      </c>
      <c r="B216" s="179"/>
      <c r="C216" s="180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>
        <f>SUM(D216:O216)</f>
        <v>0</v>
      </c>
      <c r="Q216" s="150"/>
      <c r="R216" s="147"/>
      <c r="S216" s="145"/>
    </row>
    <row r="217" spans="1:34" s="136" customFormat="1" x14ac:dyDescent="0.2">
      <c r="A217" s="155" t="s">
        <v>446</v>
      </c>
      <c r="B217" s="179"/>
      <c r="C217" s="180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>
        <f>SUM(D217:O217)</f>
        <v>0</v>
      </c>
      <c r="Q217" s="150"/>
      <c r="R217" s="147"/>
      <c r="S217" s="145"/>
    </row>
    <row r="218" spans="1:34" s="136" customFormat="1" x14ac:dyDescent="0.2">
      <c r="A218" s="155"/>
      <c r="B218" s="179"/>
      <c r="C218" s="180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50"/>
      <c r="R218" s="150"/>
      <c r="S218" s="145"/>
    </row>
    <row r="219" spans="1:34" s="136" customFormat="1" ht="13.5" thickBot="1" x14ac:dyDescent="0.25">
      <c r="A219" s="155" t="s">
        <v>444</v>
      </c>
      <c r="B219" s="184" t="e">
        <f>B213-B216-B217</f>
        <v>#REF!</v>
      </c>
      <c r="C219" s="180"/>
      <c r="D219" s="185" t="e">
        <f t="shared" ref="D219:P219" si="129">D213-D216-D217</f>
        <v>#REF!</v>
      </c>
      <c r="E219" s="185" t="e">
        <f t="shared" si="129"/>
        <v>#REF!</v>
      </c>
      <c r="F219" s="185" t="e">
        <f t="shared" si="129"/>
        <v>#REF!</v>
      </c>
      <c r="G219" s="185" t="e">
        <f t="shared" si="129"/>
        <v>#REF!</v>
      </c>
      <c r="H219" s="185" t="e">
        <f>H213-H216-H217</f>
        <v>#REF!</v>
      </c>
      <c r="I219" s="185" t="e">
        <f t="shared" si="129"/>
        <v>#REF!</v>
      </c>
      <c r="J219" s="185" t="e">
        <f t="shared" si="129"/>
        <v>#REF!</v>
      </c>
      <c r="K219" s="185" t="e">
        <f t="shared" si="129"/>
        <v>#REF!</v>
      </c>
      <c r="L219" s="185" t="e">
        <f t="shared" si="129"/>
        <v>#REF!</v>
      </c>
      <c r="M219" s="185" t="e">
        <f t="shared" si="129"/>
        <v>#REF!</v>
      </c>
      <c r="N219" s="185" t="e">
        <f t="shared" si="129"/>
        <v>#REF!</v>
      </c>
      <c r="O219" s="185" t="e">
        <f t="shared" si="129"/>
        <v>#REF!</v>
      </c>
      <c r="P219" s="186" t="e">
        <f t="shared" si="129"/>
        <v>#REF!</v>
      </c>
      <c r="S219" s="145"/>
    </row>
    <row r="220" spans="1:34" s="136" customFormat="1" ht="13.5" thickTop="1" x14ac:dyDescent="0.2">
      <c r="A220" s="155"/>
      <c r="B220" s="149"/>
      <c r="C220" s="180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91" t="e">
        <f>+P219+#REF!</f>
        <v>#REF!</v>
      </c>
      <c r="S220" s="145"/>
    </row>
    <row r="221" spans="1:34" x14ac:dyDescent="0.2">
      <c r="D221" s="130"/>
      <c r="E221" s="130"/>
      <c r="F221" s="130"/>
      <c r="G221" s="130"/>
      <c r="H221" s="187"/>
      <c r="I221" s="188"/>
      <c r="J221" s="134"/>
      <c r="K221" s="135"/>
      <c r="O221" s="135"/>
    </row>
    <row r="222" spans="1:34" x14ac:dyDescent="0.2">
      <c r="D222" s="130"/>
      <c r="E222" s="130"/>
      <c r="F222" s="130"/>
      <c r="G222" s="130"/>
      <c r="H222" s="187"/>
      <c r="I222" s="188"/>
      <c r="J222" s="134"/>
      <c r="K222" s="135"/>
      <c r="O222" s="135"/>
    </row>
  </sheetData>
  <mergeCells count="4">
    <mergeCell ref="A1:R1"/>
    <mergeCell ref="A2:R2"/>
    <mergeCell ref="A3:R3"/>
    <mergeCell ref="A4:R4"/>
  </mergeCells>
  <pageMargins left="0.2" right="0.2" top="0.25" bottom="0.2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workbookViewId="0">
      <pane ySplit="4" topLeftCell="A122" activePane="bottomLeft" state="frozen"/>
      <selection activeCell="K135" sqref="K135:M135"/>
      <selection pane="bottomLeft" activeCell="K135" sqref="K135:M135"/>
    </sheetView>
  </sheetViews>
  <sheetFormatPr defaultColWidth="9.140625" defaultRowHeight="15" outlineLevelRow="2" x14ac:dyDescent="0.25"/>
  <cols>
    <col min="1" max="1" width="38.7109375" style="348" customWidth="1"/>
    <col min="2" max="6" width="16.7109375" style="347" customWidth="1"/>
    <col min="7" max="7" width="0.28515625" style="348" customWidth="1"/>
    <col min="8" max="8" width="16.7109375" style="347" customWidth="1"/>
    <col min="9" max="9" width="19.85546875" style="348" customWidth="1"/>
    <col min="10" max="10" width="22.42578125" style="348" customWidth="1"/>
    <col min="11" max="11" width="15.7109375" style="348" customWidth="1"/>
    <col min="12" max="12" width="12.85546875" style="348" customWidth="1"/>
    <col min="13" max="13" width="21.5703125" style="348" bestFit="1" customWidth="1"/>
    <col min="14" max="16384" width="9.140625" style="348"/>
  </cols>
  <sheetData>
    <row r="1" spans="1:14" x14ac:dyDescent="0.25">
      <c r="A1" s="346" t="s">
        <v>609</v>
      </c>
    </row>
    <row r="2" spans="1:14" x14ac:dyDescent="0.25">
      <c r="A2" s="346" t="s">
        <v>610</v>
      </c>
      <c r="B2" s="347">
        <v>31</v>
      </c>
      <c r="C2" s="347">
        <v>29</v>
      </c>
      <c r="D2" s="347">
        <v>31</v>
      </c>
      <c r="E2" s="347">
        <v>30</v>
      </c>
      <c r="F2" s="347">
        <v>31</v>
      </c>
      <c r="H2" s="347">
        <f>SUM(B2:F2)</f>
        <v>152</v>
      </c>
      <c r="J2" s="348">
        <v>365</v>
      </c>
    </row>
    <row r="3" spans="1:14" x14ac:dyDescent="0.25">
      <c r="A3" s="346" t="e">
        <f>"For "&amp;TEXT(#REF!,"Mmmm DD, YYYY")</f>
        <v>#REF!</v>
      </c>
      <c r="B3" s="469"/>
      <c r="C3" s="469"/>
      <c r="D3" s="469"/>
      <c r="E3" s="469"/>
      <c r="F3" s="469"/>
      <c r="G3" s="469"/>
      <c r="H3" s="349"/>
    </row>
    <row r="4" spans="1:14" x14ac:dyDescent="0.25">
      <c r="B4" s="350">
        <v>42400</v>
      </c>
      <c r="C4" s="350">
        <v>42429</v>
      </c>
      <c r="D4" s="350">
        <v>42460</v>
      </c>
      <c r="E4" s="350">
        <v>42490</v>
      </c>
      <c r="F4" s="350">
        <v>42521</v>
      </c>
      <c r="H4" s="350" t="s">
        <v>611</v>
      </c>
      <c r="I4" s="348" t="s">
        <v>612</v>
      </c>
      <c r="J4" s="348" t="s">
        <v>23</v>
      </c>
      <c r="K4" s="348" t="s">
        <v>2706</v>
      </c>
      <c r="L4" s="348" t="s">
        <v>2707</v>
      </c>
      <c r="M4" s="348" t="s">
        <v>598</v>
      </c>
    </row>
    <row r="5" spans="1:14" outlineLevel="1" x14ac:dyDescent="0.25">
      <c r="A5" s="351" t="s">
        <v>538</v>
      </c>
    </row>
    <row r="6" spans="1:14" x14ac:dyDescent="0.25">
      <c r="A6" s="351"/>
    </row>
    <row r="7" spans="1:14" outlineLevel="1" x14ac:dyDescent="0.25">
      <c r="A7" s="351" t="str">
        <f>TRIM(MID("2A.Salaries",4,125))</f>
        <v>Salaries</v>
      </c>
    </row>
    <row r="8" spans="1:14" outlineLevel="2" x14ac:dyDescent="0.25">
      <c r="A8" s="348" t="str">
        <f>("50000")&amp;" - "&amp;("Salaries &amp; Wages- Physician")</f>
        <v>50000 - Salaries &amp; Wages- Physician</v>
      </c>
      <c r="B8" s="347">
        <f>0+0</f>
        <v>0</v>
      </c>
      <c r="C8" s="347">
        <f>0+0</f>
        <v>0</v>
      </c>
      <c r="D8" s="347">
        <f>0+0</f>
        <v>0</v>
      </c>
      <c r="E8" s="347">
        <f>0+0</f>
        <v>0</v>
      </c>
      <c r="F8" s="347">
        <f>0+0</f>
        <v>0</v>
      </c>
      <c r="H8" s="347">
        <f t="shared" ref="H8:H32" si="0">SUM(B8:G8)</f>
        <v>0</v>
      </c>
      <c r="I8" s="352">
        <f>H8/$H$2</f>
        <v>0</v>
      </c>
      <c r="J8" s="353">
        <f>I8*$J$2</f>
        <v>0</v>
      </c>
    </row>
    <row r="9" spans="1:14" outlineLevel="2" x14ac:dyDescent="0.25">
      <c r="A9" s="348" t="str">
        <f>("50025")&amp;" - "&amp;("Salaries &amp; Wages- Psychiatrist")</f>
        <v>50025 - Salaries &amp; Wages- Psychiatrist</v>
      </c>
      <c r="B9" s="347">
        <v>0</v>
      </c>
      <c r="C9" s="347">
        <f t="shared" ref="C9:F12" si="1">0+0</f>
        <v>0</v>
      </c>
      <c r="D9" s="347">
        <f t="shared" si="1"/>
        <v>0</v>
      </c>
      <c r="E9" s="347">
        <f t="shared" si="1"/>
        <v>0</v>
      </c>
      <c r="F9" s="347">
        <f t="shared" si="1"/>
        <v>0</v>
      </c>
      <c r="H9" s="347">
        <f t="shared" si="0"/>
        <v>0</v>
      </c>
      <c r="I9" s="352">
        <f t="shared" ref="I9:I72" si="2">H9/$H$2</f>
        <v>0</v>
      </c>
      <c r="J9" s="353">
        <f t="shared" ref="J9:J72" si="3">I9*$J$2</f>
        <v>0</v>
      </c>
    </row>
    <row r="10" spans="1:14" outlineLevel="2" x14ac:dyDescent="0.25">
      <c r="A10" s="348" t="str">
        <f>("50050")&amp;" - "&amp;("Salaries &amp; Wages")</f>
        <v>50050 - Salaries &amp; Wages</v>
      </c>
      <c r="B10" s="347">
        <f>0+0</f>
        <v>0</v>
      </c>
      <c r="C10" s="347">
        <f t="shared" si="1"/>
        <v>0</v>
      </c>
      <c r="D10" s="347">
        <f t="shared" si="1"/>
        <v>0</v>
      </c>
      <c r="E10" s="347">
        <f t="shared" si="1"/>
        <v>0</v>
      </c>
      <c r="F10" s="347">
        <f t="shared" si="1"/>
        <v>0</v>
      </c>
      <c r="H10" s="347">
        <f t="shared" si="0"/>
        <v>0</v>
      </c>
      <c r="I10" s="352">
        <f t="shared" si="2"/>
        <v>0</v>
      </c>
      <c r="J10" s="353">
        <f t="shared" si="3"/>
        <v>0</v>
      </c>
    </row>
    <row r="11" spans="1:14" outlineLevel="2" x14ac:dyDescent="0.25">
      <c r="A11" s="348" t="str">
        <f>("50075")&amp;" - "&amp;("Salaries &amp; Wages- ADON")</f>
        <v>50075 - Salaries &amp; Wages- ADON</v>
      </c>
      <c r="B11" s="347">
        <f>0+0</f>
        <v>0</v>
      </c>
      <c r="C11" s="347">
        <f t="shared" si="1"/>
        <v>0</v>
      </c>
      <c r="D11" s="347">
        <f t="shared" si="1"/>
        <v>0</v>
      </c>
      <c r="E11" s="347">
        <f t="shared" si="1"/>
        <v>0</v>
      </c>
      <c r="F11" s="347">
        <f t="shared" si="1"/>
        <v>0</v>
      </c>
      <c r="H11" s="347">
        <f t="shared" si="0"/>
        <v>0</v>
      </c>
      <c r="I11" s="352">
        <f t="shared" si="2"/>
        <v>0</v>
      </c>
      <c r="J11" s="353">
        <f t="shared" si="3"/>
        <v>0</v>
      </c>
    </row>
    <row r="12" spans="1:14" outlineLevel="2" x14ac:dyDescent="0.25">
      <c r="A12" s="348" t="str">
        <f>("50100")&amp;" - "&amp;("Salaries &amp; Wages")</f>
        <v>50100 - Salaries &amp; Wages</v>
      </c>
      <c r="B12" s="347">
        <f>0+0</f>
        <v>0</v>
      </c>
      <c r="C12" s="347">
        <f t="shared" si="1"/>
        <v>0</v>
      </c>
      <c r="D12" s="347">
        <f t="shared" si="1"/>
        <v>0</v>
      </c>
      <c r="E12" s="347">
        <f t="shared" si="1"/>
        <v>0</v>
      </c>
      <c r="F12" s="347">
        <f t="shared" si="1"/>
        <v>0</v>
      </c>
      <c r="H12" s="347">
        <f t="shared" si="0"/>
        <v>0</v>
      </c>
      <c r="I12" s="352">
        <f t="shared" si="2"/>
        <v>0</v>
      </c>
      <c r="J12" s="353">
        <f t="shared" si="3"/>
        <v>0</v>
      </c>
    </row>
    <row r="13" spans="1:14" outlineLevel="2" x14ac:dyDescent="0.25">
      <c r="A13" s="348" t="str">
        <f>("50125")&amp;" - "&amp;("Salaries &amp; Wages")</f>
        <v>50125 - Salaries &amp; Wages</v>
      </c>
      <c r="B13" s="347">
        <f>6428.57+0</f>
        <v>6428.57</v>
      </c>
      <c r="C13" s="347">
        <f>5178.57+0</f>
        <v>5178.57</v>
      </c>
      <c r="D13" s="347">
        <f>5535.72+0</f>
        <v>5535.72</v>
      </c>
      <c r="E13" s="347">
        <f>5357.14+0</f>
        <v>5357.14</v>
      </c>
      <c r="F13" s="347">
        <f>5535.71+0</f>
        <v>5535.71</v>
      </c>
      <c r="H13" s="347">
        <f t="shared" si="0"/>
        <v>28035.71</v>
      </c>
      <c r="I13" s="352">
        <f t="shared" si="2"/>
        <v>184.44546052631577</v>
      </c>
      <c r="J13" s="387">
        <f t="shared" si="3"/>
        <v>67322.59309210525</v>
      </c>
      <c r="K13" s="386" t="e">
        <f>#REF!+#REF!</f>
        <v>#REF!</v>
      </c>
      <c r="L13" s="385">
        <f>J13+J20</f>
        <v>280351.8174342105</v>
      </c>
      <c r="M13" s="385" t="e">
        <f>K13-L13</f>
        <v>#REF!</v>
      </c>
      <c r="N13" s="348" t="s">
        <v>2708</v>
      </c>
    </row>
    <row r="14" spans="1:14" outlineLevel="2" x14ac:dyDescent="0.25">
      <c r="A14" s="348" t="str">
        <f>("50150")&amp;" - "&amp;("Salaries &amp; Wages")</f>
        <v>50150 - Salaries &amp; Wages</v>
      </c>
      <c r="B14" s="347">
        <f>0+0</f>
        <v>0</v>
      </c>
      <c r="C14" s="347">
        <f>0+0</f>
        <v>0</v>
      </c>
      <c r="D14" s="347">
        <f>0+0</f>
        <v>0</v>
      </c>
      <c r="E14" s="347">
        <f>0+0</f>
        <v>0</v>
      </c>
      <c r="F14" s="347">
        <f>0+0</f>
        <v>0</v>
      </c>
      <c r="H14" s="347">
        <f t="shared" si="0"/>
        <v>0</v>
      </c>
      <c r="I14" s="352">
        <f t="shared" si="2"/>
        <v>0</v>
      </c>
      <c r="J14" s="385">
        <f t="shared" si="3"/>
        <v>0</v>
      </c>
      <c r="K14" s="386"/>
      <c r="L14" s="385"/>
      <c r="M14" s="385">
        <f t="shared" ref="M14:M26" si="4">K14-L14</f>
        <v>0</v>
      </c>
    </row>
    <row r="15" spans="1:14" outlineLevel="2" x14ac:dyDescent="0.25">
      <c r="A15" s="348" t="str">
        <f>("50175")&amp;" - "&amp;("Salaries &amp; Wages")</f>
        <v>50175 - Salaries &amp; Wages</v>
      </c>
      <c r="B15" s="347">
        <f>5517.14+0</f>
        <v>5517.14</v>
      </c>
      <c r="C15" s="347">
        <f>6297.15+0</f>
        <v>6297.15</v>
      </c>
      <c r="D15" s="347">
        <f>6731.42+0</f>
        <v>6731.42</v>
      </c>
      <c r="E15" s="347">
        <f>6595.27+0</f>
        <v>6595.27</v>
      </c>
      <c r="F15" s="347">
        <f>6821.09+0</f>
        <v>6821.09</v>
      </c>
      <c r="H15" s="347">
        <f t="shared" si="0"/>
        <v>31962.07</v>
      </c>
      <c r="I15" s="352">
        <f t="shared" si="2"/>
        <v>210.27677631578948</v>
      </c>
      <c r="J15" s="387">
        <f t="shared" si="3"/>
        <v>76751.023355263154</v>
      </c>
      <c r="K15" s="386" t="e">
        <f>+#REF!</f>
        <v>#REF!</v>
      </c>
      <c r="L15" s="385">
        <f>J15</f>
        <v>76751.023355263154</v>
      </c>
      <c r="M15" s="385" t="e">
        <f t="shared" si="4"/>
        <v>#REF!</v>
      </c>
      <c r="N15" s="348" t="s">
        <v>50</v>
      </c>
    </row>
    <row r="16" spans="1:14" outlineLevel="2" x14ac:dyDescent="0.25">
      <c r="A16" s="348" t="str">
        <f>("50200")&amp;" - "&amp;("Salaries &amp; Wages- PA/NP/ARNP")</f>
        <v>50200 - Salaries &amp; Wages- PA/NP/ARNP</v>
      </c>
      <c r="B16" s="347">
        <f>13974.65+0</f>
        <v>13974.65</v>
      </c>
      <c r="C16" s="347">
        <f>13735.02+0</f>
        <v>13735.02</v>
      </c>
      <c r="D16" s="347">
        <f>13608.57+0</f>
        <v>13608.57</v>
      </c>
      <c r="E16" s="347">
        <f>10039.22+0</f>
        <v>10039.219999999999</v>
      </c>
      <c r="F16" s="347">
        <f>15647.84+0</f>
        <v>15647.84</v>
      </c>
      <c r="H16" s="347">
        <f t="shared" si="0"/>
        <v>67005.3</v>
      </c>
      <c r="I16" s="352">
        <f t="shared" si="2"/>
        <v>440.82434210526316</v>
      </c>
      <c r="J16" s="387">
        <f t="shared" si="3"/>
        <v>160900.88486842104</v>
      </c>
      <c r="K16" s="386" t="e">
        <f>+#REF!</f>
        <v>#REF!</v>
      </c>
      <c r="L16" s="385">
        <f>J16</f>
        <v>160900.88486842104</v>
      </c>
      <c r="M16" s="385" t="e">
        <f t="shared" si="4"/>
        <v>#REF!</v>
      </c>
      <c r="N16" s="348" t="s">
        <v>583</v>
      </c>
    </row>
    <row r="17" spans="1:14" outlineLevel="2" x14ac:dyDescent="0.25">
      <c r="A17" s="348" t="str">
        <f>("50225")&amp;" - "&amp;("Salaries &amp; Wages- RN")</f>
        <v>50225 - Salaries &amp; Wages- RN</v>
      </c>
      <c r="B17" s="347">
        <f>37686.8+0</f>
        <v>37686.800000000003</v>
      </c>
      <c r="C17" s="347">
        <f>29606.17+0</f>
        <v>29606.17</v>
      </c>
      <c r="D17" s="347">
        <f>33092.81+0</f>
        <v>33092.81</v>
      </c>
      <c r="E17" s="347">
        <f>33611.61+0</f>
        <v>33611.61</v>
      </c>
      <c r="F17" s="347">
        <f>38566.64+0</f>
        <v>38566.639999999999</v>
      </c>
      <c r="H17" s="347">
        <f t="shared" si="0"/>
        <v>172564.03000000003</v>
      </c>
      <c r="I17" s="352">
        <f t="shared" si="2"/>
        <v>1135.2896710526318</v>
      </c>
      <c r="J17" s="387">
        <f t="shared" si="3"/>
        <v>414380.7299342106</v>
      </c>
      <c r="K17" s="386" t="e">
        <f>+#REF!</f>
        <v>#REF!</v>
      </c>
      <c r="L17" s="385">
        <f>J17</f>
        <v>414380.7299342106</v>
      </c>
      <c r="M17" s="385" t="e">
        <f t="shared" si="4"/>
        <v>#REF!</v>
      </c>
      <c r="N17" s="348" t="s">
        <v>18</v>
      </c>
    </row>
    <row r="18" spans="1:14" outlineLevel="2" x14ac:dyDescent="0.25">
      <c r="A18" s="348" t="str">
        <f>("50250")&amp;" - "&amp;("Salaries &amp; Wages- LPN")</f>
        <v>50250 - Salaries &amp; Wages- LPN</v>
      </c>
      <c r="B18" s="347">
        <f>54074.05+0</f>
        <v>54074.05</v>
      </c>
      <c r="C18" s="347">
        <f>53772.17+0</f>
        <v>53772.17</v>
      </c>
      <c r="D18" s="347">
        <f>56266.82+0</f>
        <v>56266.82</v>
      </c>
      <c r="E18" s="347">
        <f>53914.98+0</f>
        <v>53914.98</v>
      </c>
      <c r="F18" s="347">
        <f>56434.67+0</f>
        <v>56434.67</v>
      </c>
      <c r="H18" s="347">
        <f t="shared" si="0"/>
        <v>274462.69</v>
      </c>
      <c r="I18" s="352">
        <f t="shared" si="2"/>
        <v>1805.6755921052631</v>
      </c>
      <c r="J18" s="387">
        <f t="shared" si="3"/>
        <v>659071.59111842106</v>
      </c>
      <c r="K18" s="386" t="e">
        <f>+#REF!</f>
        <v>#REF!</v>
      </c>
      <c r="L18" s="385">
        <f>J18</f>
        <v>659071.59111842106</v>
      </c>
      <c r="M18" s="385" t="e">
        <f t="shared" si="4"/>
        <v>#REF!</v>
      </c>
      <c r="N18" s="348" t="s">
        <v>2709</v>
      </c>
    </row>
    <row r="19" spans="1:14" outlineLevel="2" x14ac:dyDescent="0.25">
      <c r="A19" s="348" t="str">
        <f>("50275")&amp;" - "&amp;("Salaries &amp; Wages- MA/CMA/EMT")</f>
        <v>50275 - Salaries &amp; Wages- MA/CMA/EMT</v>
      </c>
      <c r="B19" s="347">
        <f>10719.29+0</f>
        <v>10719.29</v>
      </c>
      <c r="C19" s="347">
        <f>8814.15+0</f>
        <v>8814.15</v>
      </c>
      <c r="D19" s="347">
        <f>7129.36+0</f>
        <v>7129.36</v>
      </c>
      <c r="E19" s="347">
        <f>9294.07+0</f>
        <v>9294.07</v>
      </c>
      <c r="F19" s="347">
        <f>8280.77+0</f>
        <v>8280.77</v>
      </c>
      <c r="H19" s="347">
        <f t="shared" si="0"/>
        <v>44237.64</v>
      </c>
      <c r="I19" s="352">
        <f t="shared" si="2"/>
        <v>291.03710526315791</v>
      </c>
      <c r="J19" s="387">
        <f t="shared" si="3"/>
        <v>106228.54342105264</v>
      </c>
      <c r="K19" s="386" t="e">
        <f>+#REF!</f>
        <v>#REF!</v>
      </c>
      <c r="L19" s="385">
        <f>J19</f>
        <v>106228.54342105264</v>
      </c>
      <c r="M19" s="385" t="e">
        <f t="shared" si="4"/>
        <v>#REF!</v>
      </c>
      <c r="N19" s="348" t="s">
        <v>34</v>
      </c>
    </row>
    <row r="20" spans="1:14" outlineLevel="2" x14ac:dyDescent="0.25">
      <c r="A20" s="348" t="str">
        <f>("50300")&amp;" - "&amp;("Salaries &amp; Wages")</f>
        <v>50300 - Salaries &amp; Wages</v>
      </c>
      <c r="B20" s="347">
        <f>12272.71+0</f>
        <v>12272.71</v>
      </c>
      <c r="C20" s="347">
        <f>13319.87+0</f>
        <v>13319.87</v>
      </c>
      <c r="D20" s="347">
        <f>21209.41+0</f>
        <v>21209.41</v>
      </c>
      <c r="E20" s="347">
        <f>20812.75+0</f>
        <v>20812.75</v>
      </c>
      <c r="F20" s="347">
        <f>21098.8+0</f>
        <v>21098.799999999999</v>
      </c>
      <c r="H20" s="347">
        <f t="shared" si="0"/>
        <v>88713.540000000008</v>
      </c>
      <c r="I20" s="352">
        <f t="shared" si="2"/>
        <v>583.64171052631582</v>
      </c>
      <c r="J20" s="387">
        <f t="shared" si="3"/>
        <v>213029.22434210527</v>
      </c>
      <c r="K20" s="386">
        <v>0</v>
      </c>
      <c r="L20" s="385">
        <v>0</v>
      </c>
      <c r="M20" s="385">
        <f t="shared" si="4"/>
        <v>0</v>
      </c>
      <c r="N20" s="348" t="s">
        <v>2708</v>
      </c>
    </row>
    <row r="21" spans="1:14" outlineLevel="2" x14ac:dyDescent="0.25">
      <c r="A21" s="348" t="str">
        <f>("50325")&amp;" - "&amp;("Salaries &amp; Wages- Dental")</f>
        <v>50325 - Salaries &amp; Wages- Dental</v>
      </c>
      <c r="B21" s="347">
        <f>686.9+0</f>
        <v>686.9</v>
      </c>
      <c r="C21" s="347">
        <f>611.91+0</f>
        <v>611.91</v>
      </c>
      <c r="D21" s="347">
        <f>745.13+0</f>
        <v>745.13</v>
      </c>
      <c r="E21" s="347">
        <f>700.8+0</f>
        <v>700.8</v>
      </c>
      <c r="F21" s="347">
        <f>598.5+0</f>
        <v>598.5</v>
      </c>
      <c r="H21" s="347">
        <f t="shared" si="0"/>
        <v>3343.24</v>
      </c>
      <c r="I21" s="352">
        <f t="shared" si="2"/>
        <v>21.994999999999997</v>
      </c>
      <c r="J21" s="387">
        <f t="shared" si="3"/>
        <v>8028.1749999999993</v>
      </c>
      <c r="K21" s="386" t="e">
        <f>+#REF!</f>
        <v>#REF!</v>
      </c>
      <c r="L21" s="385">
        <f>J21</f>
        <v>8028.1749999999993</v>
      </c>
      <c r="M21" s="385" t="e">
        <f t="shared" si="4"/>
        <v>#REF!</v>
      </c>
      <c r="N21" s="348" t="s">
        <v>2710</v>
      </c>
    </row>
    <row r="22" spans="1:14" outlineLevel="2" x14ac:dyDescent="0.25">
      <c r="A22" s="348" t="str">
        <f>("50335")&amp;" - "&amp;("")</f>
        <v xml:space="preserve">50335 - </v>
      </c>
      <c r="B22" s="347">
        <f>0+0</f>
        <v>0</v>
      </c>
      <c r="C22" s="347">
        <f>0+0</f>
        <v>0</v>
      </c>
      <c r="D22" s="347">
        <f>0+0</f>
        <v>0</v>
      </c>
      <c r="E22" s="347">
        <f>0+0</f>
        <v>0</v>
      </c>
      <c r="F22" s="347">
        <f>0+0</f>
        <v>0</v>
      </c>
      <c r="H22" s="347">
        <f t="shared" si="0"/>
        <v>0</v>
      </c>
      <c r="I22" s="352">
        <f t="shared" si="2"/>
        <v>0</v>
      </c>
      <c r="J22" s="385">
        <f t="shared" si="3"/>
        <v>0</v>
      </c>
      <c r="K22" s="386"/>
      <c r="L22" s="385"/>
      <c r="M22" s="385">
        <f t="shared" si="4"/>
        <v>0</v>
      </c>
    </row>
    <row r="23" spans="1:14" outlineLevel="2" x14ac:dyDescent="0.25">
      <c r="A23" s="348" t="str">
        <f>("50350")&amp;" - "&amp;("Salaries &amp; Wages")</f>
        <v>50350 - Salaries &amp; Wages</v>
      </c>
      <c r="B23" s="347">
        <f>-861.18+0</f>
        <v>-861.18</v>
      </c>
      <c r="C23" s="347">
        <f>0+0</f>
        <v>0</v>
      </c>
      <c r="D23" s="347">
        <f>0+0</f>
        <v>0</v>
      </c>
      <c r="E23" s="347">
        <f>0+0</f>
        <v>0</v>
      </c>
      <c r="F23" s="347">
        <f>0+0</f>
        <v>0</v>
      </c>
      <c r="H23" s="347">
        <f t="shared" si="0"/>
        <v>-861.18</v>
      </c>
      <c r="I23" s="352">
        <f t="shared" si="2"/>
        <v>-5.6656578947368414</v>
      </c>
      <c r="J23" s="387">
        <f t="shared" si="3"/>
        <v>-2067.965131578947</v>
      </c>
      <c r="K23" s="386"/>
      <c r="L23" s="385"/>
      <c r="M23" s="385">
        <f t="shared" si="4"/>
        <v>0</v>
      </c>
      <c r="N23" s="348" t="s">
        <v>2711</v>
      </c>
    </row>
    <row r="24" spans="1:14" outlineLevel="2" x14ac:dyDescent="0.25">
      <c r="A24" s="348" t="str">
        <f>("50375")&amp;" - "&amp;("Salaries &amp; Wages")</f>
        <v>50375 - Salaries &amp; Wages</v>
      </c>
      <c r="B24" s="347">
        <f>2677.07+0</f>
        <v>2677.07</v>
      </c>
      <c r="C24" s="347">
        <f>2166.13+0</f>
        <v>2166.13</v>
      </c>
      <c r="D24" s="347">
        <f>2302.86+0</f>
        <v>2302.86</v>
      </c>
      <c r="E24" s="347">
        <f>2228.57+0</f>
        <v>2228.5700000000002</v>
      </c>
      <c r="F24" s="347">
        <f>2406.63+0</f>
        <v>2406.63</v>
      </c>
      <c r="H24" s="347">
        <f t="shared" si="0"/>
        <v>11781.260000000002</v>
      </c>
      <c r="I24" s="352">
        <f t="shared" si="2"/>
        <v>77.508289473684229</v>
      </c>
      <c r="J24" s="387">
        <f t="shared" si="3"/>
        <v>28290.525657894745</v>
      </c>
      <c r="K24" s="386" t="e">
        <f>+#REF!</f>
        <v>#REF!</v>
      </c>
      <c r="L24" s="385">
        <f>J24</f>
        <v>28290.525657894745</v>
      </c>
      <c r="M24" s="385" t="e">
        <f t="shared" si="4"/>
        <v>#REF!</v>
      </c>
      <c r="N24" s="348" t="s">
        <v>2712</v>
      </c>
    </row>
    <row r="25" spans="1:14" outlineLevel="2" x14ac:dyDescent="0.25">
      <c r="A25" s="348" t="str">
        <f>("50400")&amp;" - "&amp;("Salaries &amp; Wages- HSA")</f>
        <v>50400 - Salaries &amp; Wages- HSA</v>
      </c>
      <c r="B25" s="347">
        <f>8742.86+0</f>
        <v>8742.86</v>
      </c>
      <c r="C25" s="347">
        <f>7042.85+0</f>
        <v>7042.85</v>
      </c>
      <c r="D25" s="347">
        <f>7528.58+0</f>
        <v>7528.58</v>
      </c>
      <c r="E25" s="347">
        <f>7285.71+0</f>
        <v>7285.71</v>
      </c>
      <c r="F25" s="347">
        <f>7528.57+0</f>
        <v>7528.57</v>
      </c>
      <c r="H25" s="347">
        <f t="shared" si="0"/>
        <v>38128.57</v>
      </c>
      <c r="I25" s="352">
        <f t="shared" si="2"/>
        <v>250.84585526315789</v>
      </c>
      <c r="J25" s="387">
        <f t="shared" si="3"/>
        <v>91558.737171052635</v>
      </c>
      <c r="K25" s="386" t="e">
        <f>+#REF!</f>
        <v>#REF!</v>
      </c>
      <c r="L25" s="385">
        <f>J25</f>
        <v>91558.737171052635</v>
      </c>
      <c r="M25" s="385" t="e">
        <f t="shared" si="4"/>
        <v>#REF!</v>
      </c>
      <c r="N25" s="348" t="s">
        <v>2713</v>
      </c>
    </row>
    <row r="26" spans="1:14" outlineLevel="2" x14ac:dyDescent="0.25">
      <c r="A26" s="348" t="str">
        <f>("50425")&amp;" - "&amp;("Salaries &amp; Wages- Admin Support")</f>
        <v>50425 - Salaries &amp; Wages- Admin Support</v>
      </c>
      <c r="B26" s="347">
        <f>3511.62+0</f>
        <v>3511.62</v>
      </c>
      <c r="C26" s="347">
        <f>2828.45+0</f>
        <v>2828.45</v>
      </c>
      <c r="D26" s="347">
        <f>3027.09+0</f>
        <v>3027.09</v>
      </c>
      <c r="E26" s="347">
        <f>2937.37+0</f>
        <v>2937.37</v>
      </c>
      <c r="F26" s="347">
        <f>3042.18+0</f>
        <v>3042.18</v>
      </c>
      <c r="H26" s="347">
        <f t="shared" si="0"/>
        <v>15346.71</v>
      </c>
      <c r="I26" s="352">
        <f t="shared" si="2"/>
        <v>100.96519736842104</v>
      </c>
      <c r="J26" s="387">
        <f t="shared" si="3"/>
        <v>36852.297039473684</v>
      </c>
      <c r="K26" s="386" t="e">
        <f>+#REF!</f>
        <v>#REF!</v>
      </c>
      <c r="L26" s="385">
        <f>J26+J23</f>
        <v>34784.331907894739</v>
      </c>
      <c r="M26" s="385" t="e">
        <f t="shared" si="4"/>
        <v>#REF!</v>
      </c>
      <c r="N26" s="348" t="s">
        <v>2714</v>
      </c>
    </row>
    <row r="27" spans="1:14" outlineLevel="2" x14ac:dyDescent="0.25">
      <c r="A27" s="348" t="str">
        <f>("50450")&amp;" - "&amp;("Salaries &amp; Wages- Food Service")</f>
        <v>50450 - Salaries &amp; Wages- Food Service</v>
      </c>
      <c r="B27" s="347">
        <f t="shared" ref="B27:F30" si="5">0+0</f>
        <v>0</v>
      </c>
      <c r="C27" s="347">
        <f t="shared" si="5"/>
        <v>0</v>
      </c>
      <c r="D27" s="347">
        <f t="shared" si="5"/>
        <v>0</v>
      </c>
      <c r="E27" s="347">
        <f t="shared" si="5"/>
        <v>0</v>
      </c>
      <c r="F27" s="347">
        <f t="shared" si="5"/>
        <v>0</v>
      </c>
      <c r="H27" s="347">
        <f t="shared" si="0"/>
        <v>0</v>
      </c>
      <c r="I27" s="352">
        <f t="shared" si="2"/>
        <v>0</v>
      </c>
      <c r="J27" s="385">
        <f t="shared" si="3"/>
        <v>0</v>
      </c>
      <c r="K27" s="385"/>
      <c r="L27" s="385"/>
      <c r="M27" s="385"/>
    </row>
    <row r="28" spans="1:14" outlineLevel="2" x14ac:dyDescent="0.25">
      <c r="A28" s="348" t="str">
        <f>("50475")&amp;" - "&amp;("Salaries &amp; Wages- Security")</f>
        <v>50475 - Salaries &amp; Wages- Security</v>
      </c>
      <c r="B28" s="347">
        <f t="shared" si="5"/>
        <v>0</v>
      </c>
      <c r="C28" s="347">
        <f t="shared" si="5"/>
        <v>0</v>
      </c>
      <c r="D28" s="347">
        <f t="shared" si="5"/>
        <v>0</v>
      </c>
      <c r="E28" s="347">
        <f t="shared" si="5"/>
        <v>0</v>
      </c>
      <c r="F28" s="347">
        <f t="shared" si="5"/>
        <v>0</v>
      </c>
      <c r="H28" s="347">
        <f t="shared" si="0"/>
        <v>0</v>
      </c>
      <c r="I28" s="352">
        <f t="shared" si="2"/>
        <v>0</v>
      </c>
      <c r="J28" s="385">
        <f t="shared" si="3"/>
        <v>0</v>
      </c>
      <c r="K28" s="385"/>
      <c r="L28" s="385"/>
      <c r="M28" s="385"/>
    </row>
    <row r="29" spans="1:14" outlineLevel="2" x14ac:dyDescent="0.25">
      <c r="A29" s="348" t="str">
        <f>("50500")&amp;" - "&amp;("Salaries &amp; Wages- Programs")</f>
        <v>50500 - Salaries &amp; Wages- Programs</v>
      </c>
      <c r="B29" s="347">
        <f t="shared" si="5"/>
        <v>0</v>
      </c>
      <c r="C29" s="347">
        <f t="shared" si="5"/>
        <v>0</v>
      </c>
      <c r="D29" s="347">
        <f t="shared" si="5"/>
        <v>0</v>
      </c>
      <c r="E29" s="347">
        <f t="shared" si="5"/>
        <v>0</v>
      </c>
      <c r="F29" s="347">
        <f t="shared" si="5"/>
        <v>0</v>
      </c>
      <c r="H29" s="347">
        <f t="shared" si="0"/>
        <v>0</v>
      </c>
      <c r="I29" s="352">
        <f t="shared" si="2"/>
        <v>0</v>
      </c>
      <c r="J29" s="385">
        <f t="shared" si="3"/>
        <v>0</v>
      </c>
      <c r="K29" s="385"/>
      <c r="L29" s="385"/>
      <c r="M29" s="385"/>
    </row>
    <row r="30" spans="1:14" outlineLevel="2" x14ac:dyDescent="0.25">
      <c r="A30" s="348" t="str">
        <f>("50525")&amp;" - "&amp;("Salaries &amp; Wages- Maintenance")</f>
        <v>50525 - Salaries &amp; Wages- Maintenance</v>
      </c>
      <c r="B30" s="347">
        <f t="shared" si="5"/>
        <v>0</v>
      </c>
      <c r="C30" s="347">
        <f t="shared" si="5"/>
        <v>0</v>
      </c>
      <c r="D30" s="347">
        <f t="shared" si="5"/>
        <v>0</v>
      </c>
      <c r="E30" s="347">
        <f t="shared" si="5"/>
        <v>0</v>
      </c>
      <c r="F30" s="347">
        <f t="shared" si="5"/>
        <v>0</v>
      </c>
      <c r="H30" s="347">
        <f t="shared" si="0"/>
        <v>0</v>
      </c>
      <c r="I30" s="352">
        <f t="shared" si="2"/>
        <v>0</v>
      </c>
      <c r="J30" s="385">
        <f t="shared" si="3"/>
        <v>0</v>
      </c>
      <c r="K30" s="385"/>
      <c r="L30" s="385"/>
      <c r="M30" s="385"/>
    </row>
    <row r="31" spans="1:14" s="355" customFormat="1" outlineLevel="1" x14ac:dyDescent="0.25">
      <c r="A31" s="351" t="s">
        <v>126</v>
      </c>
      <c r="B31" s="354">
        <f>SUM(B8:B30)</f>
        <v>155430.47999999998</v>
      </c>
      <c r="C31" s="354">
        <f>SUM(OSRRefB13_0_0x_1)</f>
        <v>143372.44</v>
      </c>
      <c r="D31" s="354">
        <f>SUM(OSRRefB13_0_0x_2)</f>
        <v>157177.76999999996</v>
      </c>
      <c r="E31" s="354">
        <f>SUM(OSRRefB13_0_0x_3)</f>
        <v>152777.49</v>
      </c>
      <c r="F31" s="354">
        <f>SUM(OSRRefB13_0_0x_4)</f>
        <v>165961.4</v>
      </c>
      <c r="H31" s="354">
        <f t="shared" si="0"/>
        <v>774719.58</v>
      </c>
      <c r="I31" s="352">
        <f t="shared" si="2"/>
        <v>5096.8393421052633</v>
      </c>
      <c r="J31" s="385">
        <f t="shared" si="3"/>
        <v>1860346.3598684212</v>
      </c>
      <c r="K31" s="385" t="e">
        <f>SUM(K10:K30)</f>
        <v>#REF!</v>
      </c>
      <c r="L31" s="385">
        <f t="shared" ref="L31:M31" si="6">SUM(L10:L30)</f>
        <v>1860346.3598684215</v>
      </c>
      <c r="M31" s="385" t="e">
        <f t="shared" si="6"/>
        <v>#REF!</v>
      </c>
    </row>
    <row r="32" spans="1:14" s="351" customFormat="1" x14ac:dyDescent="0.25">
      <c r="A32" s="351" t="str">
        <f>"Total "&amp;TRIM(MID("2A.Salaries",4,125))</f>
        <v>Total Salaries</v>
      </c>
      <c r="B32" s="356">
        <f>B31</f>
        <v>155430.47999999998</v>
      </c>
      <c r="C32" s="356">
        <f>SUM(OSRRefB14_0x_1)</f>
        <v>143372.44</v>
      </c>
      <c r="D32" s="356">
        <f>SUM(OSRRefB14_0x_2)</f>
        <v>157177.76999999996</v>
      </c>
      <c r="E32" s="356">
        <f>SUM(OSRRefB14_0x_3)</f>
        <v>152777.49</v>
      </c>
      <c r="F32" s="356">
        <f>SUM(OSRRefB14_0x_4)</f>
        <v>165961.4</v>
      </c>
      <c r="H32" s="356">
        <f t="shared" si="0"/>
        <v>774719.58</v>
      </c>
      <c r="I32" s="352">
        <f t="shared" si="2"/>
        <v>5096.8393421052633</v>
      </c>
      <c r="J32" s="353">
        <f t="shared" si="3"/>
        <v>1860346.3598684212</v>
      </c>
    </row>
    <row r="33" spans="1:13" x14ac:dyDescent="0.25">
      <c r="I33" s="352">
        <f t="shared" si="2"/>
        <v>0</v>
      </c>
      <c r="J33" s="353">
        <f t="shared" si="3"/>
        <v>0</v>
      </c>
      <c r="L33" s="353">
        <f>J31-L31</f>
        <v>0</v>
      </c>
    </row>
    <row r="34" spans="1:13" outlineLevel="1" x14ac:dyDescent="0.25">
      <c r="A34" s="351" t="str">
        <f>TRIM(MID("2B.Contract Labor",4,125))</f>
        <v>Contract Labor</v>
      </c>
      <c r="I34" s="352">
        <f t="shared" si="2"/>
        <v>0</v>
      </c>
      <c r="J34" s="353">
        <f t="shared" si="3"/>
        <v>0</v>
      </c>
    </row>
    <row r="35" spans="1:13" outlineLevel="2" x14ac:dyDescent="0.25">
      <c r="A35" s="348" t="str">
        <f>("51000")&amp;" - "&amp;("Contract Labor- Physician")</f>
        <v>51000 - Contract Labor- Physician</v>
      </c>
      <c r="B35" s="347">
        <f>8670+0</f>
        <v>8670</v>
      </c>
      <c r="C35" s="347">
        <f>7340+0</f>
        <v>7340</v>
      </c>
      <c r="D35" s="347">
        <f>3310+0</f>
        <v>3310</v>
      </c>
      <c r="E35" s="347">
        <f>6460+0</f>
        <v>6460</v>
      </c>
      <c r="F35" s="347">
        <f>6550+0</f>
        <v>6550</v>
      </c>
      <c r="H35" s="347">
        <f t="shared" ref="H35:H44" si="7">SUM(B35:G35)</f>
        <v>32330</v>
      </c>
      <c r="I35" s="352">
        <f t="shared" si="2"/>
        <v>212.69736842105263</v>
      </c>
      <c r="J35" s="353">
        <f t="shared" si="3"/>
        <v>77634.539473684214</v>
      </c>
      <c r="K35" s="386" t="e">
        <f>+#REF!+#REF!</f>
        <v>#REF!</v>
      </c>
    </row>
    <row r="36" spans="1:13" outlineLevel="2" x14ac:dyDescent="0.25">
      <c r="A36" s="348" t="str">
        <f>("51100")&amp;" - "&amp;("Contract Labor- Psychiatrist")</f>
        <v>51100 - Contract Labor- Psychiatrist</v>
      </c>
      <c r="B36" s="347">
        <f>24849.99+0</f>
        <v>24849.99</v>
      </c>
      <c r="C36" s="347">
        <f>16616.66+0</f>
        <v>16616.66</v>
      </c>
      <c r="D36" s="347">
        <f>8583.33+0</f>
        <v>8583.33</v>
      </c>
      <c r="E36" s="347">
        <f>16666.66+0</f>
        <v>16666.66</v>
      </c>
      <c r="F36" s="347">
        <f>16716.66+0</f>
        <v>16716.66</v>
      </c>
      <c r="H36" s="347">
        <f t="shared" si="7"/>
        <v>83433.3</v>
      </c>
      <c r="I36" s="352">
        <f t="shared" si="2"/>
        <v>548.90328947368425</v>
      </c>
      <c r="J36" s="353">
        <f t="shared" si="3"/>
        <v>200349.70065789475</v>
      </c>
      <c r="K36" s="386" t="e">
        <f>+#REF!</f>
        <v>#REF!</v>
      </c>
    </row>
    <row r="37" spans="1:13" outlineLevel="2" x14ac:dyDescent="0.25">
      <c r="A37" s="348" t="str">
        <f>("51200")&amp;" - "&amp;("Contract Labor- Pharmacist")</f>
        <v>51200 - Contract Labor- Pharmacist</v>
      </c>
      <c r="B37" s="347">
        <f t="shared" ref="B37:F40" si="8">0+0</f>
        <v>0</v>
      </c>
      <c r="C37" s="347">
        <f t="shared" si="8"/>
        <v>0</v>
      </c>
      <c r="D37" s="347">
        <f t="shared" si="8"/>
        <v>0</v>
      </c>
      <c r="E37" s="347">
        <f t="shared" si="8"/>
        <v>0</v>
      </c>
      <c r="F37" s="347">
        <f t="shared" si="8"/>
        <v>0</v>
      </c>
      <c r="H37" s="347">
        <f t="shared" si="7"/>
        <v>0</v>
      </c>
      <c r="I37" s="352">
        <f t="shared" si="2"/>
        <v>0</v>
      </c>
      <c r="J37" s="353">
        <f t="shared" si="3"/>
        <v>0</v>
      </c>
      <c r="K37" s="386"/>
    </row>
    <row r="38" spans="1:13" outlineLevel="2" x14ac:dyDescent="0.25">
      <c r="A38" s="348" t="str">
        <f>("51300")&amp;" - "&amp;("Contract Labor - Behav. Health")</f>
        <v>51300 - Contract Labor - Behav. Health</v>
      </c>
      <c r="B38" s="347">
        <f t="shared" si="8"/>
        <v>0</v>
      </c>
      <c r="C38" s="347">
        <f t="shared" si="8"/>
        <v>0</v>
      </c>
      <c r="D38" s="347">
        <f t="shared" si="8"/>
        <v>0</v>
      </c>
      <c r="E38" s="347">
        <f t="shared" si="8"/>
        <v>0</v>
      </c>
      <c r="F38" s="347">
        <f t="shared" si="8"/>
        <v>0</v>
      </c>
      <c r="H38" s="347">
        <f t="shared" si="7"/>
        <v>0</v>
      </c>
      <c r="I38" s="352">
        <f t="shared" si="2"/>
        <v>0</v>
      </c>
      <c r="J38" s="353">
        <f t="shared" si="3"/>
        <v>0</v>
      </c>
      <c r="K38" s="386"/>
    </row>
    <row r="39" spans="1:13" outlineLevel="2" x14ac:dyDescent="0.25">
      <c r="A39" s="348" t="str">
        <f>("51400")&amp;" - "&amp;("Contract Labor- PA/NP/ARNP")</f>
        <v>51400 - Contract Labor- PA/NP/ARNP</v>
      </c>
      <c r="B39" s="347">
        <f t="shared" si="8"/>
        <v>0</v>
      </c>
      <c r="C39" s="347">
        <f t="shared" si="8"/>
        <v>0</v>
      </c>
      <c r="D39" s="347">
        <f t="shared" si="8"/>
        <v>0</v>
      </c>
      <c r="E39" s="347">
        <f t="shared" si="8"/>
        <v>0</v>
      </c>
      <c r="F39" s="347">
        <f t="shared" si="8"/>
        <v>0</v>
      </c>
      <c r="H39" s="347">
        <f t="shared" si="7"/>
        <v>0</v>
      </c>
      <c r="I39" s="352">
        <f t="shared" si="2"/>
        <v>0</v>
      </c>
      <c r="J39" s="353">
        <f t="shared" si="3"/>
        <v>0</v>
      </c>
      <c r="K39" s="386"/>
    </row>
    <row r="40" spans="1:13" outlineLevel="2" x14ac:dyDescent="0.25">
      <c r="A40" s="348" t="str">
        <f>("51500")&amp;" - "&amp;("Contract Labor- Nursing")</f>
        <v>51500 - Contract Labor- Nursing</v>
      </c>
      <c r="B40" s="347">
        <f t="shared" si="8"/>
        <v>0</v>
      </c>
      <c r="C40" s="347">
        <f t="shared" si="8"/>
        <v>0</v>
      </c>
      <c r="D40" s="347">
        <f t="shared" si="8"/>
        <v>0</v>
      </c>
      <c r="E40" s="347">
        <f t="shared" si="8"/>
        <v>0</v>
      </c>
      <c r="F40" s="347">
        <f t="shared" si="8"/>
        <v>0</v>
      </c>
      <c r="H40" s="347">
        <f t="shared" si="7"/>
        <v>0</v>
      </c>
      <c r="I40" s="352">
        <f t="shared" si="2"/>
        <v>0</v>
      </c>
      <c r="J40" s="353">
        <f t="shared" si="3"/>
        <v>0</v>
      </c>
      <c r="K40" s="386"/>
    </row>
    <row r="41" spans="1:13" outlineLevel="2" x14ac:dyDescent="0.25">
      <c r="A41" s="348" t="str">
        <f>("51600")&amp;" - "&amp;("Contract Labor- Dental")</f>
        <v>51600 - Contract Labor- Dental</v>
      </c>
      <c r="B41" s="347">
        <f>8280+0</f>
        <v>8280</v>
      </c>
      <c r="C41" s="347">
        <f>4980+0</f>
        <v>4980</v>
      </c>
      <c r="D41" s="347">
        <f>3000+0</f>
        <v>3000</v>
      </c>
      <c r="E41" s="347">
        <f>4500+0</f>
        <v>4500</v>
      </c>
      <c r="F41" s="347">
        <f>4770+0</f>
        <v>4770</v>
      </c>
      <c r="H41" s="347">
        <f t="shared" si="7"/>
        <v>25530</v>
      </c>
      <c r="I41" s="352">
        <f t="shared" si="2"/>
        <v>167.96052631578948</v>
      </c>
      <c r="J41" s="353">
        <f t="shared" si="3"/>
        <v>61305.59210526316</v>
      </c>
      <c r="K41" s="386" t="e">
        <f>+#REF!</f>
        <v>#REF!</v>
      </c>
    </row>
    <row r="42" spans="1:13" outlineLevel="2" x14ac:dyDescent="0.25">
      <c r="A42" s="348" t="str">
        <f>("51700")&amp;" - "&amp;("Contract Labor- Medical Support")</f>
        <v>51700 - Contract Labor- Medical Support</v>
      </c>
      <c r="B42" s="347">
        <f>0+0</f>
        <v>0</v>
      </c>
      <c r="C42" s="347">
        <f>0+0</f>
        <v>0</v>
      </c>
      <c r="D42" s="347">
        <f>0+0</f>
        <v>0</v>
      </c>
      <c r="E42" s="347">
        <f>0+0</f>
        <v>0</v>
      </c>
      <c r="F42" s="347">
        <f>0+0</f>
        <v>0</v>
      </c>
      <c r="H42" s="347">
        <f t="shared" si="7"/>
        <v>0</v>
      </c>
      <c r="I42" s="352">
        <f t="shared" si="2"/>
        <v>0</v>
      </c>
      <c r="J42" s="353">
        <f t="shared" si="3"/>
        <v>0</v>
      </c>
      <c r="K42" s="386"/>
    </row>
    <row r="43" spans="1:13" s="355" customFormat="1" outlineLevel="1" x14ac:dyDescent="0.25">
      <c r="A43" s="351" t="s">
        <v>128</v>
      </c>
      <c r="B43" s="354">
        <f>SUM(B35:B42)</f>
        <v>41799.990000000005</v>
      </c>
      <c r="C43" s="354">
        <f>SUM(OSRRefB13_1_0x_1)</f>
        <v>28936.66</v>
      </c>
      <c r="D43" s="354">
        <f>SUM(OSRRefB13_1_0x_2)</f>
        <v>14893.33</v>
      </c>
      <c r="E43" s="354">
        <f>SUM(OSRRefB13_1_0x_3)</f>
        <v>27626.66</v>
      </c>
      <c r="F43" s="354">
        <f>SUM(OSRRefB13_1_0x_4)</f>
        <v>28036.66</v>
      </c>
      <c r="H43" s="354">
        <f t="shared" si="7"/>
        <v>141293.30000000002</v>
      </c>
      <c r="I43" s="352">
        <f t="shared" si="2"/>
        <v>929.56118421052645</v>
      </c>
      <c r="J43" s="353">
        <f t="shared" si="3"/>
        <v>339289.83223684214</v>
      </c>
      <c r="K43" s="386"/>
    </row>
    <row r="44" spans="1:13" s="351" customFormat="1" x14ac:dyDescent="0.25">
      <c r="A44" s="351" t="str">
        <f>"Total "&amp;TRIM(MID("2B.Contract Labor",4,125))</f>
        <v>Total Contract Labor</v>
      </c>
      <c r="B44" s="356">
        <f>B43</f>
        <v>41799.990000000005</v>
      </c>
      <c r="C44" s="356">
        <f>SUM(OSRRefB14_1x_1)</f>
        <v>28936.66</v>
      </c>
      <c r="D44" s="356">
        <f>SUM(OSRRefB14_1x_2)</f>
        <v>14893.33</v>
      </c>
      <c r="E44" s="356">
        <f>SUM(OSRRefB14_1x_3)</f>
        <v>27626.66</v>
      </c>
      <c r="F44" s="356">
        <f>SUM(OSRRefB14_1x_4)</f>
        <v>28036.66</v>
      </c>
      <c r="H44" s="356">
        <f t="shared" si="7"/>
        <v>141293.30000000002</v>
      </c>
      <c r="I44" s="352">
        <f t="shared" si="2"/>
        <v>929.56118421052645</v>
      </c>
      <c r="J44" s="353">
        <f t="shared" si="3"/>
        <v>339289.83223684214</v>
      </c>
      <c r="K44" s="395"/>
    </row>
    <row r="45" spans="1:13" x14ac:dyDescent="0.25">
      <c r="I45" s="352">
        <f t="shared" si="2"/>
        <v>0</v>
      </c>
      <c r="J45" s="353">
        <f t="shared" si="3"/>
        <v>0</v>
      </c>
    </row>
    <row r="46" spans="1:13" outlineLevel="1" x14ac:dyDescent="0.25">
      <c r="A46" s="351" t="str">
        <f>TRIM(MID("2C.Benefits",4,125))</f>
        <v>Benefits</v>
      </c>
      <c r="I46" s="352">
        <f t="shared" si="2"/>
        <v>0</v>
      </c>
      <c r="J46" s="353">
        <f t="shared" si="3"/>
        <v>0</v>
      </c>
      <c r="K46" s="351" t="s">
        <v>2715</v>
      </c>
      <c r="L46" s="385">
        <v>15</v>
      </c>
      <c r="M46" s="388"/>
    </row>
    <row r="47" spans="1:13" outlineLevel="2" x14ac:dyDescent="0.25">
      <c r="A47" s="348" t="str">
        <f>("55000")&amp;" - "&amp;("Benefits- Accrued PTO")</f>
        <v>55000 - Benefits- Accrued PTO</v>
      </c>
      <c r="B47" s="347">
        <f>0+0</f>
        <v>0</v>
      </c>
      <c r="C47" s="347">
        <f>0+0</f>
        <v>0</v>
      </c>
      <c r="D47" s="347">
        <f>0+0</f>
        <v>0</v>
      </c>
      <c r="E47" s="347">
        <f>2469.38+0</f>
        <v>2469.38</v>
      </c>
      <c r="F47" s="347">
        <f>628.51+0</f>
        <v>628.51</v>
      </c>
      <c r="H47" s="347">
        <f t="shared" ref="H47:H70" si="9">SUM(B47:G47)</f>
        <v>3097.8900000000003</v>
      </c>
      <c r="I47" s="352">
        <f t="shared" si="2"/>
        <v>20.380855263157898</v>
      </c>
      <c r="J47" s="353">
        <f t="shared" si="3"/>
        <v>7439.0121710526328</v>
      </c>
      <c r="K47" s="391">
        <v>4.0000000000000001E-3</v>
      </c>
      <c r="L47" s="389">
        <f>J47/$J$70</f>
        <v>2.6951272231347915E-2</v>
      </c>
      <c r="M47" s="353">
        <f>L46*L47</f>
        <v>0.40426908347021873</v>
      </c>
    </row>
    <row r="48" spans="1:13" outlineLevel="2" x14ac:dyDescent="0.25">
      <c r="A48" s="348" t="str">
        <f>("55100")&amp;" - "&amp;("Benefits")</f>
        <v>55100 - Benefits</v>
      </c>
      <c r="B48" s="347">
        <f>7564.22+0</f>
        <v>7564.22</v>
      </c>
      <c r="C48" s="347">
        <f>8692.4+0</f>
        <v>8692.4</v>
      </c>
      <c r="D48" s="347">
        <f>7620.81+0</f>
        <v>7620.81</v>
      </c>
      <c r="E48" s="347">
        <f>9665.48+0</f>
        <v>9665.48</v>
      </c>
      <c r="F48" s="347">
        <f>10929.74+0</f>
        <v>10929.74</v>
      </c>
      <c r="H48" s="347">
        <f t="shared" si="9"/>
        <v>44472.65</v>
      </c>
      <c r="I48" s="352">
        <f t="shared" si="2"/>
        <v>292.58322368421051</v>
      </c>
      <c r="J48" s="353">
        <f t="shared" si="3"/>
        <v>106792.87664473684</v>
      </c>
      <c r="K48" s="391">
        <v>5.8999999999999997E-2</v>
      </c>
      <c r="L48" s="389">
        <f t="shared" ref="L48:L70" si="10">J48/$J$70</f>
        <v>0.3869067323240834</v>
      </c>
      <c r="M48" s="353">
        <v>5.9</v>
      </c>
    </row>
    <row r="49" spans="1:12" outlineLevel="2" x14ac:dyDescent="0.25">
      <c r="A49" s="348" t="str">
        <f>("55200")&amp;" - "&amp;("Benefits- 401K Employer Match")</f>
        <v>55200 - Benefits- 401K Employer Match</v>
      </c>
      <c r="B49" s="347">
        <f t="shared" ref="B49:F50" si="11">0+0</f>
        <v>0</v>
      </c>
      <c r="C49" s="347">
        <f t="shared" si="11"/>
        <v>0</v>
      </c>
      <c r="D49" s="347">
        <f t="shared" si="11"/>
        <v>0</v>
      </c>
      <c r="E49" s="347">
        <f t="shared" si="11"/>
        <v>0</v>
      </c>
      <c r="F49" s="347">
        <f t="shared" si="11"/>
        <v>0</v>
      </c>
      <c r="H49" s="347">
        <f t="shared" si="9"/>
        <v>0</v>
      </c>
      <c r="I49" s="352">
        <f t="shared" si="2"/>
        <v>0</v>
      </c>
      <c r="J49" s="353">
        <f t="shared" si="3"/>
        <v>0</v>
      </c>
      <c r="K49" s="391"/>
      <c r="L49" s="389"/>
    </row>
    <row r="50" spans="1:12" outlineLevel="2" x14ac:dyDescent="0.25">
      <c r="A50" s="348" t="str">
        <f>("55300")&amp;" - "&amp;("Benefits")</f>
        <v>55300 - Benefits</v>
      </c>
      <c r="B50" s="347">
        <f t="shared" si="11"/>
        <v>0</v>
      </c>
      <c r="C50" s="347">
        <f t="shared" si="11"/>
        <v>0</v>
      </c>
      <c r="D50" s="347">
        <f t="shared" si="11"/>
        <v>0</v>
      </c>
      <c r="E50" s="347">
        <f t="shared" si="11"/>
        <v>0</v>
      </c>
      <c r="F50" s="347">
        <f t="shared" si="11"/>
        <v>0</v>
      </c>
      <c r="H50" s="347">
        <f t="shared" si="9"/>
        <v>0</v>
      </c>
      <c r="I50" s="352">
        <f t="shared" si="2"/>
        <v>0</v>
      </c>
      <c r="J50" s="353">
        <f t="shared" si="3"/>
        <v>0</v>
      </c>
      <c r="K50" s="391"/>
      <c r="L50" s="389"/>
    </row>
    <row r="51" spans="1:12" s="355" customFormat="1" outlineLevel="1" x14ac:dyDescent="0.25">
      <c r="A51" s="351" t="s">
        <v>613</v>
      </c>
      <c r="B51" s="354">
        <f>SUM(B47:B50)</f>
        <v>7564.22</v>
      </c>
      <c r="C51" s="354">
        <f>SUM(OSRRefB13_2_0x_1)</f>
        <v>8692.4</v>
      </c>
      <c r="D51" s="354">
        <f>SUM(OSRRefB13_2_0x_2)</f>
        <v>7620.81</v>
      </c>
      <c r="E51" s="354">
        <f>SUM(OSRRefB13_2_0x_3)</f>
        <v>12134.86</v>
      </c>
      <c r="F51" s="354">
        <f>SUM(OSRRefB13_2_0x_4)</f>
        <v>11558.25</v>
      </c>
      <c r="H51" s="354">
        <f t="shared" si="9"/>
        <v>47570.54</v>
      </c>
      <c r="I51" s="352">
        <f t="shared" si="2"/>
        <v>312.96407894736842</v>
      </c>
      <c r="J51" s="353">
        <f t="shared" si="3"/>
        <v>114231.88881578947</v>
      </c>
      <c r="K51" s="391"/>
      <c r="L51" s="389"/>
    </row>
    <row r="52" spans="1:12" outlineLevel="2" x14ac:dyDescent="0.25">
      <c r="A52" s="348" t="str">
        <f>("56000")&amp;" - "&amp;("Employee Expense")</f>
        <v>56000 - Employee Expense</v>
      </c>
      <c r="B52" s="347">
        <f t="shared" ref="B52:F59" si="12">0+0</f>
        <v>0</v>
      </c>
      <c r="C52" s="347">
        <f t="shared" si="12"/>
        <v>0</v>
      </c>
      <c r="D52" s="347">
        <f t="shared" si="12"/>
        <v>0</v>
      </c>
      <c r="E52" s="347">
        <f t="shared" si="12"/>
        <v>0</v>
      </c>
      <c r="F52" s="347">
        <f t="shared" si="12"/>
        <v>0</v>
      </c>
      <c r="H52" s="347">
        <f t="shared" si="9"/>
        <v>0</v>
      </c>
      <c r="I52" s="352">
        <f t="shared" si="2"/>
        <v>0</v>
      </c>
      <c r="J52" s="353">
        <f t="shared" si="3"/>
        <v>0</v>
      </c>
      <c r="K52" s="391"/>
      <c r="L52" s="389"/>
    </row>
    <row r="53" spans="1:12" outlineLevel="2" x14ac:dyDescent="0.25">
      <c r="A53" s="348" t="str">
        <f>("56100")&amp;" - "&amp;("Employee Expense")</f>
        <v>56100 - Employee Expense</v>
      </c>
      <c r="B53" s="347">
        <f t="shared" si="12"/>
        <v>0</v>
      </c>
      <c r="C53" s="347">
        <f t="shared" si="12"/>
        <v>0</v>
      </c>
      <c r="D53" s="347">
        <f t="shared" si="12"/>
        <v>0</v>
      </c>
      <c r="E53" s="347">
        <f t="shared" si="12"/>
        <v>0</v>
      </c>
      <c r="F53" s="347">
        <f t="shared" si="12"/>
        <v>0</v>
      </c>
      <c r="H53" s="347">
        <f t="shared" si="9"/>
        <v>0</v>
      </c>
      <c r="I53" s="352">
        <f t="shared" si="2"/>
        <v>0</v>
      </c>
      <c r="J53" s="353">
        <f t="shared" si="3"/>
        <v>0</v>
      </c>
      <c r="K53" s="386">
        <v>550</v>
      </c>
      <c r="L53" s="443" t="s">
        <v>2765</v>
      </c>
    </row>
    <row r="54" spans="1:12" outlineLevel="2" x14ac:dyDescent="0.25">
      <c r="A54" s="348" t="str">
        <f>("56200")&amp;" - "&amp;("Employee Expense")</f>
        <v>56200 - Employee Expense</v>
      </c>
      <c r="B54" s="347">
        <f t="shared" si="12"/>
        <v>0</v>
      </c>
      <c r="C54" s="347">
        <f t="shared" si="12"/>
        <v>0</v>
      </c>
      <c r="D54" s="347">
        <f t="shared" si="12"/>
        <v>0</v>
      </c>
      <c r="E54" s="347">
        <f t="shared" si="12"/>
        <v>0</v>
      </c>
      <c r="F54" s="347">
        <f t="shared" si="12"/>
        <v>0</v>
      </c>
      <c r="H54" s="347">
        <f t="shared" si="9"/>
        <v>0</v>
      </c>
      <c r="I54" s="352">
        <f t="shared" si="2"/>
        <v>0</v>
      </c>
      <c r="J54" s="353">
        <f t="shared" si="3"/>
        <v>0</v>
      </c>
      <c r="K54" s="386">
        <v>1500</v>
      </c>
      <c r="L54" s="443" t="s">
        <v>2767</v>
      </c>
    </row>
    <row r="55" spans="1:12" outlineLevel="2" x14ac:dyDescent="0.25">
      <c r="A55" s="348" t="str">
        <f>("56300")&amp;" - "&amp;("Employee Expense")</f>
        <v>56300 - Employee Expense</v>
      </c>
      <c r="B55" s="347">
        <f t="shared" si="12"/>
        <v>0</v>
      </c>
      <c r="C55" s="347">
        <f t="shared" si="12"/>
        <v>0</v>
      </c>
      <c r="D55" s="347">
        <f t="shared" si="12"/>
        <v>0</v>
      </c>
      <c r="E55" s="347">
        <f t="shared" si="12"/>
        <v>0</v>
      </c>
      <c r="F55" s="347">
        <f t="shared" si="12"/>
        <v>0</v>
      </c>
      <c r="H55" s="347">
        <f t="shared" si="9"/>
        <v>0</v>
      </c>
      <c r="I55" s="352">
        <f t="shared" si="2"/>
        <v>0</v>
      </c>
      <c r="J55" s="353">
        <f t="shared" si="3"/>
        <v>0</v>
      </c>
      <c r="K55" s="391"/>
      <c r="L55" s="389"/>
    </row>
    <row r="56" spans="1:12" outlineLevel="2" x14ac:dyDescent="0.25">
      <c r="A56" s="348" t="str">
        <f>("56350")&amp;" - "&amp;("")</f>
        <v xml:space="preserve">56350 - </v>
      </c>
      <c r="B56" s="347">
        <f t="shared" si="12"/>
        <v>0</v>
      </c>
      <c r="C56" s="347">
        <f t="shared" si="12"/>
        <v>0</v>
      </c>
      <c r="D56" s="347">
        <f t="shared" si="12"/>
        <v>0</v>
      </c>
      <c r="E56" s="347">
        <f t="shared" si="12"/>
        <v>0</v>
      </c>
      <c r="F56" s="347">
        <f t="shared" si="12"/>
        <v>0</v>
      </c>
      <c r="H56" s="347">
        <f t="shared" si="9"/>
        <v>0</v>
      </c>
      <c r="I56" s="352">
        <f t="shared" si="2"/>
        <v>0</v>
      </c>
      <c r="J56" s="353">
        <f t="shared" si="3"/>
        <v>0</v>
      </c>
      <c r="K56" s="391"/>
      <c r="L56" s="389"/>
    </row>
    <row r="57" spans="1:12" outlineLevel="2" x14ac:dyDescent="0.25">
      <c r="A57" s="348" t="str">
        <f>("56400")&amp;" - "&amp;("Employee Expense- Recruiting")</f>
        <v>56400 - Employee Expense- Recruiting</v>
      </c>
      <c r="B57" s="347">
        <f>387+0</f>
        <v>387</v>
      </c>
      <c r="C57" s="347">
        <f t="shared" si="12"/>
        <v>0</v>
      </c>
      <c r="D57" s="347">
        <f t="shared" si="12"/>
        <v>0</v>
      </c>
      <c r="E57" s="347">
        <f t="shared" si="12"/>
        <v>0</v>
      </c>
      <c r="F57" s="347">
        <f t="shared" si="12"/>
        <v>0</v>
      </c>
      <c r="H57" s="347">
        <f t="shared" si="9"/>
        <v>387</v>
      </c>
      <c r="I57" s="352">
        <f t="shared" si="2"/>
        <v>2.5460526315789473</v>
      </c>
      <c r="J57" s="353">
        <f t="shared" si="3"/>
        <v>929.30921052631584</v>
      </c>
      <c r="K57" s="386">
        <v>2000</v>
      </c>
      <c r="L57" s="443" t="s">
        <v>2766</v>
      </c>
    </row>
    <row r="58" spans="1:12" outlineLevel="2" x14ac:dyDescent="0.25">
      <c r="A58" s="348" t="str">
        <f>("56500")&amp;" - "&amp;("Employee Expense- Relocation")</f>
        <v>56500 - Employee Expense- Relocation</v>
      </c>
      <c r="B58" s="347">
        <f>0+0</f>
        <v>0</v>
      </c>
      <c r="C58" s="347">
        <f t="shared" si="12"/>
        <v>0</v>
      </c>
      <c r="D58" s="347">
        <f t="shared" si="12"/>
        <v>0</v>
      </c>
      <c r="E58" s="347">
        <f t="shared" si="12"/>
        <v>0</v>
      </c>
      <c r="F58" s="347">
        <f t="shared" si="12"/>
        <v>0</v>
      </c>
      <c r="H58" s="347">
        <f t="shared" si="9"/>
        <v>0</v>
      </c>
      <c r="I58" s="352">
        <f t="shared" si="2"/>
        <v>0</v>
      </c>
      <c r="J58" s="353">
        <f t="shared" si="3"/>
        <v>0</v>
      </c>
      <c r="K58" s="391"/>
      <c r="L58" s="389"/>
    </row>
    <row r="59" spans="1:12" outlineLevel="2" x14ac:dyDescent="0.25">
      <c r="A59" s="348" t="str">
        <f>("56600")&amp;" - "&amp;("")</f>
        <v xml:space="preserve">56600 - </v>
      </c>
      <c r="B59" s="347">
        <f>0+0</f>
        <v>0</v>
      </c>
      <c r="C59" s="347">
        <f t="shared" si="12"/>
        <v>0</v>
      </c>
      <c r="D59" s="347">
        <f t="shared" si="12"/>
        <v>0</v>
      </c>
      <c r="E59" s="347">
        <f t="shared" si="12"/>
        <v>0</v>
      </c>
      <c r="F59" s="347">
        <f t="shared" si="12"/>
        <v>0</v>
      </c>
      <c r="H59" s="347">
        <f t="shared" si="9"/>
        <v>0</v>
      </c>
      <c r="I59" s="352">
        <f t="shared" si="2"/>
        <v>0</v>
      </c>
      <c r="J59" s="353">
        <f t="shared" si="3"/>
        <v>0</v>
      </c>
      <c r="K59" s="391"/>
      <c r="L59" s="389"/>
    </row>
    <row r="60" spans="1:12" s="355" customFormat="1" ht="15.75" outlineLevel="1" thickBot="1" x14ac:dyDescent="0.3">
      <c r="A60" s="351" t="s">
        <v>614</v>
      </c>
      <c r="B60" s="354">
        <f>SUM(B52:B59)</f>
        <v>387</v>
      </c>
      <c r="C60" s="354">
        <f>SUM(OSRRefB13_2_1x_1)</f>
        <v>0</v>
      </c>
      <c r="D60" s="354">
        <f>SUM(OSRRefB13_2_1x_2)</f>
        <v>0</v>
      </c>
      <c r="E60" s="354">
        <f>SUM(OSRRefB13_2_1x_3)</f>
        <v>0</v>
      </c>
      <c r="F60" s="354">
        <f>SUM(OSRRefB13_2_1x_4)</f>
        <v>0</v>
      </c>
      <c r="H60" s="354">
        <f t="shared" si="9"/>
        <v>387</v>
      </c>
      <c r="I60" s="352">
        <f t="shared" si="2"/>
        <v>2.5460526315789473</v>
      </c>
      <c r="J60" s="353">
        <f t="shared" si="3"/>
        <v>929.30921052631584</v>
      </c>
      <c r="K60" s="391"/>
      <c r="L60" s="389"/>
    </row>
    <row r="61" spans="1:12" ht="15.75" outlineLevel="2" thickBot="1" x14ac:dyDescent="0.3">
      <c r="A61" s="348" t="str">
        <f>("53000")&amp;" - "&amp;("Incentive Pay- Annual Bonus")</f>
        <v>53000 - Incentive Pay- Annual Bonus</v>
      </c>
      <c r="B61" s="347">
        <f>0+0</f>
        <v>0</v>
      </c>
      <c r="C61" s="347">
        <f>0+0</f>
        <v>0</v>
      </c>
      <c r="D61" s="347">
        <f>0+0</f>
        <v>0</v>
      </c>
      <c r="E61" s="347">
        <f>0+0</f>
        <v>0</v>
      </c>
      <c r="F61" s="347">
        <f>0+0</f>
        <v>0</v>
      </c>
      <c r="H61" s="347">
        <f t="shared" si="9"/>
        <v>0</v>
      </c>
      <c r="I61" s="352">
        <f t="shared" si="2"/>
        <v>0</v>
      </c>
      <c r="J61" s="353">
        <f t="shared" si="3"/>
        <v>0</v>
      </c>
      <c r="K61" s="444" t="e">
        <f>+#REF!</f>
        <v>#REF!</v>
      </c>
      <c r="L61" s="443" t="s">
        <v>2768</v>
      </c>
    </row>
    <row r="62" spans="1:12" outlineLevel="2" x14ac:dyDescent="0.25">
      <c r="A62" s="348" t="str">
        <f>("53100")&amp;" - "&amp;("Incentive Pay- Other Bonus")</f>
        <v>53100 - Incentive Pay- Other Bonus</v>
      </c>
      <c r="B62" s="347">
        <f t="shared" ref="B62:D63" si="13">0+0</f>
        <v>0</v>
      </c>
      <c r="C62" s="347">
        <f t="shared" si="13"/>
        <v>0</v>
      </c>
      <c r="D62" s="347">
        <f t="shared" si="13"/>
        <v>0</v>
      </c>
      <c r="E62" s="347">
        <f>150+0</f>
        <v>150</v>
      </c>
      <c r="F62" s="347">
        <f>198.57+0</f>
        <v>198.57</v>
      </c>
      <c r="H62" s="347">
        <f t="shared" si="9"/>
        <v>348.57</v>
      </c>
      <c r="I62" s="352">
        <f t="shared" si="2"/>
        <v>2.2932236842105262</v>
      </c>
      <c r="J62" s="353">
        <f t="shared" si="3"/>
        <v>837.02664473684206</v>
      </c>
      <c r="K62" s="391"/>
      <c r="L62" s="389"/>
    </row>
    <row r="63" spans="1:12" outlineLevel="2" x14ac:dyDescent="0.25">
      <c r="A63" s="348" t="str">
        <f>("53200")&amp;" - "&amp;("Incentive Pay- Commissions")</f>
        <v>53200 - Incentive Pay- Commissions</v>
      </c>
      <c r="B63" s="347">
        <f t="shared" si="13"/>
        <v>0</v>
      </c>
      <c r="C63" s="347">
        <f t="shared" si="13"/>
        <v>0</v>
      </c>
      <c r="D63" s="347">
        <f t="shared" si="13"/>
        <v>0</v>
      </c>
      <c r="E63" s="347">
        <f>0+0</f>
        <v>0</v>
      </c>
      <c r="F63" s="347">
        <f>0+0</f>
        <v>0</v>
      </c>
      <c r="H63" s="347">
        <f t="shared" si="9"/>
        <v>0</v>
      </c>
      <c r="I63" s="352">
        <f t="shared" si="2"/>
        <v>0</v>
      </c>
      <c r="J63" s="353">
        <f t="shared" si="3"/>
        <v>0</v>
      </c>
      <c r="K63" s="391"/>
      <c r="L63" s="389"/>
    </row>
    <row r="64" spans="1:12" s="355" customFormat="1" outlineLevel="1" x14ac:dyDescent="0.25">
      <c r="A64" s="351" t="s">
        <v>615</v>
      </c>
      <c r="B64" s="354">
        <f>SUM(B61:B63)</f>
        <v>0</v>
      </c>
      <c r="C64" s="354">
        <f>SUM(OSRRefB13_2_2x_1)</f>
        <v>0</v>
      </c>
      <c r="D64" s="354">
        <f>SUM(OSRRefB13_2_2x_2)</f>
        <v>0</v>
      </c>
      <c r="E64" s="354">
        <f>SUM(OSRRefB13_2_2x_3)</f>
        <v>150</v>
      </c>
      <c r="F64" s="354">
        <f>SUM(OSRRefB13_2_2x_4)</f>
        <v>198.57</v>
      </c>
      <c r="H64" s="354">
        <f t="shared" si="9"/>
        <v>348.57</v>
      </c>
      <c r="I64" s="352">
        <f t="shared" si="2"/>
        <v>2.2932236842105262</v>
      </c>
      <c r="J64" s="353">
        <f t="shared" si="3"/>
        <v>837.02664473684206</v>
      </c>
      <c r="K64" s="391"/>
      <c r="L64" s="389"/>
    </row>
    <row r="65" spans="1:13" outlineLevel="2" x14ac:dyDescent="0.25">
      <c r="A65" s="348" t="str">
        <f>("54000")&amp;" - "&amp;("Payroll Taxes- FICA")</f>
        <v>54000 - Payroll Taxes- FICA</v>
      </c>
      <c r="B65" s="347">
        <f>-1724.58+0</f>
        <v>-1724.58</v>
      </c>
      <c r="C65" s="347">
        <f>0+0</f>
        <v>0</v>
      </c>
      <c r="D65" s="347">
        <f>0+0</f>
        <v>0</v>
      </c>
      <c r="E65" s="347">
        <f>0+0</f>
        <v>0</v>
      </c>
      <c r="F65" s="347">
        <f>0+0</f>
        <v>0</v>
      </c>
      <c r="H65" s="347">
        <f t="shared" si="9"/>
        <v>-1724.58</v>
      </c>
      <c r="I65" s="352">
        <f t="shared" si="2"/>
        <v>-11.345921052631578</v>
      </c>
      <c r="J65" s="353">
        <f t="shared" si="3"/>
        <v>-4141.2611842105262</v>
      </c>
      <c r="K65" s="391"/>
      <c r="L65" s="389"/>
    </row>
    <row r="66" spans="1:13" outlineLevel="2" x14ac:dyDescent="0.25">
      <c r="A66" s="348" t="str">
        <f>("54100")&amp;" - "&amp;("Payroll Taxes- FUTA")</f>
        <v>54100 - Payroll Taxes- FUTA</v>
      </c>
      <c r="B66" s="347">
        <f>969.54+0</f>
        <v>969.54</v>
      </c>
      <c r="C66" s="347">
        <f>436.12+0</f>
        <v>436.12</v>
      </c>
      <c r="D66" s="347">
        <f>317.46+0</f>
        <v>317.45999999999998</v>
      </c>
      <c r="E66" s="347">
        <f>216.17+0</f>
        <v>216.17</v>
      </c>
      <c r="F66" s="347">
        <f>170.45+0</f>
        <v>170.45</v>
      </c>
      <c r="H66" s="347">
        <f t="shared" si="9"/>
        <v>2109.7399999999998</v>
      </c>
      <c r="I66" s="352">
        <f t="shared" si="2"/>
        <v>13.879868421052629</v>
      </c>
      <c r="J66" s="353">
        <f t="shared" si="3"/>
        <v>5066.1519736842101</v>
      </c>
      <c r="K66" s="391"/>
      <c r="L66" s="389"/>
    </row>
    <row r="67" spans="1:13" outlineLevel="2" x14ac:dyDescent="0.25">
      <c r="A67" s="348" t="str">
        <f>("54200")&amp;" - "&amp;("Payroll Taxes- SUTA")</f>
        <v>54200 - Payroll Taxes- SUTA</v>
      </c>
      <c r="B67" s="347">
        <f>15880.9+0</f>
        <v>15880.9</v>
      </c>
      <c r="C67" s="347">
        <f>12282.72+0</f>
        <v>12282.72</v>
      </c>
      <c r="D67" s="347">
        <f>12690.58+0</f>
        <v>12690.58</v>
      </c>
      <c r="E67" s="347">
        <f>12329.9+0</f>
        <v>12329.9</v>
      </c>
      <c r="F67" s="347">
        <f>13068.74+0</f>
        <v>13068.74</v>
      </c>
      <c r="H67" s="347">
        <f t="shared" si="9"/>
        <v>66252.84</v>
      </c>
      <c r="I67" s="352">
        <f t="shared" si="2"/>
        <v>435.87394736842106</v>
      </c>
      <c r="J67" s="353">
        <f t="shared" si="3"/>
        <v>159093.9907894737</v>
      </c>
      <c r="K67" s="391"/>
      <c r="L67" s="389"/>
    </row>
    <row r="68" spans="1:13" outlineLevel="2" x14ac:dyDescent="0.25">
      <c r="A68" s="348" t="str">
        <f>("54300")&amp;" - "&amp;("Payroll Taxes- Local &amp; Other")</f>
        <v>54300 - Payroll Taxes- Local &amp; Other</v>
      </c>
      <c r="B68" s="347">
        <f>0+0</f>
        <v>0</v>
      </c>
      <c r="C68" s="347">
        <f>0+0</f>
        <v>0</v>
      </c>
      <c r="D68" s="347">
        <f>0+0</f>
        <v>0</v>
      </c>
      <c r="E68" s="347">
        <f>0+0</f>
        <v>0</v>
      </c>
      <c r="F68" s="347">
        <f>0+0</f>
        <v>0</v>
      </c>
      <c r="H68" s="347">
        <f t="shared" si="9"/>
        <v>0</v>
      </c>
      <c r="I68" s="352">
        <f t="shared" si="2"/>
        <v>0</v>
      </c>
      <c r="J68" s="353">
        <f t="shared" si="3"/>
        <v>0</v>
      </c>
      <c r="K68" s="391"/>
      <c r="L68" s="389"/>
    </row>
    <row r="69" spans="1:13" s="355" customFormat="1" outlineLevel="1" x14ac:dyDescent="0.25">
      <c r="A69" s="351" t="s">
        <v>283</v>
      </c>
      <c r="B69" s="354">
        <f>SUM(B65:B68)</f>
        <v>15125.86</v>
      </c>
      <c r="C69" s="354">
        <f>SUM(OSRRefB13_2_3x_1)</f>
        <v>12718.84</v>
      </c>
      <c r="D69" s="354">
        <f>SUM(OSRRefB13_2_3x_2)</f>
        <v>13008.039999999999</v>
      </c>
      <c r="E69" s="354">
        <f>SUM(OSRRefB13_2_3x_3)</f>
        <v>12546.07</v>
      </c>
      <c r="F69" s="354">
        <f>SUM(OSRRefB13_2_3x_4)</f>
        <v>13239.19</v>
      </c>
      <c r="H69" s="354">
        <f t="shared" si="9"/>
        <v>66638</v>
      </c>
      <c r="I69" s="352">
        <f t="shared" si="2"/>
        <v>438.40789473684208</v>
      </c>
      <c r="J69" s="353">
        <f t="shared" si="3"/>
        <v>160018.88157894736</v>
      </c>
      <c r="K69" s="391">
        <v>8.6999999999999994E-2</v>
      </c>
      <c r="L69" s="389">
        <f t="shared" si="10"/>
        <v>0.57974262448071501</v>
      </c>
      <c r="M69" s="390">
        <f>L46*L69</f>
        <v>8.6961393672107246</v>
      </c>
    </row>
    <row r="70" spans="1:13" s="351" customFormat="1" x14ac:dyDescent="0.25">
      <c r="A70" s="351" t="str">
        <f>"Total "&amp;TRIM(MID("2C.Benefits",4,125))</f>
        <v>Total Benefits</v>
      </c>
      <c r="B70" s="356">
        <f>+B69+B64+B60+B51</f>
        <v>23077.08</v>
      </c>
      <c r="C70" s="356">
        <f>SUM(OSRRefB14_2x_1)</f>
        <v>21411.239999999998</v>
      </c>
      <c r="D70" s="356">
        <f>SUM(OSRRefB14_2x_2)</f>
        <v>20628.849999999999</v>
      </c>
      <c r="E70" s="356">
        <f>SUM(OSRRefB14_2x_3)</f>
        <v>24830.93</v>
      </c>
      <c r="F70" s="356">
        <f>SUM(OSRRefB14_2x_4)</f>
        <v>24996.010000000002</v>
      </c>
      <c r="H70" s="356">
        <f t="shared" si="9"/>
        <v>114944.11000000002</v>
      </c>
      <c r="I70" s="352">
        <f t="shared" si="2"/>
        <v>756.21125000000006</v>
      </c>
      <c r="J70" s="353">
        <f t="shared" si="3"/>
        <v>276017.10625000001</v>
      </c>
      <c r="K70" s="392" t="e">
        <f>SUM(K47:K69)</f>
        <v>#REF!</v>
      </c>
      <c r="L70" s="389">
        <f t="shared" si="10"/>
        <v>1</v>
      </c>
    </row>
    <row r="71" spans="1:13" x14ac:dyDescent="0.25">
      <c r="I71" s="352">
        <f t="shared" si="2"/>
        <v>0</v>
      </c>
      <c r="J71" s="353">
        <f t="shared" si="3"/>
        <v>0</v>
      </c>
    </row>
    <row r="72" spans="1:13" outlineLevel="1" x14ac:dyDescent="0.25">
      <c r="A72" s="351" t="str">
        <f>TRIM(MID("2D.Travel",4,125))</f>
        <v>Travel</v>
      </c>
      <c r="I72" s="352">
        <f t="shared" si="2"/>
        <v>0</v>
      </c>
      <c r="J72" s="353">
        <f t="shared" si="3"/>
        <v>0</v>
      </c>
    </row>
    <row r="73" spans="1:13" outlineLevel="2" x14ac:dyDescent="0.25">
      <c r="A73" s="348" t="str">
        <f>("65000")&amp;" - "&amp;("Travel &amp; Other- Airfare")</f>
        <v>65000 - Travel &amp; Other- Airfare</v>
      </c>
      <c r="B73" s="347">
        <f>0+0</f>
        <v>0</v>
      </c>
      <c r="C73" s="347">
        <f>0+0</f>
        <v>0</v>
      </c>
      <c r="D73" s="347">
        <f>0+0</f>
        <v>0</v>
      </c>
      <c r="E73" s="347">
        <f>0+0</f>
        <v>0</v>
      </c>
      <c r="F73" s="347">
        <f>0+0</f>
        <v>0</v>
      </c>
      <c r="H73" s="347">
        <f t="shared" ref="H73:H85" si="14">SUM(B73:G73)</f>
        <v>0</v>
      </c>
      <c r="I73" s="352">
        <f t="shared" ref="I73:I136" si="15">H73/$H$2</f>
        <v>0</v>
      </c>
      <c r="J73" s="353">
        <f t="shared" ref="J73:J136" si="16">I73*$J$2</f>
        <v>0</v>
      </c>
    </row>
    <row r="74" spans="1:13" outlineLevel="2" x14ac:dyDescent="0.25">
      <c r="A74" s="348" t="str">
        <f>("65025")&amp;" - "&amp;("Travel &amp; Other- Lodging")</f>
        <v>65025 - Travel &amp; Other- Lodging</v>
      </c>
      <c r="B74" s="347">
        <f>596.24+0</f>
        <v>596.24</v>
      </c>
      <c r="C74" s="347">
        <f>24.84+0</f>
        <v>24.84</v>
      </c>
      <c r="D74" s="347">
        <f>1878.24+0</f>
        <v>1878.24</v>
      </c>
      <c r="E74" s="347">
        <f>3926.76+0</f>
        <v>3926.76</v>
      </c>
      <c r="F74" s="347">
        <f>2890.5+0</f>
        <v>2890.5</v>
      </c>
      <c r="H74" s="347">
        <f t="shared" si="14"/>
        <v>9316.58</v>
      </c>
      <c r="I74" s="352">
        <f t="shared" si="15"/>
        <v>61.293289473684212</v>
      </c>
      <c r="J74" s="353">
        <f t="shared" si="16"/>
        <v>22372.050657894739</v>
      </c>
      <c r="K74" s="394"/>
    </row>
    <row r="75" spans="1:13" outlineLevel="2" x14ac:dyDescent="0.25">
      <c r="A75" s="348" t="str">
        <f>("65050")&amp;" - "&amp;("Travel &amp; Other- Rental Car")</f>
        <v>65050 - Travel &amp; Other- Rental Car</v>
      </c>
      <c r="B75" s="347">
        <f>56.01+0</f>
        <v>56.01</v>
      </c>
      <c r="C75" s="347">
        <f>16.08+0</f>
        <v>16.079999999999998</v>
      </c>
      <c r="D75" s="347">
        <f t="shared" ref="D75:F76" si="17">0+0</f>
        <v>0</v>
      </c>
      <c r="E75" s="347">
        <f t="shared" si="17"/>
        <v>0</v>
      </c>
      <c r="F75" s="347">
        <f t="shared" si="17"/>
        <v>0</v>
      </c>
      <c r="H75" s="347">
        <f t="shared" si="14"/>
        <v>72.09</v>
      </c>
      <c r="I75" s="352">
        <f t="shared" si="15"/>
        <v>0.47427631578947371</v>
      </c>
      <c r="J75" s="353">
        <f t="shared" si="16"/>
        <v>173.1108552631579</v>
      </c>
      <c r="K75" s="394"/>
    </row>
    <row r="76" spans="1:13" outlineLevel="2" x14ac:dyDescent="0.25">
      <c r="A76" s="348" t="str">
        <f>("65075")&amp;" - "&amp;("Travel &amp; Other")</f>
        <v>65075 - Travel &amp; Other</v>
      </c>
      <c r="B76" s="347">
        <f>0+0</f>
        <v>0</v>
      </c>
      <c r="C76" s="347">
        <f>18.31+0</f>
        <v>18.309999999999999</v>
      </c>
      <c r="D76" s="347">
        <f t="shared" si="17"/>
        <v>0</v>
      </c>
      <c r="E76" s="347">
        <f t="shared" si="17"/>
        <v>0</v>
      </c>
      <c r="F76" s="347">
        <f t="shared" si="17"/>
        <v>0</v>
      </c>
      <c r="H76" s="347">
        <f t="shared" si="14"/>
        <v>18.309999999999999</v>
      </c>
      <c r="I76" s="352">
        <f t="shared" si="15"/>
        <v>0.12046052631578946</v>
      </c>
      <c r="J76" s="353">
        <f t="shared" si="16"/>
        <v>43.968092105263153</v>
      </c>
      <c r="K76" s="394"/>
    </row>
    <row r="77" spans="1:13" outlineLevel="2" x14ac:dyDescent="0.25">
      <c r="A77" s="348" t="str">
        <f>("65100")&amp;" - "&amp;("Travel &amp; Other- Mileage")</f>
        <v>65100 - Travel &amp; Other- Mileage</v>
      </c>
      <c r="B77" s="347">
        <f>0+0</f>
        <v>0</v>
      </c>
      <c r="C77" s="347">
        <f>0+0</f>
        <v>0</v>
      </c>
      <c r="D77" s="347">
        <f>268.32+0</f>
        <v>268.32</v>
      </c>
      <c r="E77" s="347">
        <f>0+0</f>
        <v>0</v>
      </c>
      <c r="F77" s="347">
        <f>149.24+0</f>
        <v>149.24</v>
      </c>
      <c r="H77" s="347">
        <f t="shared" si="14"/>
        <v>417.56</v>
      </c>
      <c r="I77" s="352">
        <f t="shared" si="15"/>
        <v>2.7471052631578949</v>
      </c>
      <c r="J77" s="353">
        <f t="shared" si="16"/>
        <v>1002.6934210526316</v>
      </c>
      <c r="K77" s="394"/>
    </row>
    <row r="78" spans="1:13" outlineLevel="2" x14ac:dyDescent="0.25">
      <c r="A78" s="348" t="str">
        <f>("65125")&amp;" - "&amp;("Travel &amp; Other- Auto Allowance")</f>
        <v>65125 - Travel &amp; Other- Auto Allowance</v>
      </c>
      <c r="B78" s="347">
        <f>0+0</f>
        <v>0</v>
      </c>
      <c r="C78" s="347">
        <f>0+0</f>
        <v>0</v>
      </c>
      <c r="D78" s="347">
        <f>0+0</f>
        <v>0</v>
      </c>
      <c r="E78" s="347">
        <f>0+0</f>
        <v>0</v>
      </c>
      <c r="F78" s="347">
        <f>0+0</f>
        <v>0</v>
      </c>
      <c r="H78" s="347">
        <f t="shared" si="14"/>
        <v>0</v>
      </c>
      <c r="I78" s="352">
        <f t="shared" si="15"/>
        <v>0</v>
      </c>
      <c r="J78" s="353">
        <f t="shared" si="16"/>
        <v>0</v>
      </c>
      <c r="K78" s="386"/>
      <c r="L78" s="385"/>
    </row>
    <row r="79" spans="1:13" outlineLevel="2" x14ac:dyDescent="0.25">
      <c r="A79" s="348" t="str">
        <f>("65150")&amp;" - "&amp;("Travel &amp; Other")</f>
        <v>65150 - Travel &amp; Other</v>
      </c>
      <c r="B79" s="347">
        <f>25.08+0</f>
        <v>25.08</v>
      </c>
      <c r="C79" s="347">
        <f>40+0</f>
        <v>40</v>
      </c>
      <c r="D79" s="347">
        <f>0+0</f>
        <v>0</v>
      </c>
      <c r="E79" s="347">
        <f>40+0</f>
        <v>40</v>
      </c>
      <c r="F79" s="347">
        <f>0+0</f>
        <v>0</v>
      </c>
      <c r="H79" s="347">
        <f t="shared" si="14"/>
        <v>105.08</v>
      </c>
      <c r="I79" s="352">
        <f t="shared" si="15"/>
        <v>0.69131578947368422</v>
      </c>
      <c r="J79" s="353">
        <f t="shared" si="16"/>
        <v>252.33026315789473</v>
      </c>
      <c r="K79" s="386"/>
      <c r="L79" s="385"/>
    </row>
    <row r="80" spans="1:13" outlineLevel="2" x14ac:dyDescent="0.25">
      <c r="A80" s="348" t="str">
        <f>("65175")&amp;" - "&amp;("Travel &amp; Other- Meals")</f>
        <v>65175 - Travel &amp; Other- Meals</v>
      </c>
      <c r="B80" s="347">
        <f>257.21+0</f>
        <v>257.20999999999998</v>
      </c>
      <c r="C80" s="347">
        <f>255.65+0</f>
        <v>255.65</v>
      </c>
      <c r="D80" s="347">
        <f>47.12+0</f>
        <v>47.12</v>
      </c>
      <c r="E80" s="347">
        <f>157.66+0</f>
        <v>157.66</v>
      </c>
      <c r="F80" s="347">
        <f>78.81+0</f>
        <v>78.81</v>
      </c>
      <c r="H80" s="347">
        <f t="shared" si="14"/>
        <v>796.45</v>
      </c>
      <c r="I80" s="352">
        <f t="shared" si="15"/>
        <v>5.2398026315789474</v>
      </c>
      <c r="J80" s="353">
        <f t="shared" si="16"/>
        <v>1912.5279605263158</v>
      </c>
      <c r="K80" s="386">
        <v>3000</v>
      </c>
      <c r="L80" s="385">
        <f>J80+J83</f>
        <v>3255.34375</v>
      </c>
      <c r="M80" s="348" t="s">
        <v>2716</v>
      </c>
    </row>
    <row r="81" spans="1:13" outlineLevel="2" x14ac:dyDescent="0.25">
      <c r="A81" s="348" t="str">
        <f>("65200")&amp;" - "&amp;("Travel &amp; Other- Per Diem")</f>
        <v>65200 - Travel &amp; Other- Per Diem</v>
      </c>
      <c r="B81" s="347">
        <f>0+0</f>
        <v>0</v>
      </c>
      <c r="C81" s="347">
        <f>0+0</f>
        <v>0</v>
      </c>
      <c r="D81" s="347">
        <f>0+0</f>
        <v>0</v>
      </c>
      <c r="E81" s="347">
        <f>0+0</f>
        <v>0</v>
      </c>
      <c r="F81" s="347">
        <f>0+0</f>
        <v>0</v>
      </c>
      <c r="H81" s="347">
        <f t="shared" si="14"/>
        <v>0</v>
      </c>
      <c r="I81" s="352">
        <f t="shared" si="15"/>
        <v>0</v>
      </c>
      <c r="J81" s="353">
        <f t="shared" si="16"/>
        <v>0</v>
      </c>
      <c r="K81" s="386"/>
      <c r="L81" s="385"/>
    </row>
    <row r="82" spans="1:13" outlineLevel="2" x14ac:dyDescent="0.25">
      <c r="A82" s="348" t="str">
        <f>("65225")&amp;" - "&amp;("Travel &amp; Other- Other")</f>
        <v>65225 - Travel &amp; Other- Other</v>
      </c>
      <c r="B82" s="347">
        <f>160.67+0</f>
        <v>160.66999999999999</v>
      </c>
      <c r="C82" s="347">
        <f>438.38+0</f>
        <v>438.38</v>
      </c>
      <c r="D82" s="347">
        <f>0+0</f>
        <v>0</v>
      </c>
      <c r="E82" s="347">
        <f>254.49+0</f>
        <v>254.49</v>
      </c>
      <c r="F82" s="347">
        <f>0+0</f>
        <v>0</v>
      </c>
      <c r="H82" s="347">
        <f t="shared" si="14"/>
        <v>853.54</v>
      </c>
      <c r="I82" s="352">
        <f t="shared" si="15"/>
        <v>5.6153947368421049</v>
      </c>
      <c r="J82" s="353">
        <f t="shared" si="16"/>
        <v>2049.6190789473685</v>
      </c>
      <c r="K82" s="386"/>
      <c r="L82" s="385"/>
    </row>
    <row r="83" spans="1:13" outlineLevel="2" x14ac:dyDescent="0.25">
      <c r="A83" s="348" t="str">
        <f>("65250")&amp;" - "&amp;("Travel &amp; Other")</f>
        <v>65250 - Travel &amp; Other</v>
      </c>
      <c r="B83" s="347">
        <f>0+0</f>
        <v>0</v>
      </c>
      <c r="C83" s="347">
        <f>136.05+0</f>
        <v>136.05000000000001</v>
      </c>
      <c r="D83" s="347">
        <f>0+0</f>
        <v>0</v>
      </c>
      <c r="E83" s="347">
        <f>130.36+0</f>
        <v>130.36000000000001</v>
      </c>
      <c r="F83" s="347">
        <f>292.79+0</f>
        <v>292.79000000000002</v>
      </c>
      <c r="H83" s="347">
        <f t="shared" si="14"/>
        <v>559.20000000000005</v>
      </c>
      <c r="I83" s="352">
        <f t="shared" si="15"/>
        <v>3.6789473684210527</v>
      </c>
      <c r="J83" s="353">
        <f t="shared" si="16"/>
        <v>1342.8157894736842</v>
      </c>
      <c r="K83" s="386">
        <v>10000</v>
      </c>
      <c r="L83" s="385">
        <f>J85-L80</f>
        <v>25893.77236842105</v>
      </c>
      <c r="M83" s="348" t="s">
        <v>5</v>
      </c>
    </row>
    <row r="84" spans="1:13" s="355" customFormat="1" outlineLevel="1" x14ac:dyDescent="0.25">
      <c r="A84" s="351" t="s">
        <v>616</v>
      </c>
      <c r="B84" s="354">
        <f>SUM(B73:B83)</f>
        <v>1095.21</v>
      </c>
      <c r="C84" s="354">
        <f>SUM(OSRRefB13_3_0x_1)</f>
        <v>929.31</v>
      </c>
      <c r="D84" s="354">
        <f>SUM(OSRRefB13_3_0x_2)</f>
        <v>2193.6799999999998</v>
      </c>
      <c r="E84" s="354">
        <f>SUM(OSRRefB13_3_0x_3)</f>
        <v>4509.2699999999995</v>
      </c>
      <c r="F84" s="354">
        <f>SUM(OSRRefB13_3_0x_4)</f>
        <v>3411.3399999999997</v>
      </c>
      <c r="H84" s="354">
        <f t="shared" si="14"/>
        <v>12138.81</v>
      </c>
      <c r="I84" s="352">
        <f t="shared" si="15"/>
        <v>79.860592105263152</v>
      </c>
      <c r="J84" s="353">
        <f t="shared" si="16"/>
        <v>29149.11611842105</v>
      </c>
      <c r="K84" s="386"/>
      <c r="L84" s="385"/>
    </row>
    <row r="85" spans="1:13" s="351" customFormat="1" x14ac:dyDescent="0.25">
      <c r="A85" s="351" t="str">
        <f>"Total "&amp;TRIM(MID("2D.Travel",4,125))</f>
        <v>Total Travel</v>
      </c>
      <c r="B85" s="356">
        <f>B84</f>
        <v>1095.21</v>
      </c>
      <c r="C85" s="356">
        <f>SUM(OSRRefB14_3x_1)</f>
        <v>929.31</v>
      </c>
      <c r="D85" s="356">
        <f>SUM(OSRRefB14_3x_2)</f>
        <v>2193.6799999999998</v>
      </c>
      <c r="E85" s="356">
        <f>SUM(OSRRefB14_3x_3)</f>
        <v>4509.2699999999995</v>
      </c>
      <c r="F85" s="356">
        <f>SUM(OSRRefB14_3x_4)</f>
        <v>3411.3399999999997</v>
      </c>
      <c r="H85" s="356">
        <f t="shared" si="14"/>
        <v>12138.81</v>
      </c>
      <c r="I85" s="352">
        <f t="shared" si="15"/>
        <v>79.860592105263152</v>
      </c>
      <c r="J85" s="353">
        <f t="shared" si="16"/>
        <v>29149.11611842105</v>
      </c>
      <c r="K85" s="395"/>
      <c r="L85" s="393"/>
    </row>
    <row r="86" spans="1:13" x14ac:dyDescent="0.25">
      <c r="I86" s="352">
        <f t="shared" si="15"/>
        <v>0</v>
      </c>
      <c r="J86" s="353">
        <f t="shared" si="16"/>
        <v>0</v>
      </c>
    </row>
    <row r="87" spans="1:13" outlineLevel="1" x14ac:dyDescent="0.25">
      <c r="A87" s="351" t="str">
        <f>TRIM(MID("2E.Insurance",4,125))</f>
        <v>Insurance</v>
      </c>
      <c r="I87" s="352">
        <f t="shared" si="15"/>
        <v>0</v>
      </c>
      <c r="J87" s="353">
        <f t="shared" si="16"/>
        <v>0</v>
      </c>
      <c r="K87" s="386">
        <v>32892.362392140727</v>
      </c>
      <c r="M87" s="348" t="s">
        <v>2717</v>
      </c>
    </row>
    <row r="88" spans="1:13" outlineLevel="2" x14ac:dyDescent="0.25">
      <c r="A88" s="348" t="str">
        <f>("60000")&amp;" - "&amp;("Insurance")</f>
        <v>60000 - Insurance</v>
      </c>
      <c r="B88" s="347">
        <f>1793.12+0</f>
        <v>1793.12</v>
      </c>
      <c r="C88" s="347">
        <f>1586.09+0</f>
        <v>1586.09</v>
      </c>
      <c r="D88" s="347">
        <f>1034.23+0</f>
        <v>1034.23</v>
      </c>
      <c r="E88" s="347">
        <f>1470.28+0</f>
        <v>1470.28</v>
      </c>
      <c r="F88" s="347">
        <f>1524.18+0</f>
        <v>1524.18</v>
      </c>
      <c r="H88" s="347">
        <f t="shared" ref="H88:H97" si="18">SUM(B88:G88)</f>
        <v>7407.9000000000005</v>
      </c>
      <c r="I88" s="352">
        <f t="shared" si="15"/>
        <v>48.736184210526318</v>
      </c>
      <c r="J88" s="353">
        <f t="shared" si="16"/>
        <v>17788.707236842107</v>
      </c>
      <c r="K88" s="386">
        <v>76748.845581661692</v>
      </c>
      <c r="M88" s="348" t="s">
        <v>2718</v>
      </c>
    </row>
    <row r="89" spans="1:13" outlineLevel="2" x14ac:dyDescent="0.25">
      <c r="A89" s="348" t="str">
        <f>("60100")&amp;" - "&amp;("Insurance")</f>
        <v>60100 - Insurance</v>
      </c>
      <c r="B89" s="347">
        <f>9082.43+0</f>
        <v>9082.43</v>
      </c>
      <c r="C89" s="347">
        <f>7977.08+0</f>
        <v>7977.08</v>
      </c>
      <c r="D89" s="347">
        <f>5384.16+0</f>
        <v>5384.16</v>
      </c>
      <c r="E89" s="347">
        <f>6596.8+0</f>
        <v>6596.8</v>
      </c>
      <c r="F89" s="347">
        <f>7405.92+0</f>
        <v>7405.92</v>
      </c>
      <c r="H89" s="347">
        <f t="shared" si="18"/>
        <v>36446.39</v>
      </c>
      <c r="I89" s="352">
        <f t="shared" si="15"/>
        <v>239.77888157894736</v>
      </c>
      <c r="J89" s="353">
        <f t="shared" si="16"/>
        <v>87519.291776315789</v>
      </c>
      <c r="K89" s="386">
        <v>39942.208023925676</v>
      </c>
      <c r="M89" s="348" t="s">
        <v>2719</v>
      </c>
    </row>
    <row r="90" spans="1:13" outlineLevel="2" x14ac:dyDescent="0.25">
      <c r="A90" s="348" t="str">
        <f>("60200")&amp;" - "&amp;("Insurance")</f>
        <v>60200 - Insurance</v>
      </c>
      <c r="B90" s="347">
        <f>512.24+0</f>
        <v>512.24</v>
      </c>
      <c r="C90" s="347">
        <f>469.61+0</f>
        <v>469.61</v>
      </c>
      <c r="D90" s="347">
        <f>171.34+0</f>
        <v>171.34</v>
      </c>
      <c r="E90" s="347">
        <f>442.25+0</f>
        <v>442.25</v>
      </c>
      <c r="F90" s="347">
        <f>459.43+0</f>
        <v>459.43</v>
      </c>
      <c r="H90" s="347">
        <f t="shared" si="18"/>
        <v>2054.87</v>
      </c>
      <c r="I90" s="352">
        <f t="shared" si="15"/>
        <v>13.518881578947367</v>
      </c>
      <c r="J90" s="353">
        <f t="shared" si="16"/>
        <v>4934.3917763157888</v>
      </c>
      <c r="K90" s="386">
        <v>5490.000165577535</v>
      </c>
      <c r="M90" s="348" t="s">
        <v>2720</v>
      </c>
    </row>
    <row r="91" spans="1:13" outlineLevel="2" x14ac:dyDescent="0.25">
      <c r="A91" s="348" t="str">
        <f>("60300")&amp;" - "&amp;("Insurance- Reinsurance")</f>
        <v>60300 - Insurance- Reinsurance</v>
      </c>
      <c r="B91" s="347">
        <f>0+0</f>
        <v>0</v>
      </c>
      <c r="C91" s="347">
        <f>0+0</f>
        <v>0</v>
      </c>
      <c r="D91" s="347">
        <f>0+0</f>
        <v>0</v>
      </c>
      <c r="E91" s="347">
        <f>0+0</f>
        <v>0</v>
      </c>
      <c r="F91" s="347">
        <f>0+0</f>
        <v>0</v>
      </c>
      <c r="H91" s="347">
        <f t="shared" si="18"/>
        <v>0</v>
      </c>
      <c r="I91" s="352">
        <f t="shared" si="15"/>
        <v>0</v>
      </c>
      <c r="J91" s="353">
        <f t="shared" si="16"/>
        <v>0</v>
      </c>
      <c r="K91" s="386"/>
    </row>
    <row r="92" spans="1:13" outlineLevel="2" x14ac:dyDescent="0.25">
      <c r="A92" s="348" t="str">
        <f>("60400")&amp;" - "&amp;("Insurance- Property")</f>
        <v>60400 - Insurance- Property</v>
      </c>
      <c r="B92" s="347">
        <f>1.6+0</f>
        <v>1.6</v>
      </c>
      <c r="C92" s="347">
        <f>1.6+0</f>
        <v>1.6</v>
      </c>
      <c r="D92" s="347">
        <f>1.61+0</f>
        <v>1.61</v>
      </c>
      <c r="E92" s="347">
        <f>2.43+0</f>
        <v>2.4300000000000002</v>
      </c>
      <c r="F92" s="347">
        <f>2.44+0</f>
        <v>2.44</v>
      </c>
      <c r="H92" s="347">
        <f t="shared" si="18"/>
        <v>9.68</v>
      </c>
      <c r="I92" s="352">
        <f t="shared" si="15"/>
        <v>6.3684210526315788E-2</v>
      </c>
      <c r="J92" s="353">
        <f t="shared" si="16"/>
        <v>23.244736842105262</v>
      </c>
      <c r="K92" s="386"/>
      <c r="L92" s="353">
        <f>J90+J92</f>
        <v>4957.6365131578941</v>
      </c>
    </row>
    <row r="93" spans="1:13" outlineLevel="2" x14ac:dyDescent="0.25">
      <c r="A93" s="348" t="str">
        <f>("60500")&amp;" - "&amp;("Insurance- Auto")</f>
        <v>60500 - Insurance- Auto</v>
      </c>
      <c r="B93" s="347">
        <f t="shared" ref="B93:F95" si="19">0+0</f>
        <v>0</v>
      </c>
      <c r="C93" s="347">
        <f t="shared" si="19"/>
        <v>0</v>
      </c>
      <c r="D93" s="347">
        <f t="shared" si="19"/>
        <v>0</v>
      </c>
      <c r="E93" s="347">
        <f t="shared" si="19"/>
        <v>0</v>
      </c>
      <c r="F93" s="347">
        <f t="shared" si="19"/>
        <v>0</v>
      </c>
      <c r="H93" s="347">
        <f t="shared" si="18"/>
        <v>0</v>
      </c>
      <c r="I93" s="352">
        <f t="shared" si="15"/>
        <v>0</v>
      </c>
      <c r="J93" s="353">
        <f t="shared" si="16"/>
        <v>0</v>
      </c>
      <c r="K93" s="386"/>
    </row>
    <row r="94" spans="1:13" outlineLevel="2" x14ac:dyDescent="0.25">
      <c r="A94" s="348" t="str">
        <f>("60600")&amp;" - "&amp;("Insurance- Performance Bonds")</f>
        <v>60600 - Insurance- Performance Bonds</v>
      </c>
      <c r="B94" s="347">
        <f t="shared" si="19"/>
        <v>0</v>
      </c>
      <c r="C94" s="347">
        <f t="shared" si="19"/>
        <v>0</v>
      </c>
      <c r="D94" s="347">
        <f t="shared" si="19"/>
        <v>0</v>
      </c>
      <c r="E94" s="347">
        <f t="shared" si="19"/>
        <v>0</v>
      </c>
      <c r="F94" s="347">
        <f t="shared" si="19"/>
        <v>0</v>
      </c>
      <c r="H94" s="347">
        <f t="shared" si="18"/>
        <v>0</v>
      </c>
      <c r="I94" s="352">
        <f t="shared" si="15"/>
        <v>0</v>
      </c>
      <c r="J94" s="353">
        <f t="shared" si="16"/>
        <v>0</v>
      </c>
      <c r="K94" s="386"/>
    </row>
    <row r="95" spans="1:13" outlineLevel="2" x14ac:dyDescent="0.25">
      <c r="A95" s="348" t="str">
        <f>("60700")&amp;" - "&amp;("Insurance- Other")</f>
        <v>60700 - Insurance- Other</v>
      </c>
      <c r="B95" s="347">
        <f t="shared" si="19"/>
        <v>0</v>
      </c>
      <c r="C95" s="347">
        <f t="shared" si="19"/>
        <v>0</v>
      </c>
      <c r="D95" s="347">
        <f t="shared" si="19"/>
        <v>0</v>
      </c>
      <c r="E95" s="347">
        <f t="shared" si="19"/>
        <v>0</v>
      </c>
      <c r="F95" s="347">
        <f t="shared" si="19"/>
        <v>0</v>
      </c>
      <c r="H95" s="347">
        <f t="shared" si="18"/>
        <v>0</v>
      </c>
      <c r="I95" s="352">
        <f t="shared" si="15"/>
        <v>0</v>
      </c>
      <c r="J95" s="353">
        <f t="shared" si="16"/>
        <v>0</v>
      </c>
      <c r="K95" s="386"/>
    </row>
    <row r="96" spans="1:13" s="355" customFormat="1" outlineLevel="1" x14ac:dyDescent="0.25">
      <c r="A96" s="351" t="s">
        <v>617</v>
      </c>
      <c r="B96" s="354">
        <f>SUM(B88:B95)</f>
        <v>11389.39</v>
      </c>
      <c r="C96" s="354">
        <f>SUM(OSRRefB13_4_0x_1)</f>
        <v>10034.380000000001</v>
      </c>
      <c r="D96" s="354">
        <f>SUM(OSRRefB13_4_0x_2)</f>
        <v>6591.3399999999992</v>
      </c>
      <c r="E96" s="354">
        <f>SUM(OSRRefB13_4_0x_3)</f>
        <v>8511.76</v>
      </c>
      <c r="F96" s="354">
        <f>SUM(OSRRefB13_4_0x_4)</f>
        <v>9391.9700000000012</v>
      </c>
      <c r="H96" s="354">
        <f t="shared" si="18"/>
        <v>45918.840000000004</v>
      </c>
      <c r="I96" s="352">
        <f t="shared" si="15"/>
        <v>302.09763157894741</v>
      </c>
      <c r="J96" s="353">
        <f t="shared" si="16"/>
        <v>110265.6355263158</v>
      </c>
      <c r="K96" s="386"/>
    </row>
    <row r="97" spans="1:11" s="351" customFormat="1" x14ac:dyDescent="0.25">
      <c r="A97" s="351" t="str">
        <f>"Total "&amp;TRIM(MID("2E.Insurance",4,125))</f>
        <v>Total Insurance</v>
      </c>
      <c r="B97" s="356">
        <f>B96</f>
        <v>11389.39</v>
      </c>
      <c r="C97" s="356">
        <f>SUM(OSRRefB14_4x_1)</f>
        <v>10034.380000000001</v>
      </c>
      <c r="D97" s="356">
        <f>SUM(OSRRefB14_4x_2)</f>
        <v>6591.3399999999992</v>
      </c>
      <c r="E97" s="356">
        <f>SUM(OSRRefB14_4x_3)</f>
        <v>8511.76</v>
      </c>
      <c r="F97" s="356">
        <f>SUM(OSRRefB14_4x_4)</f>
        <v>9391.9700000000012</v>
      </c>
      <c r="H97" s="356">
        <f t="shared" si="18"/>
        <v>45918.840000000004</v>
      </c>
      <c r="I97" s="352">
        <f t="shared" si="15"/>
        <v>302.09763157894741</v>
      </c>
      <c r="J97" s="353">
        <f t="shared" si="16"/>
        <v>110265.6355263158</v>
      </c>
      <c r="K97" s="393"/>
    </row>
    <row r="98" spans="1:11" x14ac:dyDescent="0.25">
      <c r="I98" s="352">
        <f t="shared" si="15"/>
        <v>0</v>
      </c>
      <c r="J98" s="353">
        <f t="shared" si="16"/>
        <v>0</v>
      </c>
      <c r="K98" s="385"/>
    </row>
    <row r="99" spans="1:11" outlineLevel="1" x14ac:dyDescent="0.25">
      <c r="A99" s="351" t="s">
        <v>618</v>
      </c>
      <c r="I99" s="352">
        <f t="shared" si="15"/>
        <v>0</v>
      </c>
      <c r="J99" s="353">
        <f t="shared" si="16"/>
        <v>0</v>
      </c>
      <c r="K99" s="385"/>
    </row>
    <row r="100" spans="1:11" x14ac:dyDescent="0.25">
      <c r="A100" s="351"/>
      <c r="I100" s="352">
        <f t="shared" si="15"/>
        <v>0</v>
      </c>
      <c r="J100" s="353">
        <f t="shared" si="16"/>
        <v>0</v>
      </c>
      <c r="K100" s="385"/>
    </row>
    <row r="101" spans="1:11" outlineLevel="1" x14ac:dyDescent="0.25">
      <c r="A101" s="351" t="str">
        <f>TRIM(MID("2F.On-Site Professional Services",4,125))</f>
        <v>On-Site Professional Services</v>
      </c>
      <c r="I101" s="352">
        <f t="shared" si="15"/>
        <v>0</v>
      </c>
      <c r="J101" s="353">
        <f t="shared" si="16"/>
        <v>0</v>
      </c>
      <c r="K101" s="386"/>
    </row>
    <row r="102" spans="1:11" outlineLevel="2" x14ac:dyDescent="0.25">
      <c r="A102" s="348" t="str">
        <f>("52000")&amp;" - "&amp;("On-Site Professional Fees-")</f>
        <v>52000 - On-Site Professional Fees-</v>
      </c>
      <c r="B102" s="347">
        <f t="shared" ref="B102:F109" si="20">0+0</f>
        <v>0</v>
      </c>
      <c r="C102" s="347">
        <f t="shared" si="20"/>
        <v>0</v>
      </c>
      <c r="D102" s="347">
        <f t="shared" si="20"/>
        <v>0</v>
      </c>
      <c r="E102" s="347">
        <f>132.5+0</f>
        <v>132.5</v>
      </c>
      <c r="F102" s="347">
        <f>132.5+0</f>
        <v>132.5</v>
      </c>
      <c r="H102" s="347">
        <f t="shared" ref="H102:H111" si="21">SUM(B102:G102)</f>
        <v>265</v>
      </c>
      <c r="I102" s="352">
        <f t="shared" si="15"/>
        <v>1.743421052631579</v>
      </c>
      <c r="J102" s="353">
        <f t="shared" si="16"/>
        <v>636.34868421052636</v>
      </c>
      <c r="K102" s="386"/>
    </row>
    <row r="103" spans="1:11" outlineLevel="2" x14ac:dyDescent="0.25">
      <c r="A103" s="348" t="str">
        <f>("52100")&amp;" - "&amp;("On-Site Professional Fees-")</f>
        <v>52100 - On-Site Professional Fees-</v>
      </c>
      <c r="B103" s="347">
        <f t="shared" si="20"/>
        <v>0</v>
      </c>
      <c r="C103" s="347">
        <f t="shared" si="20"/>
        <v>0</v>
      </c>
      <c r="D103" s="347">
        <f t="shared" si="20"/>
        <v>0</v>
      </c>
      <c r="E103" s="347">
        <f t="shared" si="20"/>
        <v>0</v>
      </c>
      <c r="F103" s="347">
        <f t="shared" si="20"/>
        <v>0</v>
      </c>
      <c r="H103" s="347">
        <f t="shared" si="21"/>
        <v>0</v>
      </c>
      <c r="I103" s="352">
        <f t="shared" si="15"/>
        <v>0</v>
      </c>
      <c r="J103" s="353">
        <f t="shared" si="16"/>
        <v>0</v>
      </c>
      <c r="K103" s="394"/>
    </row>
    <row r="104" spans="1:11" outlineLevel="2" x14ac:dyDescent="0.25">
      <c r="A104" s="348" t="str">
        <f>("52200")&amp;" - "&amp;("On-Site Professional Fees-")</f>
        <v>52200 - On-Site Professional Fees-</v>
      </c>
      <c r="B104" s="347">
        <f t="shared" si="20"/>
        <v>0</v>
      </c>
      <c r="C104" s="347">
        <f t="shared" si="20"/>
        <v>0</v>
      </c>
      <c r="D104" s="347">
        <f t="shared" si="20"/>
        <v>0</v>
      </c>
      <c r="E104" s="347">
        <f t="shared" si="20"/>
        <v>0</v>
      </c>
      <c r="F104" s="347">
        <f t="shared" si="20"/>
        <v>0</v>
      </c>
      <c r="H104" s="347">
        <f t="shared" si="21"/>
        <v>0</v>
      </c>
      <c r="I104" s="352">
        <f t="shared" si="15"/>
        <v>0</v>
      </c>
      <c r="J104" s="353">
        <f t="shared" si="16"/>
        <v>0</v>
      </c>
      <c r="K104" s="394"/>
    </row>
    <row r="105" spans="1:11" outlineLevel="2" x14ac:dyDescent="0.25">
      <c r="A105" s="348" t="str">
        <f>("52300")&amp;" - "&amp;("On-Site Professional Fees-")</f>
        <v>52300 - On-Site Professional Fees-</v>
      </c>
      <c r="B105" s="347">
        <f t="shared" si="20"/>
        <v>0</v>
      </c>
      <c r="C105" s="347">
        <f t="shared" si="20"/>
        <v>0</v>
      </c>
      <c r="D105" s="347">
        <f t="shared" si="20"/>
        <v>0</v>
      </c>
      <c r="E105" s="347">
        <f t="shared" si="20"/>
        <v>0</v>
      </c>
      <c r="F105" s="347">
        <f t="shared" si="20"/>
        <v>0</v>
      </c>
      <c r="H105" s="347">
        <f t="shared" si="21"/>
        <v>0</v>
      </c>
      <c r="I105" s="352">
        <f t="shared" si="15"/>
        <v>0</v>
      </c>
      <c r="J105" s="353">
        <f t="shared" si="16"/>
        <v>0</v>
      </c>
      <c r="K105" s="394"/>
    </row>
    <row r="106" spans="1:11" outlineLevel="2" x14ac:dyDescent="0.25">
      <c r="A106" s="348" t="str">
        <f>("52400")&amp;" - "&amp;("")</f>
        <v xml:space="preserve">52400 - </v>
      </c>
      <c r="B106" s="347">
        <f t="shared" si="20"/>
        <v>0</v>
      </c>
      <c r="C106" s="347">
        <f t="shared" si="20"/>
        <v>0</v>
      </c>
      <c r="D106" s="347">
        <f t="shared" si="20"/>
        <v>0</v>
      </c>
      <c r="E106" s="347">
        <f t="shared" si="20"/>
        <v>0</v>
      </c>
      <c r="F106" s="347">
        <f t="shared" si="20"/>
        <v>0</v>
      </c>
      <c r="H106" s="347">
        <f t="shared" si="21"/>
        <v>0</v>
      </c>
      <c r="I106" s="352">
        <f t="shared" si="15"/>
        <v>0</v>
      </c>
      <c r="J106" s="353">
        <f t="shared" si="16"/>
        <v>0</v>
      </c>
      <c r="K106" s="394"/>
    </row>
    <row r="107" spans="1:11" outlineLevel="2" x14ac:dyDescent="0.25">
      <c r="A107" s="348" t="str">
        <f>("52500")&amp;" - "&amp;("On-Site Prof Fees- PA/NP/ARNP")</f>
        <v>52500 - On-Site Prof Fees- PA/NP/ARNP</v>
      </c>
      <c r="B107" s="347">
        <f t="shared" si="20"/>
        <v>0</v>
      </c>
      <c r="C107" s="347">
        <f t="shared" si="20"/>
        <v>0</v>
      </c>
      <c r="D107" s="347">
        <f t="shared" si="20"/>
        <v>0</v>
      </c>
      <c r="E107" s="347">
        <f t="shared" si="20"/>
        <v>0</v>
      </c>
      <c r="F107" s="347">
        <f t="shared" si="20"/>
        <v>0</v>
      </c>
      <c r="H107" s="347">
        <f t="shared" si="21"/>
        <v>0</v>
      </c>
      <c r="I107" s="352">
        <f t="shared" si="15"/>
        <v>0</v>
      </c>
      <c r="J107" s="353">
        <f t="shared" si="16"/>
        <v>0</v>
      </c>
      <c r="K107" s="394"/>
    </row>
    <row r="108" spans="1:11" outlineLevel="2" x14ac:dyDescent="0.25">
      <c r="A108" s="348" t="str">
        <f>("52600")&amp;" - "&amp;("")</f>
        <v xml:space="preserve">52600 - </v>
      </c>
      <c r="B108" s="347">
        <f t="shared" si="20"/>
        <v>0</v>
      </c>
      <c r="C108" s="347">
        <f t="shared" si="20"/>
        <v>0</v>
      </c>
      <c r="D108" s="347">
        <f t="shared" si="20"/>
        <v>0</v>
      </c>
      <c r="E108" s="347">
        <f t="shared" si="20"/>
        <v>0</v>
      </c>
      <c r="F108" s="347">
        <f t="shared" si="20"/>
        <v>0</v>
      </c>
      <c r="H108" s="347">
        <f t="shared" si="21"/>
        <v>0</v>
      </c>
      <c r="I108" s="352">
        <f t="shared" si="15"/>
        <v>0</v>
      </c>
      <c r="J108" s="353">
        <f t="shared" si="16"/>
        <v>0</v>
      </c>
      <c r="K108" s="394"/>
    </row>
    <row r="109" spans="1:11" outlineLevel="2" x14ac:dyDescent="0.25">
      <c r="A109" s="348" t="str">
        <f>("52700")&amp;" - "&amp;("")</f>
        <v xml:space="preserve">52700 - </v>
      </c>
      <c r="B109" s="347">
        <f t="shared" si="20"/>
        <v>0</v>
      </c>
      <c r="C109" s="347">
        <f t="shared" si="20"/>
        <v>0</v>
      </c>
      <c r="D109" s="347">
        <f t="shared" si="20"/>
        <v>0</v>
      </c>
      <c r="E109" s="347">
        <f t="shared" si="20"/>
        <v>0</v>
      </c>
      <c r="F109" s="347">
        <f t="shared" si="20"/>
        <v>0</v>
      </c>
      <c r="H109" s="347">
        <f t="shared" si="21"/>
        <v>0</v>
      </c>
      <c r="I109" s="352">
        <f t="shared" si="15"/>
        <v>0</v>
      </c>
      <c r="J109" s="353">
        <f t="shared" si="16"/>
        <v>0</v>
      </c>
      <c r="K109" s="394"/>
    </row>
    <row r="110" spans="1:11" s="355" customFormat="1" outlineLevel="1" x14ac:dyDescent="0.25">
      <c r="A110" s="351" t="s">
        <v>619</v>
      </c>
      <c r="B110" s="354">
        <f>SUM(B102:B109)</f>
        <v>0</v>
      </c>
      <c r="C110" s="354">
        <f>SUM(OSRRefB20_0_0x_1)</f>
        <v>0</v>
      </c>
      <c r="D110" s="354">
        <f>SUM(OSRRefB20_0_0x_2)</f>
        <v>0</v>
      </c>
      <c r="E110" s="354">
        <f>SUM(OSRRefB20_0_0x_3)</f>
        <v>132.5</v>
      </c>
      <c r="F110" s="354">
        <f>SUM(OSRRefB20_0_0x_4)</f>
        <v>132.5</v>
      </c>
      <c r="H110" s="354">
        <f t="shared" si="21"/>
        <v>265</v>
      </c>
      <c r="I110" s="352">
        <f t="shared" si="15"/>
        <v>1.743421052631579</v>
      </c>
      <c r="J110" s="353">
        <f t="shared" si="16"/>
        <v>636.34868421052636</v>
      </c>
      <c r="K110" s="440"/>
    </row>
    <row r="111" spans="1:11" s="351" customFormat="1" x14ac:dyDescent="0.25">
      <c r="A111" s="351" t="str">
        <f>"Total "&amp;TRIM(MID("2F.On-Site Professional Services",4,125))</f>
        <v>Total On-Site Professional Services</v>
      </c>
      <c r="B111" s="356">
        <f>B110</f>
        <v>0</v>
      </c>
      <c r="C111" s="356">
        <f>SUM(OSRRefB21_0x_1)</f>
        <v>0</v>
      </c>
      <c r="D111" s="356">
        <f>SUM(OSRRefB21_0x_2)</f>
        <v>0</v>
      </c>
      <c r="E111" s="356">
        <f>SUM(OSRRefB21_0x_3)</f>
        <v>132.5</v>
      </c>
      <c r="F111" s="356">
        <f>SUM(OSRRefB21_0x_4)</f>
        <v>132.5</v>
      </c>
      <c r="H111" s="356">
        <f t="shared" si="21"/>
        <v>265</v>
      </c>
      <c r="I111" s="352">
        <f t="shared" si="15"/>
        <v>1.743421052631579</v>
      </c>
      <c r="J111" s="353">
        <f t="shared" si="16"/>
        <v>636.34868421052636</v>
      </c>
      <c r="K111" s="441"/>
    </row>
    <row r="112" spans="1:11" x14ac:dyDescent="0.25">
      <c r="I112" s="352">
        <f t="shared" si="15"/>
        <v>0</v>
      </c>
      <c r="J112" s="353">
        <f t="shared" si="16"/>
        <v>0</v>
      </c>
    </row>
    <row r="113" spans="1:12" outlineLevel="1" x14ac:dyDescent="0.25">
      <c r="A113" s="351" t="str">
        <f>TRIM(MID("2G.Pharmacy Supplies",4,125))</f>
        <v>Pharmacy Supplies</v>
      </c>
      <c r="I113" s="352">
        <f t="shared" si="15"/>
        <v>0</v>
      </c>
      <c r="J113" s="353">
        <f t="shared" si="16"/>
        <v>0</v>
      </c>
    </row>
    <row r="114" spans="1:12" outlineLevel="2" x14ac:dyDescent="0.25">
      <c r="A114" s="348" t="str">
        <f>("61000")&amp;" - "&amp;("Pharmacy- General")</f>
        <v>61000 - Pharmacy- General</v>
      </c>
      <c r="B114" s="347">
        <f>16366.42+0</f>
        <v>16366.42</v>
      </c>
      <c r="C114" s="347">
        <f>10014.91+0</f>
        <v>10014.91</v>
      </c>
      <c r="D114" s="347">
        <f>11919.89+0</f>
        <v>11919.89</v>
      </c>
      <c r="E114" s="347">
        <f>29942.47+0</f>
        <v>29942.47</v>
      </c>
      <c r="F114" s="347">
        <f>25821.62+0</f>
        <v>25821.62</v>
      </c>
      <c r="H114" s="347">
        <f t="shared" ref="H114:H128" si="22">SUM(B114:G114)</f>
        <v>94065.31</v>
      </c>
      <c r="I114" s="352">
        <f t="shared" si="15"/>
        <v>618.85072368421049</v>
      </c>
      <c r="J114" s="353">
        <f t="shared" si="16"/>
        <v>225880.51414473684</v>
      </c>
      <c r="K114" s="386">
        <f>140000</f>
        <v>140000</v>
      </c>
      <c r="L114" s="442" t="s">
        <v>2770</v>
      </c>
    </row>
    <row r="115" spans="1:12" outlineLevel="2" x14ac:dyDescent="0.25">
      <c r="A115" s="348" t="str">
        <f>("61050")&amp;" - "&amp;("Pharmacy- HIV")</f>
        <v>61050 - Pharmacy- HIV</v>
      </c>
      <c r="B115" s="347">
        <f>3066.48+0</f>
        <v>3066.48</v>
      </c>
      <c r="C115" s="347">
        <f>7685.43+0</f>
        <v>7685.43</v>
      </c>
      <c r="D115" s="347">
        <f>1848.99+0</f>
        <v>1848.99</v>
      </c>
      <c r="E115" s="347">
        <f>4263.07+0</f>
        <v>4263.07</v>
      </c>
      <c r="F115" s="347">
        <f>1457.88+0</f>
        <v>1457.88</v>
      </c>
      <c r="H115" s="347">
        <f t="shared" si="22"/>
        <v>18321.850000000002</v>
      </c>
      <c r="I115" s="352">
        <f t="shared" si="15"/>
        <v>120.53848684210527</v>
      </c>
      <c r="J115" s="353">
        <f t="shared" si="16"/>
        <v>43996.547697368427</v>
      </c>
      <c r="K115" s="386">
        <f>35000</f>
        <v>35000</v>
      </c>
      <c r="L115" s="442" t="s">
        <v>165</v>
      </c>
    </row>
    <row r="116" spans="1:12" outlineLevel="2" x14ac:dyDescent="0.25">
      <c r="A116" s="348" t="str">
        <f>("61100")&amp;" - "&amp;("Pharmacy- Psych")</f>
        <v>61100 - Pharmacy- Psych</v>
      </c>
      <c r="B116" s="347">
        <f t="shared" ref="B116:F117" si="23">0+0</f>
        <v>0</v>
      </c>
      <c r="C116" s="347">
        <f t="shared" si="23"/>
        <v>0</v>
      </c>
      <c r="D116" s="347">
        <f t="shared" si="23"/>
        <v>0</v>
      </c>
      <c r="E116" s="347">
        <f t="shared" si="23"/>
        <v>0</v>
      </c>
      <c r="F116" s="347">
        <f t="shared" si="23"/>
        <v>0</v>
      </c>
      <c r="H116" s="347">
        <f t="shared" si="22"/>
        <v>0</v>
      </c>
      <c r="I116" s="352">
        <f t="shared" si="15"/>
        <v>0</v>
      </c>
      <c r="J116" s="353">
        <f t="shared" si="16"/>
        <v>0</v>
      </c>
      <c r="K116" s="386">
        <v>150000</v>
      </c>
      <c r="L116" s="442" t="s">
        <v>29</v>
      </c>
    </row>
    <row r="117" spans="1:12" outlineLevel="2" x14ac:dyDescent="0.25">
      <c r="A117" s="348" t="str">
        <f>("61150")&amp;" - "&amp;("Pharmacy- Hep B")</f>
        <v>61150 - Pharmacy- Hep B</v>
      </c>
      <c r="B117" s="347">
        <f t="shared" si="23"/>
        <v>0</v>
      </c>
      <c r="C117" s="347">
        <f t="shared" si="23"/>
        <v>0</v>
      </c>
      <c r="D117" s="347">
        <f t="shared" si="23"/>
        <v>0</v>
      </c>
      <c r="E117" s="347">
        <f t="shared" si="23"/>
        <v>0</v>
      </c>
      <c r="F117" s="347">
        <f t="shared" si="23"/>
        <v>0</v>
      </c>
      <c r="H117" s="347">
        <f t="shared" si="22"/>
        <v>0</v>
      </c>
      <c r="I117" s="352">
        <f t="shared" si="15"/>
        <v>0</v>
      </c>
      <c r="J117" s="353">
        <f t="shared" si="16"/>
        <v>0</v>
      </c>
      <c r="K117" s="386">
        <f>-25000</f>
        <v>-25000</v>
      </c>
      <c r="L117" s="442" t="s">
        <v>2771</v>
      </c>
    </row>
    <row r="118" spans="1:12" outlineLevel="2" x14ac:dyDescent="0.25">
      <c r="A118" s="348" t="str">
        <f>("61200")&amp;" - "&amp;("Pharmacy- Hep C")</f>
        <v>61200 - Pharmacy- Hep C</v>
      </c>
      <c r="B118" s="347">
        <f>0+0</f>
        <v>0</v>
      </c>
      <c r="C118" s="347">
        <f>0+0</f>
        <v>0</v>
      </c>
      <c r="D118" s="347">
        <f>0+0</f>
        <v>0</v>
      </c>
      <c r="E118" s="347">
        <f>194.61+0</f>
        <v>194.61</v>
      </c>
      <c r="F118" s="347">
        <f>0+0</f>
        <v>0</v>
      </c>
      <c r="H118" s="347">
        <f t="shared" si="22"/>
        <v>194.61</v>
      </c>
      <c r="I118" s="352">
        <f t="shared" si="15"/>
        <v>1.2803289473684212</v>
      </c>
      <c r="J118" s="353">
        <f t="shared" si="16"/>
        <v>467.32006578947374</v>
      </c>
      <c r="K118" s="386"/>
    </row>
    <row r="119" spans="1:12" outlineLevel="2" x14ac:dyDescent="0.25">
      <c r="A119" s="348" t="str">
        <f>("61250")&amp;" - "&amp;("Pharmacy- Transplant")</f>
        <v>61250 - Pharmacy- Transplant</v>
      </c>
      <c r="B119" s="347">
        <f>866.92+0</f>
        <v>866.92</v>
      </c>
      <c r="C119" s="347">
        <f>1730.96+0</f>
        <v>1730.96</v>
      </c>
      <c r="D119" s="347">
        <f>84.89+0</f>
        <v>84.89</v>
      </c>
      <c r="E119" s="347">
        <f>6325.95+0</f>
        <v>6325.95</v>
      </c>
      <c r="F119" s="347">
        <f>6496.12+0</f>
        <v>6496.12</v>
      </c>
      <c r="H119" s="347">
        <f t="shared" si="22"/>
        <v>15504.84</v>
      </c>
      <c r="I119" s="352">
        <f t="shared" si="15"/>
        <v>102.00552631578948</v>
      </c>
      <c r="J119" s="353">
        <f t="shared" si="16"/>
        <v>37232.017105263163</v>
      </c>
      <c r="K119" s="386"/>
      <c r="L119" s="442" t="s">
        <v>1</v>
      </c>
    </row>
    <row r="120" spans="1:12" outlineLevel="2" x14ac:dyDescent="0.25">
      <c r="A120" s="348" t="str">
        <f>("61300")&amp;" - "&amp;("Pharmacy- Biologicals/Oncology")</f>
        <v>61300 - Pharmacy- Biologicals/Oncology</v>
      </c>
      <c r="B120" s="347">
        <f>-82.36+0</f>
        <v>-82.36</v>
      </c>
      <c r="C120" s="347">
        <f t="shared" ref="C120:F123" si="24">0+0</f>
        <v>0</v>
      </c>
      <c r="D120" s="347">
        <f t="shared" si="24"/>
        <v>0</v>
      </c>
      <c r="E120" s="347">
        <f t="shared" si="24"/>
        <v>0</v>
      </c>
      <c r="F120" s="347">
        <f t="shared" si="24"/>
        <v>0</v>
      </c>
      <c r="H120" s="347">
        <f t="shared" si="22"/>
        <v>-82.36</v>
      </c>
      <c r="I120" s="352">
        <f t="shared" si="15"/>
        <v>-0.5418421052631579</v>
      </c>
      <c r="J120" s="353">
        <f t="shared" si="16"/>
        <v>-197.77236842105265</v>
      </c>
      <c r="K120" s="386"/>
    </row>
    <row r="121" spans="1:12" outlineLevel="2" x14ac:dyDescent="0.25">
      <c r="A121" s="348" t="str">
        <f>("61350")&amp;" - "&amp;("Pharmacy- Backup")</f>
        <v>61350 - Pharmacy- Backup</v>
      </c>
      <c r="B121" s="347">
        <f>0+0</f>
        <v>0</v>
      </c>
      <c r="C121" s="347">
        <f t="shared" si="24"/>
        <v>0</v>
      </c>
      <c r="D121" s="347">
        <f t="shared" si="24"/>
        <v>0</v>
      </c>
      <c r="E121" s="347">
        <f t="shared" si="24"/>
        <v>0</v>
      </c>
      <c r="F121" s="347">
        <f t="shared" si="24"/>
        <v>0</v>
      </c>
      <c r="H121" s="347">
        <f t="shared" si="22"/>
        <v>0</v>
      </c>
      <c r="I121" s="352">
        <f t="shared" si="15"/>
        <v>0</v>
      </c>
      <c r="J121" s="353">
        <f t="shared" si="16"/>
        <v>0</v>
      </c>
      <c r="K121" s="386"/>
      <c r="L121" s="353">
        <f>SUM(K114:K117)</f>
        <v>300000</v>
      </c>
    </row>
    <row r="122" spans="1:12" outlineLevel="2" x14ac:dyDescent="0.25">
      <c r="A122" s="348" t="str">
        <f>("61400")&amp;" - "&amp;("Pharmacy- Non-Preferred")</f>
        <v>61400 - Pharmacy- Non-Preferred</v>
      </c>
      <c r="B122" s="347">
        <f>0+0</f>
        <v>0</v>
      </c>
      <c r="C122" s="347">
        <f t="shared" si="24"/>
        <v>0</v>
      </c>
      <c r="D122" s="347">
        <f t="shared" si="24"/>
        <v>0</v>
      </c>
      <c r="E122" s="347">
        <f t="shared" si="24"/>
        <v>0</v>
      </c>
      <c r="F122" s="347">
        <f t="shared" si="24"/>
        <v>0</v>
      </c>
      <c r="H122" s="347">
        <f t="shared" si="22"/>
        <v>0</v>
      </c>
      <c r="I122" s="352">
        <f t="shared" si="15"/>
        <v>0</v>
      </c>
      <c r="J122" s="353">
        <f t="shared" si="16"/>
        <v>0</v>
      </c>
      <c r="K122" s="386"/>
    </row>
    <row r="123" spans="1:12" outlineLevel="2" x14ac:dyDescent="0.25">
      <c r="A123" s="348" t="str">
        <f>("61450")&amp;" - "&amp;("Pharmacy Dialysis")</f>
        <v>61450 - Pharmacy Dialysis</v>
      </c>
      <c r="B123" s="347">
        <f>0+0</f>
        <v>0</v>
      </c>
      <c r="C123" s="347">
        <f t="shared" si="24"/>
        <v>0</v>
      </c>
      <c r="D123" s="347">
        <f t="shared" si="24"/>
        <v>0</v>
      </c>
      <c r="E123" s="347">
        <f t="shared" si="24"/>
        <v>0</v>
      </c>
      <c r="F123" s="347">
        <f t="shared" si="24"/>
        <v>0</v>
      </c>
      <c r="H123" s="347">
        <f t="shared" si="22"/>
        <v>0</v>
      </c>
      <c r="I123" s="352">
        <f t="shared" si="15"/>
        <v>0</v>
      </c>
      <c r="J123" s="353">
        <f t="shared" si="16"/>
        <v>0</v>
      </c>
      <c r="K123" s="386"/>
    </row>
    <row r="124" spans="1:12" outlineLevel="2" x14ac:dyDescent="0.25">
      <c r="A124" s="348" t="str">
        <f>("61460")&amp;" - "&amp;("Pharmacy OTC")</f>
        <v>61460 - Pharmacy OTC</v>
      </c>
      <c r="B124" s="347">
        <f>0+0</f>
        <v>0</v>
      </c>
      <c r="C124" s="347">
        <f>447.86+0</f>
        <v>447.86</v>
      </c>
      <c r="D124" s="347">
        <f>1222.44+0</f>
        <v>1222.44</v>
      </c>
      <c r="E124" s="347">
        <f>988.25+0</f>
        <v>988.25</v>
      </c>
      <c r="F124" s="347">
        <f>13523.83+0</f>
        <v>13523.83</v>
      </c>
      <c r="H124" s="347">
        <f t="shared" si="22"/>
        <v>16182.380000000001</v>
      </c>
      <c r="I124" s="352">
        <f t="shared" si="15"/>
        <v>106.46302631578948</v>
      </c>
      <c r="J124" s="353">
        <f t="shared" si="16"/>
        <v>38859.004605263159</v>
      </c>
      <c r="K124" s="386"/>
    </row>
    <row r="125" spans="1:12" outlineLevel="2" x14ac:dyDescent="0.25">
      <c r="A125" s="348" t="str">
        <f>("61475")&amp;" - "&amp;("Pharmacy Other")</f>
        <v>61475 - Pharmacy Other</v>
      </c>
      <c r="B125" s="347">
        <f>13626.85+0</f>
        <v>13626.85</v>
      </c>
      <c r="C125" s="347">
        <f>4504.41+0</f>
        <v>4504.41</v>
      </c>
      <c r="D125" s="347">
        <f>10707.31+0</f>
        <v>10707.31</v>
      </c>
      <c r="E125" s="347">
        <f>8209.25+0</f>
        <v>8209.25</v>
      </c>
      <c r="F125" s="347">
        <f>80+0</f>
        <v>80</v>
      </c>
      <c r="H125" s="347">
        <f t="shared" si="22"/>
        <v>37127.82</v>
      </c>
      <c r="I125" s="352">
        <f t="shared" si="15"/>
        <v>244.26197368421052</v>
      </c>
      <c r="J125" s="353">
        <f t="shared" si="16"/>
        <v>89155.620394736834</v>
      </c>
      <c r="K125" s="386"/>
    </row>
    <row r="126" spans="1:12" outlineLevel="2" x14ac:dyDescent="0.25">
      <c r="A126" s="348" t="str">
        <f>("61499")&amp;" - "&amp;("Pharmacy- Capped Expense")</f>
        <v>61499 - Pharmacy- Capped Expense</v>
      </c>
      <c r="B126" s="347">
        <f>0+0</f>
        <v>0</v>
      </c>
      <c r="C126" s="347">
        <f>0+0</f>
        <v>0</v>
      </c>
      <c r="D126" s="347">
        <f>0+0</f>
        <v>0</v>
      </c>
      <c r="E126" s="347">
        <f>0+0</f>
        <v>0</v>
      </c>
      <c r="F126" s="347">
        <f>0+0</f>
        <v>0</v>
      </c>
      <c r="H126" s="347">
        <f t="shared" si="22"/>
        <v>0</v>
      </c>
      <c r="I126" s="352">
        <f t="shared" si="15"/>
        <v>0</v>
      </c>
      <c r="J126" s="353">
        <f t="shared" si="16"/>
        <v>0</v>
      </c>
      <c r="K126" s="385"/>
    </row>
    <row r="127" spans="1:12" s="355" customFormat="1" outlineLevel="1" x14ac:dyDescent="0.25">
      <c r="A127" s="351" t="s">
        <v>620</v>
      </c>
      <c r="B127" s="354">
        <f>SUM(B114:B126)</f>
        <v>33844.31</v>
      </c>
      <c r="C127" s="354">
        <f>SUM(OSRRefB20_1_0x_1)</f>
        <v>24383.57</v>
      </c>
      <c r="D127" s="354">
        <f>SUM(OSRRefB20_1_0x_2)</f>
        <v>25783.519999999997</v>
      </c>
      <c r="E127" s="354">
        <f>SUM(OSRRefB20_1_0x_3)</f>
        <v>49923.6</v>
      </c>
      <c r="F127" s="354">
        <f>SUM(OSRRefB20_1_0x_4)</f>
        <v>47379.450000000004</v>
      </c>
      <c r="H127" s="354">
        <f t="shared" si="22"/>
        <v>181314.45</v>
      </c>
      <c r="I127" s="352">
        <f t="shared" si="15"/>
        <v>1192.8582236842105</v>
      </c>
      <c r="J127" s="353">
        <f t="shared" si="16"/>
        <v>435393.25164473685</v>
      </c>
      <c r="K127" s="385"/>
    </row>
    <row r="128" spans="1:12" s="351" customFormat="1" x14ac:dyDescent="0.25">
      <c r="A128" s="351" t="str">
        <f>"Total "&amp;TRIM(MID("2G.Pharmacy Supplies",4,125))</f>
        <v>Total Pharmacy Supplies</v>
      </c>
      <c r="B128" s="356">
        <f>B127</f>
        <v>33844.31</v>
      </c>
      <c r="C128" s="356">
        <f>SUM(OSRRefB21_1x_1)</f>
        <v>24383.57</v>
      </c>
      <c r="D128" s="356">
        <f>SUM(OSRRefB21_1x_2)</f>
        <v>25783.519999999997</v>
      </c>
      <c r="E128" s="356">
        <f>SUM(OSRRefB21_1x_3)</f>
        <v>49923.6</v>
      </c>
      <c r="F128" s="356">
        <f>SUM(OSRRefB21_1x_4)</f>
        <v>47379.450000000004</v>
      </c>
      <c r="H128" s="356">
        <f t="shared" si="22"/>
        <v>181314.45</v>
      </c>
      <c r="I128" s="352">
        <f t="shared" si="15"/>
        <v>1192.8582236842105</v>
      </c>
      <c r="J128" s="353">
        <f t="shared" si="16"/>
        <v>435393.25164473685</v>
      </c>
      <c r="K128" s="393"/>
    </row>
    <row r="129" spans="1:16" x14ac:dyDescent="0.25">
      <c r="I129" s="352">
        <f t="shared" si="15"/>
        <v>0</v>
      </c>
      <c r="J129" s="353">
        <f t="shared" si="16"/>
        <v>0</v>
      </c>
      <c r="K129" s="385"/>
    </row>
    <row r="130" spans="1:16" outlineLevel="1" x14ac:dyDescent="0.25">
      <c r="A130" s="351" t="str">
        <f>TRIM(MID("2H.Other On-Site",4,125))</f>
        <v>Other On-Site</v>
      </c>
      <c r="I130" s="352">
        <f t="shared" si="15"/>
        <v>0</v>
      </c>
      <c r="J130" s="353">
        <f t="shared" si="16"/>
        <v>0</v>
      </c>
      <c r="K130" s="386"/>
    </row>
    <row r="131" spans="1:16" outlineLevel="2" x14ac:dyDescent="0.25">
      <c r="A131" s="348" t="str">
        <f>("61500")&amp;" - "&amp;("Other On-Site Medical- X-Ray")</f>
        <v>61500 - Other On-Site Medical- X-Ray</v>
      </c>
      <c r="B131" s="347">
        <f>252+0</f>
        <v>252</v>
      </c>
      <c r="C131" s="347">
        <f>7233+0</f>
        <v>7233</v>
      </c>
      <c r="D131" s="347">
        <f>629+0</f>
        <v>629</v>
      </c>
      <c r="E131" s="347">
        <f>0+0</f>
        <v>0</v>
      </c>
      <c r="F131" s="347">
        <f>6413+0</f>
        <v>6413</v>
      </c>
      <c r="H131" s="347">
        <f t="shared" ref="H131:H139" si="25">SUM(B131:G131)</f>
        <v>14527</v>
      </c>
      <c r="I131" s="352">
        <f t="shared" si="15"/>
        <v>95.57236842105263</v>
      </c>
      <c r="J131" s="353">
        <f t="shared" si="16"/>
        <v>34883.914473684214</v>
      </c>
      <c r="K131" s="386">
        <v>35000</v>
      </c>
      <c r="L131" s="442" t="s">
        <v>2752</v>
      </c>
    </row>
    <row r="132" spans="1:16" outlineLevel="2" x14ac:dyDescent="0.25">
      <c r="A132" s="348" t="str">
        <f>("61550")&amp;" - "&amp;("Other On-Site Medical-")</f>
        <v>61550 - Other On-Site Medical-</v>
      </c>
      <c r="B132" s="347">
        <f>2237.25+0</f>
        <v>2237.25</v>
      </c>
      <c r="C132" s="347">
        <f>30234.06+0</f>
        <v>30234.06</v>
      </c>
      <c r="D132" s="347">
        <f>12474.97+0</f>
        <v>12474.97</v>
      </c>
      <c r="E132" s="347">
        <f>4056.32+0</f>
        <v>4056.32</v>
      </c>
      <c r="F132" s="347">
        <f>2179.24+0</f>
        <v>2179.2399999999998</v>
      </c>
      <c r="H132" s="347">
        <f t="shared" si="25"/>
        <v>51181.84</v>
      </c>
      <c r="I132" s="352">
        <f t="shared" si="15"/>
        <v>336.72263157894736</v>
      </c>
      <c r="J132" s="353">
        <f>M133</f>
        <v>44738.897142857139</v>
      </c>
      <c r="K132" s="386">
        <v>45000</v>
      </c>
      <c r="L132" s="442" t="s">
        <v>2751</v>
      </c>
      <c r="M132" s="353">
        <f>AVERAGE(N132:P132,B132,D132:F132)</f>
        <v>3728.2414285714281</v>
      </c>
      <c r="N132" s="232">
        <f>1301.03+0</f>
        <v>1301.03</v>
      </c>
      <c r="O132" s="232">
        <f>1295.38+0</f>
        <v>1295.3800000000001</v>
      </c>
      <c r="P132" s="232">
        <f>2553.5+0</f>
        <v>2553.5</v>
      </c>
    </row>
    <row r="133" spans="1:16" outlineLevel="2" x14ac:dyDescent="0.25">
      <c r="A133" s="348" t="str">
        <f>("61600")&amp;" - "&amp;("Other On-Site Medical- Dialysis")</f>
        <v>61600 - Other On-Site Medical- Dialysis</v>
      </c>
      <c r="B133" s="347">
        <f>0+0</f>
        <v>0</v>
      </c>
      <c r="C133" s="347">
        <f>0+0</f>
        <v>0</v>
      </c>
      <c r="D133" s="347">
        <f>0+0</f>
        <v>0</v>
      </c>
      <c r="E133" s="347">
        <f>0+0</f>
        <v>0</v>
      </c>
      <c r="F133" s="347">
        <f>0+0</f>
        <v>0</v>
      </c>
      <c r="H133" s="347">
        <f t="shared" si="25"/>
        <v>0</v>
      </c>
      <c r="I133" s="352">
        <f t="shared" si="15"/>
        <v>0</v>
      </c>
      <c r="J133" s="353">
        <f t="shared" si="16"/>
        <v>0</v>
      </c>
      <c r="K133" s="386"/>
      <c r="M133" s="353">
        <f>M132*12</f>
        <v>44738.897142857139</v>
      </c>
    </row>
    <row r="134" spans="1:16" outlineLevel="2" x14ac:dyDescent="0.25">
      <c r="A134" s="348" t="str">
        <f>("61650")&amp;" - "&amp;("Other On-Site Medical-")</f>
        <v>61650 - Other On-Site Medical-</v>
      </c>
      <c r="B134" s="347">
        <f>7965.1646+0</f>
        <v>7965.1646000000001</v>
      </c>
      <c r="C134" s="347">
        <f>2646.11+0</f>
        <v>2646.11</v>
      </c>
      <c r="D134" s="347">
        <f>2209.41+0</f>
        <v>2209.41</v>
      </c>
      <c r="E134" s="347">
        <f>3959.61+0</f>
        <v>3959.61</v>
      </c>
      <c r="F134" s="347">
        <f>3462.4009+0</f>
        <v>3462.4009000000001</v>
      </c>
      <c r="H134" s="347">
        <f t="shared" si="25"/>
        <v>20242.695500000002</v>
      </c>
      <c r="I134" s="352">
        <f t="shared" si="15"/>
        <v>133.17562828947371</v>
      </c>
      <c r="J134" s="353">
        <f t="shared" si="16"/>
        <v>48609.1043256579</v>
      </c>
      <c r="K134" s="386">
        <v>49500</v>
      </c>
      <c r="L134" s="442" t="s">
        <v>2748</v>
      </c>
    </row>
    <row r="135" spans="1:16" outlineLevel="2" x14ac:dyDescent="0.25">
      <c r="A135" s="348" t="str">
        <f>("61700")&amp;" - "&amp;("Other On-Site Medical-")</f>
        <v>61700 - Other On-Site Medical-</v>
      </c>
      <c r="B135" s="347">
        <f>944.09+0</f>
        <v>944.09</v>
      </c>
      <c r="C135" s="347">
        <f>212.85+0</f>
        <v>212.85</v>
      </c>
      <c r="D135" s="347">
        <f>61.59+0</f>
        <v>61.59</v>
      </c>
      <c r="E135" s="347">
        <f>0+0</f>
        <v>0</v>
      </c>
      <c r="F135" s="347">
        <f>659.4+0</f>
        <v>659.4</v>
      </c>
      <c r="H135" s="347">
        <f t="shared" si="25"/>
        <v>1877.9299999999998</v>
      </c>
      <c r="I135" s="352">
        <f t="shared" si="15"/>
        <v>12.354802631578947</v>
      </c>
      <c r="J135" s="353">
        <f t="shared" si="16"/>
        <v>4509.5029605263153</v>
      </c>
      <c r="K135" s="386">
        <v>4600</v>
      </c>
      <c r="L135" s="442" t="s">
        <v>2749</v>
      </c>
    </row>
    <row r="136" spans="1:16" outlineLevel="2" x14ac:dyDescent="0.25">
      <c r="A136" s="348" t="str">
        <f>("61750")&amp;" - "&amp;("Other On-Site Medical-")</f>
        <v>61750 - Other On-Site Medical-</v>
      </c>
      <c r="B136" s="347">
        <f>0+0</f>
        <v>0</v>
      </c>
      <c r="C136" s="347">
        <f>312.32+0</f>
        <v>312.32</v>
      </c>
      <c r="D136" s="347">
        <f>312.32+0</f>
        <v>312.32</v>
      </c>
      <c r="E136" s="347">
        <f>624.64+0</f>
        <v>624.64</v>
      </c>
      <c r="F136" s="347">
        <f>312.32+0</f>
        <v>312.32</v>
      </c>
      <c r="H136" s="347">
        <f t="shared" si="25"/>
        <v>1561.6</v>
      </c>
      <c r="I136" s="352">
        <f t="shared" si="15"/>
        <v>10.273684210526316</v>
      </c>
      <c r="J136" s="353">
        <f t="shared" si="16"/>
        <v>3749.8947368421054</v>
      </c>
      <c r="K136" s="386">
        <v>3750</v>
      </c>
      <c r="L136" s="442" t="s">
        <v>2750</v>
      </c>
    </row>
    <row r="137" spans="1:16" outlineLevel="2" x14ac:dyDescent="0.25">
      <c r="A137" s="348" t="str">
        <f>("61800")&amp;" - "&amp;("Other On-Site Medical- Other")</f>
        <v>61800 - Other On-Site Medical- Other</v>
      </c>
      <c r="B137" s="347">
        <f>0+0</f>
        <v>0</v>
      </c>
      <c r="C137" s="347">
        <f>0+0</f>
        <v>0</v>
      </c>
      <c r="D137" s="347">
        <f>0+0</f>
        <v>0</v>
      </c>
      <c r="E137" s="347">
        <f>0+0</f>
        <v>0</v>
      </c>
      <c r="F137" s="347">
        <f>0+0</f>
        <v>0</v>
      </c>
      <c r="H137" s="347">
        <f t="shared" si="25"/>
        <v>0</v>
      </c>
      <c r="I137" s="352">
        <f t="shared" ref="I137:I200" si="26">H137/$H$2</f>
        <v>0</v>
      </c>
      <c r="J137" s="353">
        <f t="shared" ref="J137:J200" si="27">I137*$J$2</f>
        <v>0</v>
      </c>
      <c r="K137" s="386"/>
    </row>
    <row r="138" spans="1:16" s="355" customFormat="1" outlineLevel="1" x14ac:dyDescent="0.25">
      <c r="A138" s="351" t="s">
        <v>621</v>
      </c>
      <c r="B138" s="354">
        <f>SUM(B131:B137)</f>
        <v>11398.5046</v>
      </c>
      <c r="C138" s="354">
        <f>SUM(OSRRefB20_2_0x_1)</f>
        <v>40638.339999999997</v>
      </c>
      <c r="D138" s="354">
        <f>SUM(OSRRefB20_2_0x_2)</f>
        <v>15687.289999999999</v>
      </c>
      <c r="E138" s="354">
        <f>SUM(OSRRefB20_2_0x_3)</f>
        <v>8640.57</v>
      </c>
      <c r="F138" s="354">
        <f>SUM(OSRRefB20_2_0x_4)</f>
        <v>13026.3609</v>
      </c>
      <c r="H138" s="354">
        <f t="shared" si="25"/>
        <v>89391.065499999997</v>
      </c>
      <c r="I138" s="352">
        <f t="shared" si="26"/>
        <v>588.09911513157897</v>
      </c>
      <c r="J138" s="353">
        <f t="shared" si="27"/>
        <v>214656.17702302634</v>
      </c>
      <c r="K138" s="386"/>
    </row>
    <row r="139" spans="1:16" s="351" customFormat="1" x14ac:dyDescent="0.25">
      <c r="A139" s="351" t="str">
        <f>"Total "&amp;TRIM(MID("2H.Other On-Site",4,125))</f>
        <v>Total Other On-Site</v>
      </c>
      <c r="B139" s="356">
        <f>B138</f>
        <v>11398.5046</v>
      </c>
      <c r="C139" s="356">
        <f>SUM(OSRRefB21_2x_1)</f>
        <v>40638.339999999997</v>
      </c>
      <c r="D139" s="356">
        <f>SUM(OSRRefB21_2x_2)</f>
        <v>15687.289999999999</v>
      </c>
      <c r="E139" s="356">
        <f>SUM(OSRRefB21_2x_3)</f>
        <v>8640.57</v>
      </c>
      <c r="F139" s="356">
        <f>SUM(OSRRefB21_2x_4)</f>
        <v>13026.3609</v>
      </c>
      <c r="H139" s="356">
        <f t="shared" si="25"/>
        <v>89391.065499999997</v>
      </c>
      <c r="I139" s="352">
        <f t="shared" si="26"/>
        <v>588.09911513157897</v>
      </c>
      <c r="J139" s="353">
        <f t="shared" si="27"/>
        <v>214656.17702302634</v>
      </c>
      <c r="K139" s="395"/>
    </row>
    <row r="140" spans="1:16" x14ac:dyDescent="0.25">
      <c r="I140" s="352">
        <f t="shared" si="26"/>
        <v>0</v>
      </c>
      <c r="J140" s="353">
        <f t="shared" si="27"/>
        <v>0</v>
      </c>
      <c r="K140" s="385"/>
    </row>
    <row r="141" spans="1:16" outlineLevel="1" x14ac:dyDescent="0.25">
      <c r="A141" s="351" t="str">
        <f>TRIM(MID("2J.Off-Site Services",4,125))</f>
        <v>Off-Site Services</v>
      </c>
      <c r="I141" s="352">
        <f t="shared" si="26"/>
        <v>0</v>
      </c>
      <c r="J141" s="353">
        <f t="shared" si="27"/>
        <v>0</v>
      </c>
      <c r="K141" s="385"/>
    </row>
    <row r="142" spans="1:16" outlineLevel="2" x14ac:dyDescent="0.25">
      <c r="A142" s="348" t="str">
        <f>("68000")&amp;" - "&amp;("Offsite Healthcare Expense-")</f>
        <v>68000 - Offsite Healthcare Expense-</v>
      </c>
      <c r="B142" s="347">
        <f>7901.55+0</f>
        <v>7901.55</v>
      </c>
      <c r="C142" s="347">
        <f>11852.32+0</f>
        <v>11852.32</v>
      </c>
      <c r="D142" s="347">
        <f>15716.51+0</f>
        <v>15716.51</v>
      </c>
      <c r="E142" s="347">
        <f>57352.76+0</f>
        <v>57352.76</v>
      </c>
      <c r="F142" s="347">
        <f>-4693.35+0</f>
        <v>-4693.3500000000004</v>
      </c>
      <c r="H142" s="347">
        <f t="shared" ref="H142:H165" si="28">SUM(B142:G142)</f>
        <v>88129.79</v>
      </c>
      <c r="I142" s="352">
        <f t="shared" si="26"/>
        <v>579.80124999999998</v>
      </c>
      <c r="J142" s="353">
        <f t="shared" si="27"/>
        <v>211627.45624999999</v>
      </c>
      <c r="K142" s="386">
        <f>+'Off-Site (2)'!Y61+'Off-Site (2)'!Y548+'Off-Site (2)'!Y591</f>
        <v>236701.11999999912</v>
      </c>
      <c r="L142" s="442" t="s">
        <v>2753</v>
      </c>
    </row>
    <row r="143" spans="1:16" outlineLevel="2" x14ac:dyDescent="0.25">
      <c r="A143" s="348" t="str">
        <f>("68025")&amp;" - "&amp;("Offsite Healthcare Expense-")</f>
        <v>68025 - Offsite Healthcare Expense-</v>
      </c>
      <c r="B143" s="347">
        <f t="shared" ref="B143:D144" si="29">0+0</f>
        <v>0</v>
      </c>
      <c r="C143" s="347">
        <f t="shared" si="29"/>
        <v>0</v>
      </c>
      <c r="D143" s="347">
        <f t="shared" si="29"/>
        <v>0</v>
      </c>
      <c r="E143" s="347">
        <f>9399+0</f>
        <v>9399</v>
      </c>
      <c r="F143" s="347">
        <f>-1796.92+0</f>
        <v>-1796.92</v>
      </c>
      <c r="H143" s="347">
        <f t="shared" si="28"/>
        <v>7602.08</v>
      </c>
      <c r="I143" s="352">
        <f t="shared" si="26"/>
        <v>50.013684210526314</v>
      </c>
      <c r="J143" s="353">
        <f t="shared" si="27"/>
        <v>18254.994736842105</v>
      </c>
      <c r="K143" s="386">
        <f>+'Off-Site (2)'!Y583</f>
        <v>207186.96999999991</v>
      </c>
      <c r="L143" s="442" t="s">
        <v>2754</v>
      </c>
    </row>
    <row r="144" spans="1:16" outlineLevel="2" x14ac:dyDescent="0.25">
      <c r="A144" s="348" t="str">
        <f>("68050")&amp;" - "&amp;("Offsite Healthcare Expense-")</f>
        <v>68050 - Offsite Healthcare Expense-</v>
      </c>
      <c r="B144" s="347">
        <f t="shared" si="29"/>
        <v>0</v>
      </c>
      <c r="C144" s="347">
        <f t="shared" si="29"/>
        <v>0</v>
      </c>
      <c r="D144" s="347">
        <f t="shared" si="29"/>
        <v>0</v>
      </c>
      <c r="E144" s="347">
        <f>0+0</f>
        <v>0</v>
      </c>
      <c r="F144" s="347">
        <f>0+0</f>
        <v>0</v>
      </c>
      <c r="H144" s="347">
        <f t="shared" si="28"/>
        <v>0</v>
      </c>
      <c r="I144" s="352">
        <f t="shared" si="26"/>
        <v>0</v>
      </c>
      <c r="J144" s="353">
        <f t="shared" si="27"/>
        <v>0</v>
      </c>
      <c r="K144" s="386">
        <f>+'Off-Site (2)'!Y665</f>
        <v>12067.780000000012</v>
      </c>
      <c r="L144" s="442" t="s">
        <v>2550</v>
      </c>
    </row>
    <row r="145" spans="1:12" outlineLevel="2" x14ac:dyDescent="0.25">
      <c r="A145" s="348" t="str">
        <f>("68075")&amp;" - "&amp;("Offsite Healthcare Expense-")</f>
        <v>68075 - Offsite Healthcare Expense-</v>
      </c>
      <c r="B145" s="347">
        <f>88212.17+0</f>
        <v>88212.17</v>
      </c>
      <c r="C145" s="347">
        <f>2159.27+0</f>
        <v>2159.27</v>
      </c>
      <c r="D145" s="347">
        <f>-103381.94+0</f>
        <v>-103381.94</v>
      </c>
      <c r="E145" s="347">
        <f>-58781.07+0</f>
        <v>-58781.07</v>
      </c>
      <c r="F145" s="347">
        <f>30283.34+0</f>
        <v>30283.34</v>
      </c>
      <c r="H145" s="347">
        <f t="shared" si="28"/>
        <v>-41508.23000000001</v>
      </c>
      <c r="I145" s="352">
        <f t="shared" si="26"/>
        <v>-273.08046052631585</v>
      </c>
      <c r="J145" s="353">
        <f t="shared" si="27"/>
        <v>-99674.368092105287</v>
      </c>
      <c r="K145" s="386">
        <f>+'Off-Site (2)'!Y712</f>
        <v>25705.879999999994</v>
      </c>
      <c r="L145" s="442" t="s">
        <v>2755</v>
      </c>
    </row>
    <row r="146" spans="1:12" outlineLevel="2" x14ac:dyDescent="0.25">
      <c r="A146" s="348" t="str">
        <f>("68100")&amp;" - "&amp;("Offsite Healthcare Expense-")</f>
        <v>68100 - Offsite Healthcare Expense-</v>
      </c>
      <c r="B146" s="347">
        <f>5411.66+0</f>
        <v>5411.66</v>
      </c>
      <c r="C146" s="347">
        <f>2164.67+0</f>
        <v>2164.67</v>
      </c>
      <c r="D146" s="347">
        <f>-2034+0</f>
        <v>-2034</v>
      </c>
      <c r="E146" s="347">
        <f>28039.45+0</f>
        <v>28039.45</v>
      </c>
      <c r="F146" s="347">
        <f>1400.55+0</f>
        <v>1400.55</v>
      </c>
      <c r="H146" s="347">
        <f t="shared" si="28"/>
        <v>34982.33</v>
      </c>
      <c r="I146" s="352">
        <f t="shared" si="26"/>
        <v>230.14690789473684</v>
      </c>
      <c r="J146" s="353">
        <f t="shared" si="27"/>
        <v>84003.621381578952</v>
      </c>
      <c r="K146" s="386">
        <f>+'Off-Site (2)'!Y724</f>
        <v>56409.78</v>
      </c>
      <c r="L146" s="442" t="s">
        <v>2756</v>
      </c>
    </row>
    <row r="147" spans="1:12" outlineLevel="2" x14ac:dyDescent="0.25">
      <c r="A147" s="348" t="str">
        <f>("68125")&amp;" - "&amp;("Offsite Healthcare Expense-")</f>
        <v>68125 - Offsite Healthcare Expense-</v>
      </c>
      <c r="B147" s="347">
        <f t="shared" ref="B147:F151" si="30">0+0</f>
        <v>0</v>
      </c>
      <c r="C147" s="347">
        <f t="shared" si="30"/>
        <v>0</v>
      </c>
      <c r="D147" s="347">
        <f t="shared" si="30"/>
        <v>0</v>
      </c>
      <c r="E147" s="347">
        <f t="shared" si="30"/>
        <v>0</v>
      </c>
      <c r="F147" s="347">
        <f t="shared" si="30"/>
        <v>0</v>
      </c>
      <c r="H147" s="347">
        <f t="shared" si="28"/>
        <v>0</v>
      </c>
      <c r="I147" s="352">
        <f t="shared" si="26"/>
        <v>0</v>
      </c>
      <c r="J147" s="353">
        <f t="shared" si="27"/>
        <v>0</v>
      </c>
      <c r="K147" s="386">
        <f>+'Off-Site (2)'!Y753</f>
        <v>19961.239999999998</v>
      </c>
      <c r="L147" s="442" t="s">
        <v>2757</v>
      </c>
    </row>
    <row r="148" spans="1:12" outlineLevel="2" x14ac:dyDescent="0.25">
      <c r="A148" s="348" t="str">
        <f>("68150")&amp;" - "&amp;("Offsite Healthcare Expense-")</f>
        <v>68150 - Offsite Healthcare Expense-</v>
      </c>
      <c r="B148" s="347">
        <f t="shared" si="30"/>
        <v>0</v>
      </c>
      <c r="C148" s="347">
        <f t="shared" si="30"/>
        <v>0</v>
      </c>
      <c r="D148" s="347">
        <f t="shared" si="30"/>
        <v>0</v>
      </c>
      <c r="E148" s="347">
        <f t="shared" si="30"/>
        <v>0</v>
      </c>
      <c r="F148" s="347">
        <f t="shared" si="30"/>
        <v>0</v>
      </c>
      <c r="H148" s="347">
        <f t="shared" si="28"/>
        <v>0</v>
      </c>
      <c r="I148" s="352">
        <f t="shared" si="26"/>
        <v>0</v>
      </c>
      <c r="J148" s="353">
        <f t="shared" si="27"/>
        <v>0</v>
      </c>
      <c r="K148" s="386"/>
    </row>
    <row r="149" spans="1:12" outlineLevel="2" x14ac:dyDescent="0.25">
      <c r="A149" s="348" t="str">
        <f>("68175")&amp;" - "&amp;("Offsite Healthcare Expense-")</f>
        <v>68175 - Offsite Healthcare Expense-</v>
      </c>
      <c r="B149" s="347">
        <f t="shared" si="30"/>
        <v>0</v>
      </c>
      <c r="C149" s="347">
        <f t="shared" si="30"/>
        <v>0</v>
      </c>
      <c r="D149" s="347">
        <f t="shared" si="30"/>
        <v>0</v>
      </c>
      <c r="E149" s="347">
        <f t="shared" si="30"/>
        <v>0</v>
      </c>
      <c r="F149" s="347">
        <f t="shared" si="30"/>
        <v>0</v>
      </c>
      <c r="H149" s="347">
        <f t="shared" si="28"/>
        <v>0</v>
      </c>
      <c r="I149" s="352">
        <f t="shared" si="26"/>
        <v>0</v>
      </c>
      <c r="J149" s="353">
        <f t="shared" si="27"/>
        <v>0</v>
      </c>
      <c r="K149" s="386"/>
    </row>
    <row r="150" spans="1:12" outlineLevel="2" x14ac:dyDescent="0.25">
      <c r="A150" s="348" t="str">
        <f>("68200")&amp;" - "&amp;("Offsite Healthcare Expense-")</f>
        <v>68200 - Offsite Healthcare Expense-</v>
      </c>
      <c r="B150" s="347">
        <f t="shared" si="30"/>
        <v>0</v>
      </c>
      <c r="C150" s="347">
        <f t="shared" si="30"/>
        <v>0</v>
      </c>
      <c r="D150" s="347">
        <f t="shared" si="30"/>
        <v>0</v>
      </c>
      <c r="E150" s="347">
        <f t="shared" si="30"/>
        <v>0</v>
      </c>
      <c r="F150" s="347">
        <f t="shared" si="30"/>
        <v>0</v>
      </c>
      <c r="H150" s="347">
        <f t="shared" si="28"/>
        <v>0</v>
      </c>
      <c r="I150" s="352">
        <f t="shared" si="26"/>
        <v>0</v>
      </c>
      <c r="J150" s="353">
        <f t="shared" si="27"/>
        <v>0</v>
      </c>
      <c r="K150" s="386"/>
    </row>
    <row r="151" spans="1:12" outlineLevel="2" x14ac:dyDescent="0.25">
      <c r="A151" s="348" t="str">
        <f>("68225")&amp;" - "&amp;("Offsite Healthcare Expense-")</f>
        <v>68225 - Offsite Healthcare Expense-</v>
      </c>
      <c r="B151" s="347">
        <f t="shared" si="30"/>
        <v>0</v>
      </c>
      <c r="C151" s="347">
        <f t="shared" si="30"/>
        <v>0</v>
      </c>
      <c r="D151" s="347">
        <f t="shared" si="30"/>
        <v>0</v>
      </c>
      <c r="E151" s="347">
        <f t="shared" si="30"/>
        <v>0</v>
      </c>
      <c r="F151" s="347">
        <f t="shared" si="30"/>
        <v>0</v>
      </c>
      <c r="H151" s="347">
        <f t="shared" si="28"/>
        <v>0</v>
      </c>
      <c r="I151" s="352">
        <f t="shared" si="26"/>
        <v>0</v>
      </c>
      <c r="J151" s="353">
        <f t="shared" si="27"/>
        <v>0</v>
      </c>
      <c r="K151" s="386"/>
    </row>
    <row r="152" spans="1:12" outlineLevel="2" x14ac:dyDescent="0.25">
      <c r="A152" s="348" t="str">
        <f>("68250")&amp;" - "&amp;("Offsite Healthcare Expense-")</f>
        <v>68250 - Offsite Healthcare Expense-</v>
      </c>
      <c r="B152" s="347">
        <f>15303.2+0</f>
        <v>15303.2</v>
      </c>
      <c r="C152" s="347">
        <f>8649.63+0</f>
        <v>8649.6299999999992</v>
      </c>
      <c r="D152" s="347">
        <f>29299.02+0</f>
        <v>29299.02</v>
      </c>
      <c r="E152" s="347">
        <f>26821.28+0</f>
        <v>26821.279999999999</v>
      </c>
      <c r="F152" s="347">
        <f>10265.02+0</f>
        <v>10265.02</v>
      </c>
      <c r="H152" s="347">
        <f t="shared" si="28"/>
        <v>90338.150000000009</v>
      </c>
      <c r="I152" s="352">
        <f t="shared" si="26"/>
        <v>594.3299342105264</v>
      </c>
      <c r="J152" s="353">
        <f t="shared" si="27"/>
        <v>216930.42598684214</v>
      </c>
      <c r="K152" s="386"/>
    </row>
    <row r="153" spans="1:12" outlineLevel="2" x14ac:dyDescent="0.25">
      <c r="A153" s="348" t="str">
        <f>("68275")&amp;" - "&amp;("Offsite Healthcare Expense-")</f>
        <v>68275 - Offsite Healthcare Expense-</v>
      </c>
      <c r="B153" s="347">
        <f>0+0</f>
        <v>0</v>
      </c>
      <c r="C153" s="347">
        <f>0+0</f>
        <v>0</v>
      </c>
      <c r="D153" s="347">
        <f>0+0</f>
        <v>0</v>
      </c>
      <c r="E153" s="347">
        <f>0+0</f>
        <v>0</v>
      </c>
      <c r="F153" s="347">
        <f>0+0</f>
        <v>0</v>
      </c>
      <c r="H153" s="347">
        <f t="shared" si="28"/>
        <v>0</v>
      </c>
      <c r="I153" s="352">
        <f t="shared" si="26"/>
        <v>0</v>
      </c>
      <c r="J153" s="353">
        <f t="shared" si="27"/>
        <v>0</v>
      </c>
      <c r="K153" s="386"/>
    </row>
    <row r="154" spans="1:12" outlineLevel="2" x14ac:dyDescent="0.25">
      <c r="A154" s="348" t="str">
        <f>("68300")&amp;" - "&amp;("Offsite Healthcare Expense-")</f>
        <v>68300 - Offsite Healthcare Expense-</v>
      </c>
      <c r="B154" s="347">
        <f t="shared" ref="B154:F163" si="31">0+0</f>
        <v>0</v>
      </c>
      <c r="C154" s="347">
        <f>7076.29+0</f>
        <v>7076.29</v>
      </c>
      <c r="D154" s="347">
        <f>14152.58+0</f>
        <v>14152.58</v>
      </c>
      <c r="E154" s="347">
        <f>-1171.38+0</f>
        <v>-1171.3800000000001</v>
      </c>
      <c r="F154" s="347">
        <f>13347.36+0</f>
        <v>13347.36</v>
      </c>
      <c r="H154" s="347">
        <f t="shared" si="28"/>
        <v>33404.85</v>
      </c>
      <c r="I154" s="352">
        <f t="shared" si="26"/>
        <v>219.76874999999998</v>
      </c>
      <c r="J154" s="353">
        <f t="shared" si="27"/>
        <v>80215.59375</v>
      </c>
      <c r="K154" s="386"/>
    </row>
    <row r="155" spans="1:12" outlineLevel="2" x14ac:dyDescent="0.25">
      <c r="A155" s="348" t="str">
        <f>("68325")&amp;" - "&amp;("Offsite Healthcare Expense-")</f>
        <v>68325 - Offsite Healthcare Expense-</v>
      </c>
      <c r="B155" s="347">
        <f t="shared" si="31"/>
        <v>0</v>
      </c>
      <c r="C155" s="347">
        <f>0+0</f>
        <v>0</v>
      </c>
      <c r="D155" s="347">
        <f>0+0</f>
        <v>0</v>
      </c>
      <c r="E155" s="347">
        <f>0+0</f>
        <v>0</v>
      </c>
      <c r="F155" s="347">
        <f>0+0</f>
        <v>0</v>
      </c>
      <c r="H155" s="347">
        <f t="shared" si="28"/>
        <v>0</v>
      </c>
      <c r="I155" s="352">
        <f t="shared" si="26"/>
        <v>0</v>
      </c>
      <c r="J155" s="353">
        <f t="shared" si="27"/>
        <v>0</v>
      </c>
      <c r="K155" s="386"/>
    </row>
    <row r="156" spans="1:12" outlineLevel="2" x14ac:dyDescent="0.25">
      <c r="A156" s="348" t="str">
        <f>("68350")&amp;" - "&amp;("Offsite Healthcare Expense-")</f>
        <v>68350 - Offsite Healthcare Expense-</v>
      </c>
      <c r="B156" s="347">
        <f t="shared" si="31"/>
        <v>0</v>
      </c>
      <c r="C156" s="347">
        <f>3274.23+0</f>
        <v>3274.23</v>
      </c>
      <c r="D156" s="347">
        <f>3735.47+0</f>
        <v>3735.47</v>
      </c>
      <c r="E156" s="347">
        <f>9089.25+0</f>
        <v>9089.25</v>
      </c>
      <c r="F156" s="347">
        <f>3392.02+0</f>
        <v>3392.02</v>
      </c>
      <c r="H156" s="347">
        <f t="shared" si="28"/>
        <v>19490.97</v>
      </c>
      <c r="I156" s="352">
        <f t="shared" si="26"/>
        <v>128.23006578947368</v>
      </c>
      <c r="J156" s="353">
        <f t="shared" si="27"/>
        <v>46803.974013157895</v>
      </c>
      <c r="K156" s="386"/>
    </row>
    <row r="157" spans="1:12" outlineLevel="2" x14ac:dyDescent="0.25">
      <c r="A157" s="348" t="str">
        <f>("68375")&amp;" - "&amp;("Offsite Healthcare Expense-")</f>
        <v>68375 - Offsite Healthcare Expense-</v>
      </c>
      <c r="B157" s="347">
        <f t="shared" si="31"/>
        <v>0</v>
      </c>
      <c r="C157" s="347">
        <f t="shared" si="31"/>
        <v>0</v>
      </c>
      <c r="D157" s="347">
        <f t="shared" si="31"/>
        <v>0</v>
      </c>
      <c r="E157" s="347">
        <f t="shared" si="31"/>
        <v>0</v>
      </c>
      <c r="F157" s="347">
        <f t="shared" si="31"/>
        <v>0</v>
      </c>
      <c r="H157" s="347">
        <f t="shared" si="28"/>
        <v>0</v>
      </c>
      <c r="I157" s="352">
        <f t="shared" si="26"/>
        <v>0</v>
      </c>
      <c r="J157" s="353">
        <f t="shared" si="27"/>
        <v>0</v>
      </c>
      <c r="K157" s="386"/>
    </row>
    <row r="158" spans="1:12" outlineLevel="2" x14ac:dyDescent="0.25">
      <c r="A158" s="348" t="str">
        <f>("68400")&amp;" - "&amp;("Offsite Healthcare Expense-")</f>
        <v>68400 - Offsite Healthcare Expense-</v>
      </c>
      <c r="B158" s="347">
        <f t="shared" si="31"/>
        <v>0</v>
      </c>
      <c r="C158" s="347">
        <f t="shared" si="31"/>
        <v>0</v>
      </c>
      <c r="D158" s="347">
        <f t="shared" si="31"/>
        <v>0</v>
      </c>
      <c r="E158" s="347">
        <f t="shared" si="31"/>
        <v>0</v>
      </c>
      <c r="F158" s="347">
        <f t="shared" si="31"/>
        <v>0</v>
      </c>
      <c r="H158" s="347">
        <f t="shared" si="28"/>
        <v>0</v>
      </c>
      <c r="I158" s="352">
        <f t="shared" si="26"/>
        <v>0</v>
      </c>
      <c r="J158" s="353">
        <f t="shared" si="27"/>
        <v>0</v>
      </c>
      <c r="K158" s="386"/>
    </row>
    <row r="159" spans="1:12" outlineLevel="2" x14ac:dyDescent="0.25">
      <c r="A159" s="348" t="str">
        <f>("68425")&amp;" - "&amp;("Offsite Healthcare Expense-")</f>
        <v>68425 - Offsite Healthcare Expense-</v>
      </c>
      <c r="B159" s="347">
        <f t="shared" si="31"/>
        <v>0</v>
      </c>
      <c r="C159" s="347">
        <f t="shared" si="31"/>
        <v>0</v>
      </c>
      <c r="D159" s="347">
        <f t="shared" si="31"/>
        <v>0</v>
      </c>
      <c r="E159" s="347">
        <f t="shared" si="31"/>
        <v>0</v>
      </c>
      <c r="F159" s="347">
        <f t="shared" si="31"/>
        <v>0</v>
      </c>
      <c r="H159" s="347">
        <f t="shared" si="28"/>
        <v>0</v>
      </c>
      <c r="I159" s="352">
        <f t="shared" si="26"/>
        <v>0</v>
      </c>
      <c r="J159" s="353">
        <f t="shared" si="27"/>
        <v>0</v>
      </c>
      <c r="K159" s="386"/>
    </row>
    <row r="160" spans="1:12" outlineLevel="2" x14ac:dyDescent="0.25">
      <c r="A160" s="348" t="str">
        <f>("68450")&amp;" - "&amp;("Offsite Healthcare Expense-")</f>
        <v>68450 - Offsite Healthcare Expense-</v>
      </c>
      <c r="B160" s="347">
        <f t="shared" si="31"/>
        <v>0</v>
      </c>
      <c r="C160" s="347">
        <f t="shared" si="31"/>
        <v>0</v>
      </c>
      <c r="D160" s="347">
        <f t="shared" si="31"/>
        <v>0</v>
      </c>
      <c r="E160" s="347">
        <f t="shared" si="31"/>
        <v>0</v>
      </c>
      <c r="F160" s="347">
        <f t="shared" si="31"/>
        <v>0</v>
      </c>
      <c r="H160" s="347">
        <f t="shared" si="28"/>
        <v>0</v>
      </c>
      <c r="I160" s="352">
        <f t="shared" si="26"/>
        <v>0</v>
      </c>
      <c r="J160" s="353">
        <f t="shared" si="27"/>
        <v>0</v>
      </c>
      <c r="K160" s="386"/>
    </row>
    <row r="161" spans="1:12" outlineLevel="2" x14ac:dyDescent="0.25">
      <c r="A161" s="348" t="str">
        <f>("68475")&amp;" - "&amp;("Offsite Healthcare Expense-")</f>
        <v>68475 - Offsite Healthcare Expense-</v>
      </c>
      <c r="B161" s="347">
        <f t="shared" si="31"/>
        <v>0</v>
      </c>
      <c r="C161" s="347">
        <f>4850+0</f>
        <v>4850</v>
      </c>
      <c r="D161" s="347">
        <f>2122.81+0</f>
        <v>2122.81</v>
      </c>
      <c r="E161" s="347">
        <f>115.06+0</f>
        <v>115.06</v>
      </c>
      <c r="F161" s="347">
        <f>2476+0</f>
        <v>2476</v>
      </c>
      <c r="H161" s="347">
        <f t="shared" si="28"/>
        <v>9563.869999999999</v>
      </c>
      <c r="I161" s="352">
        <f t="shared" si="26"/>
        <v>62.920197368421043</v>
      </c>
      <c r="J161" s="353">
        <f t="shared" si="27"/>
        <v>22965.872039473681</v>
      </c>
      <c r="K161" s="386"/>
    </row>
    <row r="162" spans="1:12" outlineLevel="2" x14ac:dyDescent="0.25">
      <c r="A162" s="348" t="str">
        <f>("68500")&amp;" - "&amp;("Offsite Healthcare Expense-")</f>
        <v>68500 - Offsite Healthcare Expense-</v>
      </c>
      <c r="B162" s="347">
        <f t="shared" si="31"/>
        <v>0</v>
      </c>
      <c r="C162" s="347">
        <f t="shared" si="31"/>
        <v>0</v>
      </c>
      <c r="D162" s="347">
        <f t="shared" si="31"/>
        <v>0</v>
      </c>
      <c r="E162" s="347">
        <f t="shared" si="31"/>
        <v>0</v>
      </c>
      <c r="F162" s="347">
        <f t="shared" si="31"/>
        <v>0</v>
      </c>
      <c r="H162" s="347">
        <f t="shared" si="28"/>
        <v>0</v>
      </c>
      <c r="I162" s="352">
        <f t="shared" si="26"/>
        <v>0</v>
      </c>
      <c r="J162" s="353">
        <f t="shared" si="27"/>
        <v>0</v>
      </c>
      <c r="K162" s="386"/>
    </row>
    <row r="163" spans="1:12" outlineLevel="2" x14ac:dyDescent="0.25">
      <c r="A163" s="348" t="str">
        <f>("68525")&amp;" - "&amp;("Offsite Healthcare Expense-")</f>
        <v>68525 - Offsite Healthcare Expense-</v>
      </c>
      <c r="B163" s="347">
        <f>-86772.66+0</f>
        <v>-86772.66</v>
      </c>
      <c r="C163" s="347">
        <f t="shared" si="31"/>
        <v>0</v>
      </c>
      <c r="D163" s="347">
        <f t="shared" si="31"/>
        <v>0</v>
      </c>
      <c r="E163" s="347">
        <f t="shared" si="31"/>
        <v>0</v>
      </c>
      <c r="F163" s="347">
        <f t="shared" si="31"/>
        <v>0</v>
      </c>
      <c r="H163" s="347">
        <f t="shared" si="28"/>
        <v>-86772.66</v>
      </c>
      <c r="I163" s="352">
        <f t="shared" si="26"/>
        <v>-570.87276315789472</v>
      </c>
      <c r="J163" s="353">
        <f t="shared" si="27"/>
        <v>-208368.55855263158</v>
      </c>
      <c r="K163" s="386"/>
    </row>
    <row r="164" spans="1:12" s="355" customFormat="1" outlineLevel="1" x14ac:dyDescent="0.25">
      <c r="A164" s="351" t="s">
        <v>622</v>
      </c>
      <c r="B164" s="354">
        <f>SUM(B142:B163)</f>
        <v>30055.919999999998</v>
      </c>
      <c r="C164" s="354">
        <f>SUM(OSRRefB20_3_0x_1)</f>
        <v>40026.410000000003</v>
      </c>
      <c r="D164" s="354">
        <f>SUM(OSRRefB20_3_0x_2)</f>
        <v>-40389.550000000003</v>
      </c>
      <c r="E164" s="354">
        <f>SUM(OSRRefB20_3_0x_3)</f>
        <v>70864.350000000006</v>
      </c>
      <c r="F164" s="354">
        <f>SUM(OSRRefB20_3_0x_4)</f>
        <v>54674.02</v>
      </c>
      <c r="H164" s="354">
        <f t="shared" si="28"/>
        <v>155231.15</v>
      </c>
      <c r="I164" s="352">
        <f t="shared" si="26"/>
        <v>1021.2575657894737</v>
      </c>
      <c r="J164" s="353">
        <f t="shared" si="27"/>
        <v>372759.01151315792</v>
      </c>
      <c r="K164" s="386"/>
    </row>
    <row r="165" spans="1:12" s="351" customFormat="1" x14ac:dyDescent="0.25">
      <c r="A165" s="351" t="str">
        <f>"Total "&amp;TRIM(MID("2J.Off-Site Services",4,125))</f>
        <v>Total Off-Site Services</v>
      </c>
      <c r="B165" s="356">
        <f>B164</f>
        <v>30055.919999999998</v>
      </c>
      <c r="C165" s="356">
        <f>SUM(OSRRefB21_3x_1)</f>
        <v>40026.410000000003</v>
      </c>
      <c r="D165" s="356">
        <f>SUM(OSRRefB21_3x_2)</f>
        <v>-40389.550000000003</v>
      </c>
      <c r="E165" s="356">
        <f>SUM(OSRRefB21_3x_3)</f>
        <v>70864.350000000006</v>
      </c>
      <c r="F165" s="356">
        <f>SUM(OSRRefB21_3x_4)</f>
        <v>54674.02</v>
      </c>
      <c r="H165" s="356">
        <f t="shared" si="28"/>
        <v>155231.15</v>
      </c>
      <c r="I165" s="352">
        <f t="shared" si="26"/>
        <v>1021.2575657894737</v>
      </c>
      <c r="J165" s="353">
        <f t="shared" si="27"/>
        <v>372759.01151315792</v>
      </c>
      <c r="K165" s="393"/>
    </row>
    <row r="166" spans="1:12" x14ac:dyDescent="0.25">
      <c r="I166" s="352">
        <f t="shared" si="26"/>
        <v>0</v>
      </c>
      <c r="J166" s="353">
        <f t="shared" si="27"/>
        <v>0</v>
      </c>
      <c r="K166" s="385"/>
    </row>
    <row r="167" spans="1:12" s="351" customFormat="1" outlineLevel="1" x14ac:dyDescent="0.25">
      <c r="A167" s="351" t="s">
        <v>623</v>
      </c>
      <c r="B167" s="349">
        <f t="shared" ref="B167" si="32">+B165+B139+B128+B111</f>
        <v>75298.734599999996</v>
      </c>
      <c r="C167" s="349">
        <f>SUM(OSRRefB22x_1)</f>
        <v>105048.32000000001</v>
      </c>
      <c r="D167" s="349">
        <f>SUM(OSRRefB22x_2)</f>
        <v>1081.2599999999948</v>
      </c>
      <c r="E167" s="349">
        <f>SUM(OSRRefB22x_3)</f>
        <v>129561.02</v>
      </c>
      <c r="F167" s="349">
        <f>SUM(OSRRefB22x_4)</f>
        <v>115212.3309</v>
      </c>
      <c r="H167" s="349">
        <f>SUM(B167:G167)</f>
        <v>426201.6655</v>
      </c>
      <c r="I167" s="352">
        <f t="shared" si="26"/>
        <v>2803.9583256578949</v>
      </c>
      <c r="J167" s="353">
        <f t="shared" si="27"/>
        <v>1023444.7888651317</v>
      </c>
      <c r="K167" s="393"/>
    </row>
    <row r="168" spans="1:12" x14ac:dyDescent="0.25">
      <c r="I168" s="352">
        <f t="shared" si="26"/>
        <v>0</v>
      </c>
      <c r="J168" s="353">
        <f t="shared" si="27"/>
        <v>0</v>
      </c>
      <c r="K168" s="385"/>
    </row>
    <row r="169" spans="1:12" outlineLevel="1" x14ac:dyDescent="0.25">
      <c r="A169" s="351" t="str">
        <f>TRIM(MID("2L.Other Expenses",4,125))</f>
        <v>Other Expenses</v>
      </c>
      <c r="I169" s="352">
        <f t="shared" si="26"/>
        <v>0</v>
      </c>
      <c r="J169" s="353">
        <f t="shared" si="27"/>
        <v>0</v>
      </c>
      <c r="K169" s="386"/>
    </row>
    <row r="170" spans="1:12" outlineLevel="2" x14ac:dyDescent="0.25">
      <c r="A170" s="348" t="str">
        <f>("66000")&amp;" - "&amp;("Administrative Expense")</f>
        <v>66000 - Administrative Expense</v>
      </c>
      <c r="B170" s="347">
        <f>1076.98+0</f>
        <v>1076.98</v>
      </c>
      <c r="C170" s="347">
        <f>1774.69+0</f>
        <v>1774.69</v>
      </c>
      <c r="D170" s="347">
        <f>318.02+0</f>
        <v>318.02</v>
      </c>
      <c r="E170" s="347">
        <f>772.13635+0</f>
        <v>772.13634999999999</v>
      </c>
      <c r="F170" s="347">
        <f>401.87+0</f>
        <v>401.87</v>
      </c>
      <c r="H170" s="347">
        <f t="shared" ref="H170:H216" si="33">SUM(B170:G170)</f>
        <v>4343.6963500000002</v>
      </c>
      <c r="I170" s="352">
        <f t="shared" si="26"/>
        <v>28.576949671052631</v>
      </c>
      <c r="J170" s="353">
        <f t="shared" si="27"/>
        <v>10430.586629934211</v>
      </c>
      <c r="K170" s="386">
        <v>10500</v>
      </c>
      <c r="L170" s="442" t="s">
        <v>2758</v>
      </c>
    </row>
    <row r="171" spans="1:12" outlineLevel="2" x14ac:dyDescent="0.25">
      <c r="A171" s="348" t="str">
        <f>("66025")&amp;" - "&amp;("Administrative Expense")</f>
        <v>66025 - Administrative Expense</v>
      </c>
      <c r="B171" s="347">
        <f>0+0</f>
        <v>0</v>
      </c>
      <c r="C171" s="347">
        <f>0+0</f>
        <v>0</v>
      </c>
      <c r="D171" s="347">
        <f>0+0</f>
        <v>0</v>
      </c>
      <c r="E171" s="347">
        <f>0+0</f>
        <v>0</v>
      </c>
      <c r="F171" s="347">
        <f>0+0</f>
        <v>0</v>
      </c>
      <c r="H171" s="347">
        <f t="shared" si="33"/>
        <v>0</v>
      </c>
      <c r="I171" s="352">
        <f t="shared" si="26"/>
        <v>0</v>
      </c>
      <c r="J171" s="353">
        <f t="shared" si="27"/>
        <v>0</v>
      </c>
      <c r="K171" s="386"/>
    </row>
    <row r="172" spans="1:12" outlineLevel="2" x14ac:dyDescent="0.25">
      <c r="A172" s="348" t="str">
        <f>("66050")&amp;" - "&amp;("Administrative Expense")</f>
        <v>66050 - Administrative Expense</v>
      </c>
      <c r="B172" s="347">
        <f t="shared" ref="B172:F185" si="34">0+0</f>
        <v>0</v>
      </c>
      <c r="C172" s="347">
        <f t="shared" si="34"/>
        <v>0</v>
      </c>
      <c r="D172" s="347">
        <f>4800+0</f>
        <v>4800</v>
      </c>
      <c r="E172" s="347">
        <f>1600+0</f>
        <v>1600</v>
      </c>
      <c r="F172" s="347">
        <f>1600+0</f>
        <v>1600</v>
      </c>
      <c r="H172" s="347">
        <f t="shared" si="33"/>
        <v>8000</v>
      </c>
      <c r="I172" s="352">
        <f t="shared" si="26"/>
        <v>52.631578947368418</v>
      </c>
      <c r="J172" s="353">
        <f t="shared" si="27"/>
        <v>19210.526315789473</v>
      </c>
      <c r="K172" s="386">
        <v>19200</v>
      </c>
      <c r="L172" s="442" t="s">
        <v>2759</v>
      </c>
    </row>
    <row r="173" spans="1:12" outlineLevel="2" x14ac:dyDescent="0.25">
      <c r="A173" s="348" t="str">
        <f>("66075")&amp;" - "&amp;("Administrative Expense- Postage")</f>
        <v>66075 - Administrative Expense- Postage</v>
      </c>
      <c r="B173" s="347">
        <f t="shared" si="34"/>
        <v>0</v>
      </c>
      <c r="C173" s="347">
        <f t="shared" si="34"/>
        <v>0</v>
      </c>
      <c r="D173" s="347">
        <f t="shared" si="34"/>
        <v>0</v>
      </c>
      <c r="E173" s="347">
        <f t="shared" si="34"/>
        <v>0</v>
      </c>
      <c r="F173" s="347">
        <f t="shared" si="34"/>
        <v>0</v>
      </c>
      <c r="H173" s="347">
        <f t="shared" si="33"/>
        <v>0</v>
      </c>
      <c r="I173" s="352">
        <f t="shared" si="26"/>
        <v>0</v>
      </c>
      <c r="J173" s="353">
        <f t="shared" si="27"/>
        <v>0</v>
      </c>
      <c r="K173" s="386"/>
    </row>
    <row r="174" spans="1:12" outlineLevel="2" x14ac:dyDescent="0.25">
      <c r="A174" s="348" t="str">
        <f>("66100")&amp;" - "&amp;("Administrative Expense")</f>
        <v>66100 - Administrative Expense</v>
      </c>
      <c r="B174" s="347">
        <f t="shared" si="34"/>
        <v>0</v>
      </c>
      <c r="C174" s="347">
        <f t="shared" si="34"/>
        <v>0</v>
      </c>
      <c r="D174" s="347">
        <f t="shared" si="34"/>
        <v>0</v>
      </c>
      <c r="E174" s="347">
        <f t="shared" si="34"/>
        <v>0</v>
      </c>
      <c r="F174" s="347">
        <f t="shared" si="34"/>
        <v>0</v>
      </c>
      <c r="H174" s="347">
        <f t="shared" si="33"/>
        <v>0</v>
      </c>
      <c r="I174" s="352">
        <f t="shared" si="26"/>
        <v>0</v>
      </c>
      <c r="J174" s="353">
        <f t="shared" si="27"/>
        <v>0</v>
      </c>
      <c r="K174" s="386"/>
    </row>
    <row r="175" spans="1:12" outlineLevel="2" x14ac:dyDescent="0.25">
      <c r="A175" s="348" t="str">
        <f>("66125")&amp;" - "&amp;("Administrative Expense- Courier")</f>
        <v>66125 - Administrative Expense- Courier</v>
      </c>
      <c r="B175" s="347">
        <f>30.66+0</f>
        <v>30.66</v>
      </c>
      <c r="C175" s="347">
        <f>34.96+0</f>
        <v>34.96</v>
      </c>
      <c r="D175" s="347">
        <f>31.16+0</f>
        <v>31.16</v>
      </c>
      <c r="E175" s="347">
        <f t="shared" si="34"/>
        <v>0</v>
      </c>
      <c r="F175" s="347">
        <f>31.04+0</f>
        <v>31.04</v>
      </c>
      <c r="H175" s="347">
        <f t="shared" si="33"/>
        <v>127.82</v>
      </c>
      <c r="I175" s="352">
        <f t="shared" si="26"/>
        <v>0.8409210526315789</v>
      </c>
      <c r="J175" s="353">
        <f t="shared" si="27"/>
        <v>306.93618421052628</v>
      </c>
      <c r="K175" s="386">
        <v>500</v>
      </c>
      <c r="L175" s="442" t="s">
        <v>2760</v>
      </c>
    </row>
    <row r="176" spans="1:12" outlineLevel="2" x14ac:dyDescent="0.25">
      <c r="A176" s="348" t="str">
        <f>("66150")&amp;" - "&amp;("Administrative Expense")</f>
        <v>66150 - Administrative Expense</v>
      </c>
      <c r="B176" s="347">
        <f t="shared" ref="B176:D185" si="35">0+0</f>
        <v>0</v>
      </c>
      <c r="C176" s="347">
        <f t="shared" si="35"/>
        <v>0</v>
      </c>
      <c r="D176" s="347">
        <f t="shared" si="35"/>
        <v>0</v>
      </c>
      <c r="E176" s="347">
        <f t="shared" si="34"/>
        <v>0</v>
      </c>
      <c r="F176" s="347">
        <f t="shared" si="34"/>
        <v>0</v>
      </c>
      <c r="H176" s="347">
        <f t="shared" si="33"/>
        <v>0</v>
      </c>
      <c r="I176" s="352">
        <f t="shared" si="26"/>
        <v>0</v>
      </c>
      <c r="J176" s="353">
        <f t="shared" si="27"/>
        <v>0</v>
      </c>
      <c r="K176" s="386"/>
    </row>
    <row r="177" spans="1:12" outlineLevel="2" x14ac:dyDescent="0.25">
      <c r="A177" s="348" t="str">
        <f>("66175")&amp;" - "&amp;("Administrative Expense")</f>
        <v>66175 - Administrative Expense</v>
      </c>
      <c r="B177" s="347">
        <f t="shared" si="35"/>
        <v>0</v>
      </c>
      <c r="C177" s="347">
        <f t="shared" si="35"/>
        <v>0</v>
      </c>
      <c r="D177" s="347">
        <f t="shared" si="35"/>
        <v>0</v>
      </c>
      <c r="E177" s="347">
        <f t="shared" si="34"/>
        <v>0</v>
      </c>
      <c r="F177" s="347">
        <f t="shared" si="34"/>
        <v>0</v>
      </c>
      <c r="H177" s="347">
        <f t="shared" si="33"/>
        <v>0</v>
      </c>
      <c r="I177" s="352">
        <f t="shared" si="26"/>
        <v>0</v>
      </c>
      <c r="J177" s="353">
        <f t="shared" si="27"/>
        <v>0</v>
      </c>
      <c r="K177" s="386"/>
    </row>
    <row r="178" spans="1:12" outlineLevel="2" x14ac:dyDescent="0.25">
      <c r="A178" s="348" t="str">
        <f>("66200")&amp;" - "&amp;("Administrative Expense- Payroll")</f>
        <v>66200 - Administrative Expense- Payroll</v>
      </c>
      <c r="B178" s="347">
        <f t="shared" si="35"/>
        <v>0</v>
      </c>
      <c r="C178" s="347">
        <f t="shared" si="35"/>
        <v>0</v>
      </c>
      <c r="D178" s="347">
        <f t="shared" si="35"/>
        <v>0</v>
      </c>
      <c r="E178" s="347">
        <f t="shared" si="34"/>
        <v>0</v>
      </c>
      <c r="F178" s="347">
        <f t="shared" si="34"/>
        <v>0</v>
      </c>
      <c r="H178" s="347">
        <f t="shared" si="33"/>
        <v>0</v>
      </c>
      <c r="I178" s="352">
        <f t="shared" si="26"/>
        <v>0</v>
      </c>
      <c r="J178" s="353">
        <f t="shared" si="27"/>
        <v>0</v>
      </c>
      <c r="K178" s="386"/>
    </row>
    <row r="179" spans="1:12" outlineLevel="2" x14ac:dyDescent="0.25">
      <c r="A179" s="348" t="str">
        <f>("66225")&amp;" - "&amp;("Administrative Expense")</f>
        <v>66225 - Administrative Expense</v>
      </c>
      <c r="B179" s="347">
        <f t="shared" si="35"/>
        <v>0</v>
      </c>
      <c r="C179" s="347">
        <f t="shared" si="35"/>
        <v>0</v>
      </c>
      <c r="D179" s="347">
        <f t="shared" si="35"/>
        <v>0</v>
      </c>
      <c r="E179" s="347">
        <f t="shared" si="34"/>
        <v>0</v>
      </c>
      <c r="F179" s="347">
        <f t="shared" si="34"/>
        <v>0</v>
      </c>
      <c r="H179" s="347">
        <f t="shared" si="33"/>
        <v>0</v>
      </c>
      <c r="I179" s="352">
        <f t="shared" si="26"/>
        <v>0</v>
      </c>
      <c r="J179" s="353">
        <f t="shared" si="27"/>
        <v>0</v>
      </c>
      <c r="K179" s="385"/>
    </row>
    <row r="180" spans="1:12" outlineLevel="2" x14ac:dyDescent="0.25">
      <c r="A180" s="348" t="str">
        <f>("66250")&amp;" - "&amp;("Administrative Expense")</f>
        <v>66250 - Administrative Expense</v>
      </c>
      <c r="B180" s="347">
        <f t="shared" si="35"/>
        <v>0</v>
      </c>
      <c r="C180" s="347">
        <f t="shared" si="35"/>
        <v>0</v>
      </c>
      <c r="D180" s="347">
        <f t="shared" si="35"/>
        <v>0</v>
      </c>
      <c r="E180" s="347">
        <f t="shared" si="34"/>
        <v>0</v>
      </c>
      <c r="F180" s="347">
        <f t="shared" si="34"/>
        <v>0</v>
      </c>
      <c r="H180" s="347">
        <f t="shared" si="33"/>
        <v>0</v>
      </c>
      <c r="I180" s="352">
        <f t="shared" si="26"/>
        <v>0</v>
      </c>
      <c r="J180" s="353">
        <f t="shared" si="27"/>
        <v>0</v>
      </c>
      <c r="K180" s="385"/>
    </row>
    <row r="181" spans="1:12" outlineLevel="2" x14ac:dyDescent="0.25">
      <c r="A181" s="348" t="str">
        <f>("66275")&amp;" - "&amp;("Administrative Expense")</f>
        <v>66275 - Administrative Expense</v>
      </c>
      <c r="B181" s="347">
        <f t="shared" si="35"/>
        <v>0</v>
      </c>
      <c r="C181" s="347">
        <f t="shared" si="35"/>
        <v>0</v>
      </c>
      <c r="D181" s="347">
        <f t="shared" si="35"/>
        <v>0</v>
      </c>
      <c r="E181" s="347">
        <f t="shared" si="34"/>
        <v>0</v>
      </c>
      <c r="F181" s="347">
        <f t="shared" si="34"/>
        <v>0</v>
      </c>
      <c r="H181" s="347">
        <f t="shared" si="33"/>
        <v>0</v>
      </c>
      <c r="I181" s="352">
        <f t="shared" si="26"/>
        <v>0</v>
      </c>
      <c r="J181" s="353">
        <f t="shared" si="27"/>
        <v>0</v>
      </c>
      <c r="K181" s="385"/>
    </row>
    <row r="182" spans="1:12" outlineLevel="2" x14ac:dyDescent="0.25">
      <c r="A182" s="348" t="str">
        <f>("66300")&amp;" - "&amp;("Administrative Expense")</f>
        <v>66300 - Administrative Expense</v>
      </c>
      <c r="B182" s="347">
        <f t="shared" si="35"/>
        <v>0</v>
      </c>
      <c r="C182" s="347">
        <f t="shared" si="35"/>
        <v>0</v>
      </c>
      <c r="D182" s="347">
        <f t="shared" si="35"/>
        <v>0</v>
      </c>
      <c r="E182" s="347">
        <f t="shared" si="34"/>
        <v>0</v>
      </c>
      <c r="F182" s="347">
        <f t="shared" si="34"/>
        <v>0</v>
      </c>
      <c r="H182" s="347">
        <f t="shared" si="33"/>
        <v>0</v>
      </c>
      <c r="I182" s="352">
        <f t="shared" si="26"/>
        <v>0</v>
      </c>
      <c r="J182" s="353">
        <f t="shared" si="27"/>
        <v>0</v>
      </c>
      <c r="K182" s="385"/>
    </row>
    <row r="183" spans="1:12" outlineLevel="2" x14ac:dyDescent="0.25">
      <c r="A183" s="348" t="str">
        <f>("66325")&amp;" - "&amp;("Administrative Expense")</f>
        <v>66325 - Administrative Expense</v>
      </c>
      <c r="B183" s="347">
        <f t="shared" si="35"/>
        <v>0</v>
      </c>
      <c r="C183" s="347">
        <f t="shared" si="35"/>
        <v>0</v>
      </c>
      <c r="D183" s="347">
        <f t="shared" si="35"/>
        <v>0</v>
      </c>
      <c r="E183" s="347">
        <f t="shared" si="34"/>
        <v>0</v>
      </c>
      <c r="F183" s="347">
        <f t="shared" si="34"/>
        <v>0</v>
      </c>
      <c r="H183" s="347">
        <f t="shared" si="33"/>
        <v>0</v>
      </c>
      <c r="I183" s="352">
        <f t="shared" si="26"/>
        <v>0</v>
      </c>
      <c r="J183" s="353">
        <f t="shared" si="27"/>
        <v>0</v>
      </c>
      <c r="K183" s="385"/>
    </row>
    <row r="184" spans="1:12" outlineLevel="2" x14ac:dyDescent="0.25">
      <c r="A184" s="348" t="str">
        <f>("66350")&amp;" - "&amp;("Administrative Expense")</f>
        <v>66350 - Administrative Expense</v>
      </c>
      <c r="B184" s="347">
        <f t="shared" si="35"/>
        <v>0</v>
      </c>
      <c r="C184" s="347">
        <f t="shared" si="35"/>
        <v>0</v>
      </c>
      <c r="D184" s="347">
        <f t="shared" si="35"/>
        <v>0</v>
      </c>
      <c r="E184" s="347">
        <f t="shared" si="34"/>
        <v>0</v>
      </c>
      <c r="F184" s="347">
        <f t="shared" si="34"/>
        <v>0</v>
      </c>
      <c r="H184" s="347">
        <f t="shared" si="33"/>
        <v>0</v>
      </c>
      <c r="I184" s="352">
        <f t="shared" si="26"/>
        <v>0</v>
      </c>
      <c r="J184" s="353">
        <f t="shared" si="27"/>
        <v>0</v>
      </c>
      <c r="K184" s="385"/>
    </row>
    <row r="185" spans="1:12" outlineLevel="2" x14ac:dyDescent="0.25">
      <c r="A185" s="348" t="str">
        <f>("66375")&amp;" - "&amp;("Administrative Expense- Misc.")</f>
        <v>66375 - Administrative Expense- Misc.</v>
      </c>
      <c r="B185" s="347">
        <f t="shared" si="35"/>
        <v>0</v>
      </c>
      <c r="C185" s="347">
        <f t="shared" si="35"/>
        <v>0</v>
      </c>
      <c r="D185" s="347">
        <f t="shared" si="35"/>
        <v>0</v>
      </c>
      <c r="E185" s="347">
        <f t="shared" si="34"/>
        <v>0</v>
      </c>
      <c r="F185" s="347">
        <f t="shared" si="34"/>
        <v>0</v>
      </c>
      <c r="H185" s="347">
        <f t="shared" si="33"/>
        <v>0</v>
      </c>
      <c r="I185" s="352">
        <f t="shared" si="26"/>
        <v>0</v>
      </c>
      <c r="J185" s="353">
        <f t="shared" si="27"/>
        <v>0</v>
      </c>
      <c r="K185" s="385"/>
    </row>
    <row r="186" spans="1:12" s="355" customFormat="1" outlineLevel="1" x14ac:dyDescent="0.25">
      <c r="A186" s="351" t="s">
        <v>624</v>
      </c>
      <c r="B186" s="354">
        <f>SUM(B170:B185)</f>
        <v>1107.6400000000001</v>
      </c>
      <c r="C186" s="354">
        <f>SUM(OSRRefB27_0_0x_1)</f>
        <v>1809.65</v>
      </c>
      <c r="D186" s="354">
        <f>SUM(OSRRefB27_0_0x_2)</f>
        <v>5149.18</v>
      </c>
      <c r="E186" s="354">
        <f>SUM(OSRRefB27_0_0x_3)</f>
        <v>2372.1363499999998</v>
      </c>
      <c r="F186" s="354">
        <f>SUM(OSRRefB27_0_0x_4)</f>
        <v>2032.9099999999999</v>
      </c>
      <c r="H186" s="354">
        <f t="shared" si="33"/>
        <v>12471.51635</v>
      </c>
      <c r="I186" s="352">
        <f t="shared" si="26"/>
        <v>82.049449671052628</v>
      </c>
      <c r="J186" s="353">
        <f t="shared" si="27"/>
        <v>29948.04912993421</v>
      </c>
      <c r="K186" s="385"/>
    </row>
    <row r="187" spans="1:12" outlineLevel="2" x14ac:dyDescent="0.25">
      <c r="A187" s="348" t="str">
        <f>("64000")&amp;" - "&amp;("Facility Expense")</f>
        <v>64000 - Facility Expense</v>
      </c>
      <c r="B187" s="347">
        <f>0+0</f>
        <v>0</v>
      </c>
      <c r="C187" s="347">
        <f>0+0</f>
        <v>0</v>
      </c>
      <c r="D187" s="347">
        <f>0+0</f>
        <v>0</v>
      </c>
      <c r="E187" s="347">
        <f>0+0</f>
        <v>0</v>
      </c>
      <c r="F187" s="347">
        <f>0+0</f>
        <v>0</v>
      </c>
      <c r="H187" s="347">
        <f t="shared" si="33"/>
        <v>0</v>
      </c>
      <c r="I187" s="352">
        <f t="shared" si="26"/>
        <v>0</v>
      </c>
      <c r="J187" s="353">
        <f t="shared" si="27"/>
        <v>0</v>
      </c>
      <c r="K187" s="385"/>
    </row>
    <row r="188" spans="1:12" outlineLevel="2" x14ac:dyDescent="0.25">
      <c r="A188" s="348" t="str">
        <f>("64025")&amp;" - "&amp;("Facility Expense")</f>
        <v>64025 - Facility Expense</v>
      </c>
      <c r="B188" s="347">
        <f>715.37+0</f>
        <v>715.37</v>
      </c>
      <c r="C188" s="347">
        <f>222.79+0</f>
        <v>222.79</v>
      </c>
      <c r="D188" s="347">
        <f>515.98+0</f>
        <v>515.98</v>
      </c>
      <c r="E188" s="347">
        <f>0+0</f>
        <v>0</v>
      </c>
      <c r="F188" s="347">
        <f>688.86+0</f>
        <v>688.86</v>
      </c>
      <c r="H188" s="347">
        <f t="shared" si="33"/>
        <v>2143</v>
      </c>
      <c r="I188" s="352">
        <f t="shared" si="26"/>
        <v>14.098684210526315</v>
      </c>
      <c r="J188" s="353">
        <f t="shared" si="27"/>
        <v>5146.019736842105</v>
      </c>
      <c r="K188" s="386">
        <v>5200</v>
      </c>
      <c r="L188" s="442" t="s">
        <v>2761</v>
      </c>
    </row>
    <row r="189" spans="1:12" outlineLevel="2" x14ac:dyDescent="0.25">
      <c r="A189" s="348" t="str">
        <f>("64050")&amp;" - "&amp;("Facility Expense")</f>
        <v>64050 - Facility Expense</v>
      </c>
      <c r="B189" s="347">
        <f t="shared" ref="B189:E200" si="36">0+0</f>
        <v>0</v>
      </c>
      <c r="C189" s="347">
        <f t="shared" si="36"/>
        <v>0</v>
      </c>
      <c r="D189" s="347">
        <f t="shared" si="36"/>
        <v>0</v>
      </c>
      <c r="E189" s="347">
        <f>642.51+0</f>
        <v>642.51</v>
      </c>
      <c r="F189" s="347">
        <f t="shared" ref="F189:F200" si="37">0+0</f>
        <v>0</v>
      </c>
      <c r="H189" s="347">
        <f t="shared" si="33"/>
        <v>642.51</v>
      </c>
      <c r="I189" s="352">
        <f t="shared" si="26"/>
        <v>4.2270394736842105</v>
      </c>
      <c r="J189" s="353">
        <f t="shared" si="27"/>
        <v>1542.8694078947369</v>
      </c>
      <c r="K189" s="386">
        <v>1600</v>
      </c>
      <c r="L189" s="442" t="s">
        <v>2761</v>
      </c>
    </row>
    <row r="190" spans="1:12" outlineLevel="2" x14ac:dyDescent="0.25">
      <c r="A190" s="348" t="str">
        <f>("64075")&amp;" - "&amp;("Facility Expense- Auto Lease")</f>
        <v>64075 - Facility Expense- Auto Lease</v>
      </c>
      <c r="B190" s="347">
        <f t="shared" si="36"/>
        <v>0</v>
      </c>
      <c r="C190" s="347">
        <f t="shared" si="36"/>
        <v>0</v>
      </c>
      <c r="D190" s="347">
        <f t="shared" si="36"/>
        <v>0</v>
      </c>
      <c r="E190" s="347">
        <f t="shared" si="36"/>
        <v>0</v>
      </c>
      <c r="F190" s="347">
        <f t="shared" si="37"/>
        <v>0</v>
      </c>
      <c r="H190" s="347">
        <f t="shared" si="33"/>
        <v>0</v>
      </c>
      <c r="I190" s="352">
        <f t="shared" si="26"/>
        <v>0</v>
      </c>
      <c r="J190" s="353">
        <f t="shared" si="27"/>
        <v>0</v>
      </c>
      <c r="K190" s="386"/>
    </row>
    <row r="191" spans="1:12" outlineLevel="2" x14ac:dyDescent="0.25">
      <c r="A191" s="348" t="str">
        <f>("64100")&amp;" - "&amp;("Facility Expense- Storage Lease")</f>
        <v>64100 - Facility Expense- Storage Lease</v>
      </c>
      <c r="B191" s="347">
        <f t="shared" si="36"/>
        <v>0</v>
      </c>
      <c r="C191" s="347">
        <f t="shared" si="36"/>
        <v>0</v>
      </c>
      <c r="D191" s="347">
        <f t="shared" si="36"/>
        <v>0</v>
      </c>
      <c r="E191" s="347">
        <f t="shared" si="36"/>
        <v>0</v>
      </c>
      <c r="F191" s="347">
        <f t="shared" si="37"/>
        <v>0</v>
      </c>
      <c r="H191" s="347">
        <f t="shared" si="33"/>
        <v>0</v>
      </c>
      <c r="I191" s="352">
        <f t="shared" si="26"/>
        <v>0</v>
      </c>
      <c r="J191" s="353">
        <f t="shared" si="27"/>
        <v>0</v>
      </c>
      <c r="K191" s="386"/>
    </row>
    <row r="192" spans="1:12" outlineLevel="2" x14ac:dyDescent="0.25">
      <c r="A192" s="348" t="str">
        <f>("64125")&amp;" - "&amp;("Facility Expense- Building R&amp;M")</f>
        <v>64125 - Facility Expense- Building R&amp;M</v>
      </c>
      <c r="B192" s="347">
        <f t="shared" si="36"/>
        <v>0</v>
      </c>
      <c r="C192" s="347">
        <f t="shared" si="36"/>
        <v>0</v>
      </c>
      <c r="D192" s="347">
        <f t="shared" si="36"/>
        <v>0</v>
      </c>
      <c r="E192" s="347">
        <f t="shared" si="36"/>
        <v>0</v>
      </c>
      <c r="F192" s="347">
        <f t="shared" si="37"/>
        <v>0</v>
      </c>
      <c r="H192" s="347">
        <f t="shared" si="33"/>
        <v>0</v>
      </c>
      <c r="I192" s="352">
        <f t="shared" si="26"/>
        <v>0</v>
      </c>
      <c r="J192" s="353">
        <f t="shared" si="27"/>
        <v>0</v>
      </c>
      <c r="K192" s="386"/>
    </row>
    <row r="193" spans="1:12" outlineLevel="2" x14ac:dyDescent="0.25">
      <c r="A193" s="348" t="str">
        <f>("64150")&amp;" - "&amp;("Facility Expense- Equipment R&amp;M")</f>
        <v>64150 - Facility Expense- Equipment R&amp;M</v>
      </c>
      <c r="B193" s="347">
        <f t="shared" si="36"/>
        <v>0</v>
      </c>
      <c r="C193" s="347">
        <f t="shared" si="36"/>
        <v>0</v>
      </c>
      <c r="D193" s="347">
        <f t="shared" si="36"/>
        <v>0</v>
      </c>
      <c r="E193" s="347">
        <f t="shared" si="36"/>
        <v>0</v>
      </c>
      <c r="F193" s="347">
        <f t="shared" si="37"/>
        <v>0</v>
      </c>
      <c r="H193" s="347">
        <f t="shared" si="33"/>
        <v>0</v>
      </c>
      <c r="I193" s="352">
        <f t="shared" si="26"/>
        <v>0</v>
      </c>
      <c r="J193" s="353">
        <f t="shared" si="27"/>
        <v>0</v>
      </c>
      <c r="K193" s="386"/>
    </row>
    <row r="194" spans="1:12" outlineLevel="2" x14ac:dyDescent="0.25">
      <c r="A194" s="348" t="str">
        <f>("64175")&amp;" - "&amp;("Facility Expense- Other R&amp;M")</f>
        <v>64175 - Facility Expense- Other R&amp;M</v>
      </c>
      <c r="B194" s="347">
        <f t="shared" si="36"/>
        <v>0</v>
      </c>
      <c r="C194" s="347">
        <f t="shared" si="36"/>
        <v>0</v>
      </c>
      <c r="D194" s="347">
        <f t="shared" si="36"/>
        <v>0</v>
      </c>
      <c r="E194" s="347">
        <f t="shared" si="36"/>
        <v>0</v>
      </c>
      <c r="F194" s="347">
        <f t="shared" si="37"/>
        <v>0</v>
      </c>
      <c r="H194" s="347">
        <f t="shared" si="33"/>
        <v>0</v>
      </c>
      <c r="I194" s="352">
        <f t="shared" si="26"/>
        <v>0</v>
      </c>
      <c r="J194" s="353">
        <f t="shared" si="27"/>
        <v>0</v>
      </c>
      <c r="K194" s="386"/>
    </row>
    <row r="195" spans="1:12" outlineLevel="2" x14ac:dyDescent="0.25">
      <c r="A195" s="348" t="str">
        <f>("64200")&amp;" - "&amp;("Facility Expense")</f>
        <v>64200 - Facility Expense</v>
      </c>
      <c r="B195" s="347">
        <f t="shared" si="36"/>
        <v>0</v>
      </c>
      <c r="C195" s="347">
        <f t="shared" si="36"/>
        <v>0</v>
      </c>
      <c r="D195" s="347">
        <f t="shared" si="36"/>
        <v>0</v>
      </c>
      <c r="E195" s="347">
        <f t="shared" si="36"/>
        <v>0</v>
      </c>
      <c r="F195" s="347">
        <f t="shared" si="37"/>
        <v>0</v>
      </c>
      <c r="H195" s="347">
        <f t="shared" si="33"/>
        <v>0</v>
      </c>
      <c r="I195" s="352">
        <f t="shared" si="26"/>
        <v>0</v>
      </c>
      <c r="J195" s="353">
        <f t="shared" si="27"/>
        <v>0</v>
      </c>
      <c r="K195" s="386"/>
    </row>
    <row r="196" spans="1:12" outlineLevel="2" x14ac:dyDescent="0.25">
      <c r="A196" s="348" t="str">
        <f>("64225")&amp;" - "&amp;("Facility Expense- Auto Fuel")</f>
        <v>64225 - Facility Expense- Auto Fuel</v>
      </c>
      <c r="B196" s="347">
        <f t="shared" si="36"/>
        <v>0</v>
      </c>
      <c r="C196" s="347">
        <f t="shared" si="36"/>
        <v>0</v>
      </c>
      <c r="D196" s="347">
        <f t="shared" si="36"/>
        <v>0</v>
      </c>
      <c r="E196" s="347">
        <f t="shared" si="36"/>
        <v>0</v>
      </c>
      <c r="F196" s="347">
        <f t="shared" si="37"/>
        <v>0</v>
      </c>
      <c r="H196" s="347">
        <f t="shared" si="33"/>
        <v>0</v>
      </c>
      <c r="I196" s="352">
        <f t="shared" si="26"/>
        <v>0</v>
      </c>
      <c r="J196" s="353">
        <f t="shared" si="27"/>
        <v>0</v>
      </c>
      <c r="K196" s="386"/>
    </row>
    <row r="197" spans="1:12" outlineLevel="2" x14ac:dyDescent="0.25">
      <c r="A197" s="348" t="str">
        <f>("64250")&amp;" - "&amp;("Facility Expense")</f>
        <v>64250 - Facility Expense</v>
      </c>
      <c r="B197" s="347">
        <f t="shared" si="36"/>
        <v>0</v>
      </c>
      <c r="C197" s="347">
        <f t="shared" si="36"/>
        <v>0</v>
      </c>
      <c r="D197" s="347">
        <f t="shared" si="36"/>
        <v>0</v>
      </c>
      <c r="E197" s="347">
        <f t="shared" si="36"/>
        <v>0</v>
      </c>
      <c r="F197" s="347">
        <f t="shared" si="37"/>
        <v>0</v>
      </c>
      <c r="H197" s="347">
        <f t="shared" si="33"/>
        <v>0</v>
      </c>
      <c r="I197" s="352">
        <f t="shared" si="26"/>
        <v>0</v>
      </c>
      <c r="J197" s="353">
        <f t="shared" si="27"/>
        <v>0</v>
      </c>
      <c r="K197" s="386"/>
    </row>
    <row r="198" spans="1:12" outlineLevel="2" x14ac:dyDescent="0.25">
      <c r="A198" s="348" t="str">
        <f>("64275")&amp;" - "&amp;("Facility Expense")</f>
        <v>64275 - Facility Expense</v>
      </c>
      <c r="B198" s="347">
        <f t="shared" si="36"/>
        <v>0</v>
      </c>
      <c r="C198" s="347">
        <f t="shared" si="36"/>
        <v>0</v>
      </c>
      <c r="D198" s="347">
        <f t="shared" si="36"/>
        <v>0</v>
      </c>
      <c r="E198" s="347">
        <f t="shared" si="36"/>
        <v>0</v>
      </c>
      <c r="F198" s="347">
        <f t="shared" si="37"/>
        <v>0</v>
      </c>
      <c r="H198" s="347">
        <f t="shared" si="33"/>
        <v>0</v>
      </c>
      <c r="I198" s="352">
        <f t="shared" si="26"/>
        <v>0</v>
      </c>
      <c r="J198" s="353">
        <f t="shared" si="27"/>
        <v>0</v>
      </c>
      <c r="K198" s="386"/>
    </row>
    <row r="199" spans="1:12" outlineLevel="2" x14ac:dyDescent="0.25">
      <c r="A199" s="348" t="str">
        <f>("64300")&amp;" - "&amp;("Facility Expense")</f>
        <v>64300 - Facility Expense</v>
      </c>
      <c r="B199" s="347">
        <f t="shared" si="36"/>
        <v>0</v>
      </c>
      <c r="C199" s="347">
        <f t="shared" si="36"/>
        <v>0</v>
      </c>
      <c r="D199" s="347">
        <f t="shared" si="36"/>
        <v>0</v>
      </c>
      <c r="E199" s="347">
        <f t="shared" si="36"/>
        <v>0</v>
      </c>
      <c r="F199" s="347">
        <f t="shared" si="37"/>
        <v>0</v>
      </c>
      <c r="H199" s="347">
        <f t="shared" si="33"/>
        <v>0</v>
      </c>
      <c r="I199" s="352">
        <f t="shared" si="26"/>
        <v>0</v>
      </c>
      <c r="J199" s="353">
        <f t="shared" si="27"/>
        <v>0</v>
      </c>
      <c r="K199" s="386"/>
    </row>
    <row r="200" spans="1:12" outlineLevel="2" x14ac:dyDescent="0.25">
      <c r="A200" s="348" t="str">
        <f>("64325")&amp;" - "&amp;("Facility Expense")</f>
        <v>64325 - Facility Expense</v>
      </c>
      <c r="B200" s="347">
        <f t="shared" si="36"/>
        <v>0</v>
      </c>
      <c r="C200" s="347">
        <f t="shared" si="36"/>
        <v>0</v>
      </c>
      <c r="D200" s="347">
        <f t="shared" si="36"/>
        <v>0</v>
      </c>
      <c r="E200" s="347">
        <f t="shared" si="36"/>
        <v>0</v>
      </c>
      <c r="F200" s="347">
        <f t="shared" si="37"/>
        <v>0</v>
      </c>
      <c r="H200" s="347">
        <f t="shared" si="33"/>
        <v>0</v>
      </c>
      <c r="I200" s="352">
        <f t="shared" si="26"/>
        <v>0</v>
      </c>
      <c r="J200" s="353">
        <f t="shared" si="27"/>
        <v>0</v>
      </c>
      <c r="K200" s="386"/>
    </row>
    <row r="201" spans="1:12" outlineLevel="2" x14ac:dyDescent="0.25">
      <c r="A201" s="348" t="str">
        <f>("64350")&amp;" - "&amp;("Facility Expense- Telephone")</f>
        <v>64350 - Facility Expense- Telephone</v>
      </c>
      <c r="B201" s="347">
        <f>200+0</f>
        <v>200</v>
      </c>
      <c r="C201" s="347">
        <f>200+0</f>
        <v>200</v>
      </c>
      <c r="D201" s="347">
        <f>200+0</f>
        <v>200</v>
      </c>
      <c r="E201" s="347">
        <f>200+0</f>
        <v>200</v>
      </c>
      <c r="F201" s="347">
        <f>200+0</f>
        <v>200</v>
      </c>
      <c r="H201" s="347">
        <f t="shared" si="33"/>
        <v>1000</v>
      </c>
      <c r="I201" s="352">
        <f t="shared" ref="I201:I225" si="38">H201/$H$2</f>
        <v>6.5789473684210522</v>
      </c>
      <c r="J201" s="353">
        <f t="shared" ref="J201:J225" si="39">I201*$J$2</f>
        <v>2401.3157894736842</v>
      </c>
      <c r="K201" s="386">
        <v>2500</v>
      </c>
      <c r="L201" s="442" t="s">
        <v>434</v>
      </c>
    </row>
    <row r="202" spans="1:12" outlineLevel="2" x14ac:dyDescent="0.25">
      <c r="A202" s="348" t="str">
        <f>("64375")&amp;" - "&amp;("Facility Expense")</f>
        <v>64375 - Facility Expense</v>
      </c>
      <c r="B202" s="347">
        <f t="shared" ref="B202:F204" si="40">0+0</f>
        <v>0</v>
      </c>
      <c r="C202" s="347">
        <f t="shared" si="40"/>
        <v>0</v>
      </c>
      <c r="D202" s="347">
        <f t="shared" si="40"/>
        <v>0</v>
      </c>
      <c r="E202" s="347">
        <f t="shared" si="40"/>
        <v>0</v>
      </c>
      <c r="F202" s="347">
        <f t="shared" si="40"/>
        <v>0</v>
      </c>
      <c r="H202" s="347">
        <f t="shared" si="33"/>
        <v>0</v>
      </c>
      <c r="I202" s="352">
        <f t="shared" si="38"/>
        <v>0</v>
      </c>
      <c r="J202" s="353">
        <f t="shared" si="39"/>
        <v>0</v>
      </c>
      <c r="K202" s="386"/>
    </row>
    <row r="203" spans="1:12" outlineLevel="2" x14ac:dyDescent="0.25">
      <c r="A203" s="348" t="str">
        <f>("64400")&amp;" - "&amp;("Facility Expense")</f>
        <v>64400 - Facility Expense</v>
      </c>
      <c r="B203" s="347">
        <f t="shared" si="40"/>
        <v>0</v>
      </c>
      <c r="C203" s="347">
        <f t="shared" si="40"/>
        <v>0</v>
      </c>
      <c r="D203" s="347">
        <f t="shared" si="40"/>
        <v>0</v>
      </c>
      <c r="E203" s="347">
        <f t="shared" si="40"/>
        <v>0</v>
      </c>
      <c r="F203" s="347">
        <f t="shared" si="40"/>
        <v>0</v>
      </c>
      <c r="H203" s="347">
        <f t="shared" si="33"/>
        <v>0</v>
      </c>
      <c r="I203" s="352">
        <f t="shared" si="38"/>
        <v>0</v>
      </c>
      <c r="J203" s="353">
        <f t="shared" si="39"/>
        <v>0</v>
      </c>
      <c r="K203" s="386"/>
    </row>
    <row r="204" spans="1:12" outlineLevel="2" x14ac:dyDescent="0.25">
      <c r="A204" s="348" t="str">
        <f>("64425")&amp;" - "&amp;("Facility Expense- Utilities")</f>
        <v>64425 - Facility Expense- Utilities</v>
      </c>
      <c r="B204" s="347">
        <f t="shared" si="40"/>
        <v>0</v>
      </c>
      <c r="C204" s="347">
        <f t="shared" si="40"/>
        <v>0</v>
      </c>
      <c r="D204" s="347">
        <f t="shared" si="40"/>
        <v>0</v>
      </c>
      <c r="E204" s="347">
        <f t="shared" si="40"/>
        <v>0</v>
      </c>
      <c r="F204" s="347">
        <f t="shared" si="40"/>
        <v>0</v>
      </c>
      <c r="H204" s="347">
        <f t="shared" si="33"/>
        <v>0</v>
      </c>
      <c r="I204" s="352">
        <f t="shared" si="38"/>
        <v>0</v>
      </c>
      <c r="J204" s="353">
        <f t="shared" si="39"/>
        <v>0</v>
      </c>
      <c r="K204" s="386"/>
    </row>
    <row r="205" spans="1:12" outlineLevel="2" x14ac:dyDescent="0.25">
      <c r="A205" s="348" t="str">
        <f>("64450")&amp;" - "&amp;("Facility Expense")</f>
        <v>64450 - Facility Expense</v>
      </c>
      <c r="B205" s="347">
        <f>0+0</f>
        <v>0</v>
      </c>
      <c r="C205" s="347">
        <f>0+0</f>
        <v>0</v>
      </c>
      <c r="D205" s="347">
        <f>0+0</f>
        <v>0</v>
      </c>
      <c r="E205" s="347">
        <f>200+0</f>
        <v>200</v>
      </c>
      <c r="F205" s="347">
        <f>0+0</f>
        <v>0</v>
      </c>
      <c r="H205" s="347">
        <f t="shared" si="33"/>
        <v>200</v>
      </c>
      <c r="I205" s="352">
        <f t="shared" si="38"/>
        <v>1.3157894736842106</v>
      </c>
      <c r="J205" s="353">
        <f t="shared" si="39"/>
        <v>480.26315789473688</v>
      </c>
      <c r="K205" s="386">
        <v>500</v>
      </c>
      <c r="L205" s="442" t="s">
        <v>2762</v>
      </c>
    </row>
    <row r="206" spans="1:12" s="355" customFormat="1" outlineLevel="1" x14ac:dyDescent="0.25">
      <c r="A206" s="351" t="s">
        <v>625</v>
      </c>
      <c r="B206" s="354">
        <f>SUM(B187:B205)</f>
        <v>915.37</v>
      </c>
      <c r="C206" s="354">
        <f>SUM(OSRRefB27_0_1x_1)</f>
        <v>422.78999999999996</v>
      </c>
      <c r="D206" s="354">
        <f>SUM(OSRRefB27_0_1x_2)</f>
        <v>715.98</v>
      </c>
      <c r="E206" s="354">
        <f>SUM(OSRRefB27_0_1x_3)</f>
        <v>1042.51</v>
      </c>
      <c r="F206" s="354">
        <f>SUM(OSRRefB27_0_1x_4)</f>
        <v>888.86</v>
      </c>
      <c r="H206" s="354">
        <f t="shared" si="33"/>
        <v>3985.5099999999998</v>
      </c>
      <c r="I206" s="352">
        <f t="shared" si="38"/>
        <v>26.220460526315787</v>
      </c>
      <c r="J206" s="353">
        <f t="shared" si="39"/>
        <v>9570.4680921052623</v>
      </c>
      <c r="K206" s="386"/>
    </row>
    <row r="207" spans="1:12" outlineLevel="2" x14ac:dyDescent="0.25">
      <c r="A207" s="348" t="str">
        <f>("64500")&amp;" - "&amp;("Other Operatng Expense")</f>
        <v>64500 - Other Operatng Expense</v>
      </c>
      <c r="B207" s="347">
        <f>0+0</f>
        <v>0</v>
      </c>
      <c r="C207" s="347">
        <f>0+0</f>
        <v>0</v>
      </c>
      <c r="D207" s="347">
        <f>0+0</f>
        <v>0</v>
      </c>
      <c r="E207" s="347">
        <f>0+0</f>
        <v>0</v>
      </c>
      <c r="F207" s="347">
        <f>0+0</f>
        <v>0</v>
      </c>
      <c r="H207" s="347">
        <f t="shared" si="33"/>
        <v>0</v>
      </c>
      <c r="I207" s="352">
        <f t="shared" si="38"/>
        <v>0</v>
      </c>
      <c r="J207" s="353">
        <f t="shared" si="39"/>
        <v>0</v>
      </c>
      <c r="K207" s="386"/>
    </row>
    <row r="208" spans="1:12" outlineLevel="2" x14ac:dyDescent="0.25">
      <c r="A208" s="348" t="str">
        <f>("64525")&amp;" - "&amp;("")</f>
        <v xml:space="preserve">64525 - </v>
      </c>
      <c r="B208" s="347">
        <f t="shared" ref="B208:D214" si="41">0+0</f>
        <v>0</v>
      </c>
      <c r="C208" s="347">
        <f>512.99+0</f>
        <v>512.99</v>
      </c>
      <c r="D208" s="347">
        <f>1307.2+0</f>
        <v>1307.2</v>
      </c>
      <c r="E208" s="347">
        <f t="shared" ref="E208:F214" si="42">0+0</f>
        <v>0</v>
      </c>
      <c r="F208" s="347">
        <f t="shared" si="42"/>
        <v>0</v>
      </c>
      <c r="H208" s="347">
        <f t="shared" si="33"/>
        <v>1820.19</v>
      </c>
      <c r="I208" s="352">
        <f t="shared" si="38"/>
        <v>11.974934210526316</v>
      </c>
      <c r="J208" s="353">
        <f t="shared" si="39"/>
        <v>4370.8509868421052</v>
      </c>
      <c r="K208" s="386">
        <v>4500</v>
      </c>
      <c r="L208" s="442" t="s">
        <v>2763</v>
      </c>
    </row>
    <row r="209" spans="1:12" outlineLevel="2" x14ac:dyDescent="0.25">
      <c r="A209" s="348" t="str">
        <f>("64550")&amp;" - "&amp;("Other Operatng Expense")</f>
        <v>64550 - Other Operatng Expense</v>
      </c>
      <c r="B209" s="347">
        <f t="shared" si="41"/>
        <v>0</v>
      </c>
      <c r="C209" s="347">
        <f t="shared" si="41"/>
        <v>0</v>
      </c>
      <c r="D209" s="347">
        <f t="shared" si="41"/>
        <v>0</v>
      </c>
      <c r="E209" s="347">
        <f t="shared" si="42"/>
        <v>0</v>
      </c>
      <c r="F209" s="347">
        <f t="shared" si="42"/>
        <v>0</v>
      </c>
      <c r="H209" s="347">
        <f t="shared" si="33"/>
        <v>0</v>
      </c>
      <c r="I209" s="352">
        <f t="shared" si="38"/>
        <v>0</v>
      </c>
      <c r="J209" s="353">
        <f t="shared" si="39"/>
        <v>0</v>
      </c>
      <c r="K209" s="385"/>
    </row>
    <row r="210" spans="1:12" outlineLevel="2" x14ac:dyDescent="0.25">
      <c r="A210" s="348" t="str">
        <f>("64600")&amp;" - "&amp;("Other Operatng Expense")</f>
        <v>64600 - Other Operatng Expense</v>
      </c>
      <c r="B210" s="347">
        <f t="shared" si="41"/>
        <v>0</v>
      </c>
      <c r="C210" s="347">
        <f t="shared" si="41"/>
        <v>0</v>
      </c>
      <c r="D210" s="347">
        <f t="shared" si="41"/>
        <v>0</v>
      </c>
      <c r="E210" s="347">
        <f t="shared" si="42"/>
        <v>0</v>
      </c>
      <c r="F210" s="347">
        <f t="shared" si="42"/>
        <v>0</v>
      </c>
      <c r="H210" s="347">
        <f t="shared" si="33"/>
        <v>0</v>
      </c>
      <c r="I210" s="352">
        <f t="shared" si="38"/>
        <v>0</v>
      </c>
      <c r="J210" s="353">
        <f t="shared" si="39"/>
        <v>0</v>
      </c>
      <c r="K210" s="385"/>
    </row>
    <row r="211" spans="1:12" outlineLevel="2" x14ac:dyDescent="0.25">
      <c r="A211" s="348" t="str">
        <f>("64650")&amp;" - "&amp;("Other Operatng Expense")</f>
        <v>64650 - Other Operatng Expense</v>
      </c>
      <c r="B211" s="347">
        <f t="shared" si="41"/>
        <v>0</v>
      </c>
      <c r="C211" s="347">
        <f t="shared" si="41"/>
        <v>0</v>
      </c>
      <c r="D211" s="347">
        <f t="shared" si="41"/>
        <v>0</v>
      </c>
      <c r="E211" s="347">
        <f t="shared" si="42"/>
        <v>0</v>
      </c>
      <c r="F211" s="347">
        <f t="shared" si="42"/>
        <v>0</v>
      </c>
      <c r="H211" s="347">
        <f t="shared" si="33"/>
        <v>0</v>
      </c>
      <c r="I211" s="352">
        <f t="shared" si="38"/>
        <v>0</v>
      </c>
      <c r="J211" s="353">
        <f t="shared" si="39"/>
        <v>0</v>
      </c>
      <c r="K211" s="385"/>
    </row>
    <row r="212" spans="1:12" outlineLevel="2" x14ac:dyDescent="0.25">
      <c r="A212" s="348" t="str">
        <f>("64675")&amp;" - "&amp;("Other Op Exp- Guard Physicals")</f>
        <v>64675 - Other Op Exp- Guard Physicals</v>
      </c>
      <c r="B212" s="347">
        <f t="shared" si="41"/>
        <v>0</v>
      </c>
      <c r="C212" s="347">
        <f t="shared" si="41"/>
        <v>0</v>
      </c>
      <c r="D212" s="347">
        <f t="shared" si="41"/>
        <v>0</v>
      </c>
      <c r="E212" s="347">
        <f t="shared" si="42"/>
        <v>0</v>
      </c>
      <c r="F212" s="347">
        <f t="shared" si="42"/>
        <v>0</v>
      </c>
      <c r="H212" s="347">
        <f t="shared" si="33"/>
        <v>0</v>
      </c>
      <c r="I212" s="352">
        <f t="shared" si="38"/>
        <v>0</v>
      </c>
      <c r="J212" s="353">
        <f t="shared" si="39"/>
        <v>0</v>
      </c>
      <c r="K212" s="385"/>
    </row>
    <row r="213" spans="1:12" outlineLevel="2" x14ac:dyDescent="0.25">
      <c r="A213" s="348" t="str">
        <f>("64700")&amp;" - "&amp;("Other Operatng Expense")</f>
        <v>64700 - Other Operatng Expense</v>
      </c>
      <c r="B213" s="347">
        <f t="shared" si="41"/>
        <v>0</v>
      </c>
      <c r="C213" s="347">
        <f t="shared" si="41"/>
        <v>0</v>
      </c>
      <c r="D213" s="347">
        <f t="shared" si="41"/>
        <v>0</v>
      </c>
      <c r="E213" s="347">
        <f t="shared" si="42"/>
        <v>0</v>
      </c>
      <c r="F213" s="347">
        <f t="shared" si="42"/>
        <v>0</v>
      </c>
      <c r="H213" s="347">
        <f t="shared" si="33"/>
        <v>0</v>
      </c>
      <c r="I213" s="352">
        <f t="shared" si="38"/>
        <v>0</v>
      </c>
      <c r="J213" s="353">
        <f t="shared" si="39"/>
        <v>0</v>
      </c>
      <c r="K213" s="385"/>
    </row>
    <row r="214" spans="1:12" outlineLevel="2" x14ac:dyDescent="0.25">
      <c r="A214" s="348" t="str">
        <f>("64750")&amp;" - "&amp;("Other Operating Expense- Other")</f>
        <v>64750 - Other Operating Expense- Other</v>
      </c>
      <c r="B214" s="347">
        <f t="shared" si="41"/>
        <v>0</v>
      </c>
      <c r="C214" s="347">
        <f t="shared" si="41"/>
        <v>0</v>
      </c>
      <c r="D214" s="347">
        <f t="shared" si="41"/>
        <v>0</v>
      </c>
      <c r="E214" s="347">
        <f t="shared" si="42"/>
        <v>0</v>
      </c>
      <c r="F214" s="347">
        <f t="shared" si="42"/>
        <v>0</v>
      </c>
      <c r="H214" s="347">
        <f t="shared" si="33"/>
        <v>0</v>
      </c>
      <c r="I214" s="352">
        <f t="shared" si="38"/>
        <v>0</v>
      </c>
      <c r="J214" s="353">
        <f t="shared" si="39"/>
        <v>0</v>
      </c>
      <c r="K214" s="385"/>
    </row>
    <row r="215" spans="1:12" s="355" customFormat="1" outlineLevel="1" x14ac:dyDescent="0.25">
      <c r="A215" s="351" t="s">
        <v>626</v>
      </c>
      <c r="B215" s="354">
        <f>SUM(B207:B214)</f>
        <v>0</v>
      </c>
      <c r="C215" s="354">
        <f>SUM(OSRRefB27_0_2x_1)</f>
        <v>512.99</v>
      </c>
      <c r="D215" s="354">
        <f>SUM(OSRRefB27_0_2x_2)</f>
        <v>1307.2</v>
      </c>
      <c r="E215" s="354">
        <f>SUM(OSRRefB27_0_2x_3)</f>
        <v>0</v>
      </c>
      <c r="F215" s="354">
        <f>SUM(OSRRefB27_0_2x_4)</f>
        <v>0</v>
      </c>
      <c r="H215" s="354">
        <f t="shared" si="33"/>
        <v>1820.19</v>
      </c>
      <c r="I215" s="352">
        <f t="shared" si="38"/>
        <v>11.974934210526316</v>
      </c>
      <c r="J215" s="353">
        <f t="shared" si="39"/>
        <v>4370.8509868421052</v>
      </c>
      <c r="K215" s="385"/>
    </row>
    <row r="216" spans="1:12" s="351" customFormat="1" x14ac:dyDescent="0.25">
      <c r="A216" s="351" t="str">
        <f>"Total "&amp;TRIM(MID("2L.Other Expenses",4,125))</f>
        <v>Total Other Expenses</v>
      </c>
      <c r="B216" s="356">
        <f>B215+B206+B186</f>
        <v>2023.0100000000002</v>
      </c>
      <c r="C216" s="356">
        <f>SUM(OSRRefB28_0x_1)</f>
        <v>2745.4300000000003</v>
      </c>
      <c r="D216" s="356">
        <f>SUM(OSRRefB28_0x_2)</f>
        <v>7172.36</v>
      </c>
      <c r="E216" s="356">
        <f>SUM(OSRRefB28_0x_3)</f>
        <v>3414.64635</v>
      </c>
      <c r="F216" s="356">
        <f>SUM(OSRRefB28_0x_4)</f>
        <v>2921.77</v>
      </c>
      <c r="H216" s="356">
        <f t="shared" si="33"/>
        <v>18277.216349999999</v>
      </c>
      <c r="I216" s="352">
        <f t="shared" si="38"/>
        <v>120.24484440789473</v>
      </c>
      <c r="J216" s="353">
        <f t="shared" si="39"/>
        <v>43889.368208881577</v>
      </c>
      <c r="K216" s="393"/>
    </row>
    <row r="217" spans="1:12" x14ac:dyDescent="0.25">
      <c r="I217" s="352">
        <f t="shared" si="38"/>
        <v>0</v>
      </c>
      <c r="J217" s="353">
        <f t="shared" si="39"/>
        <v>0</v>
      </c>
      <c r="K217" s="385"/>
    </row>
    <row r="218" spans="1:12" x14ac:dyDescent="0.25">
      <c r="A218" s="351" t="s">
        <v>627</v>
      </c>
      <c r="B218" s="349">
        <f t="shared" ref="B218" si="43">SUM(B216,B167,B97,B85,B70,B44,B32)</f>
        <v>310113.8946</v>
      </c>
      <c r="C218" s="349">
        <f>SUM(OSRRefB29x_1)+SUM(OSRRefB24x_1)+SUM(OSRRefB15x_1)</f>
        <v>312477.78000000003</v>
      </c>
      <c r="D218" s="349">
        <f>SUM(OSRRefB29x_2)+SUM(OSRRefB24x_2)+SUM(OSRRefB15x_2)</f>
        <v>209738.58999999994</v>
      </c>
      <c r="E218" s="349">
        <f>SUM(OSRRefB29x_3)+SUM(OSRRefB24x_3)+SUM(OSRRefB15x_3)</f>
        <v>351231.77635</v>
      </c>
      <c r="F218" s="349">
        <f>SUM(OSRRefB29x_4)+SUM(OSRRefB24x_4)+SUM(OSRRefB15x_4)</f>
        <v>349931.48090000002</v>
      </c>
      <c r="H218" s="349">
        <f>SUM(B218:G218)</f>
        <v>1533493.5218500001</v>
      </c>
      <c r="I218" s="352">
        <f t="shared" si="38"/>
        <v>10088.77317006579</v>
      </c>
      <c r="J218" s="353">
        <f t="shared" si="39"/>
        <v>3682402.2070740131</v>
      </c>
      <c r="K218" s="385"/>
    </row>
    <row r="219" spans="1:12" outlineLevel="1" x14ac:dyDescent="0.25">
      <c r="A219" s="351" t="str">
        <f>TRIM(MID("3A.Adjustments",4,125))</f>
        <v>Adjustments</v>
      </c>
      <c r="I219" s="352">
        <f t="shared" si="38"/>
        <v>0</v>
      </c>
      <c r="J219" s="353">
        <f t="shared" si="39"/>
        <v>0</v>
      </c>
      <c r="K219" s="385"/>
    </row>
    <row r="220" spans="1:12" outlineLevel="2" x14ac:dyDescent="0.25">
      <c r="A220" s="348" t="str">
        <f>("93000")&amp;" - "&amp;("Depreciation Expense")</f>
        <v>93000 - Depreciation Expense</v>
      </c>
      <c r="B220" s="347">
        <f>224.87+0</f>
        <v>224.87</v>
      </c>
      <c r="C220" s="347">
        <f t="shared" ref="C220:F221" si="44">149.91+0</f>
        <v>149.91</v>
      </c>
      <c r="D220" s="347">
        <f t="shared" si="44"/>
        <v>149.91</v>
      </c>
      <c r="E220" s="347">
        <f t="shared" si="44"/>
        <v>149.91</v>
      </c>
      <c r="F220" s="347">
        <f t="shared" si="44"/>
        <v>149.91</v>
      </c>
      <c r="H220" s="347">
        <f>SUM(B220:G220)</f>
        <v>824.50999999999988</v>
      </c>
      <c r="I220" s="352">
        <f t="shared" si="38"/>
        <v>5.4244078947368415</v>
      </c>
      <c r="J220" s="353">
        <f t="shared" si="39"/>
        <v>1979.9088815789471</v>
      </c>
      <c r="K220" s="386">
        <v>6000</v>
      </c>
      <c r="L220" s="442" t="s">
        <v>2764</v>
      </c>
    </row>
    <row r="221" spans="1:12" s="355" customFormat="1" outlineLevel="1" x14ac:dyDescent="0.25">
      <c r="A221" s="351" t="s">
        <v>628</v>
      </c>
      <c r="B221" s="357">
        <f>224.87+0</f>
        <v>224.87</v>
      </c>
      <c r="C221" s="357">
        <f t="shared" si="44"/>
        <v>149.91</v>
      </c>
      <c r="D221" s="357">
        <f t="shared" si="44"/>
        <v>149.91</v>
      </c>
      <c r="E221" s="357">
        <f t="shared" si="44"/>
        <v>149.91</v>
      </c>
      <c r="F221" s="357">
        <f t="shared" si="44"/>
        <v>149.91</v>
      </c>
      <c r="H221" s="357">
        <f>SUM(B221:G221)</f>
        <v>824.50999999999988</v>
      </c>
      <c r="I221" s="352">
        <f t="shared" si="38"/>
        <v>5.4244078947368415</v>
      </c>
      <c r="J221" s="353">
        <f t="shared" si="39"/>
        <v>1979.9088815789471</v>
      </c>
      <c r="K221" s="385"/>
    </row>
    <row r="222" spans="1:12" s="351" customFormat="1" x14ac:dyDescent="0.25">
      <c r="A222" s="351" t="str">
        <f>"Total "&amp;TRIM(MID("3A.Adjustments",4,125))</f>
        <v>Total Adjustments</v>
      </c>
      <c r="B222" s="356" t="e">
        <f>SUM(OSRRefB37_0x_0)</f>
        <v>#REF!</v>
      </c>
      <c r="C222" s="356">
        <f>SUM(OSRRefB37_0x_1)</f>
        <v>149.91</v>
      </c>
      <c r="D222" s="356">
        <f>SUM(OSRRefB37_0x_2)</f>
        <v>149.91</v>
      </c>
      <c r="E222" s="356">
        <f>SUM(OSRRefB37_0x_3)</f>
        <v>149.91</v>
      </c>
      <c r="F222" s="356">
        <f>SUM(OSRRefB37_0x_4)</f>
        <v>149.91</v>
      </c>
      <c r="H222" s="356" t="e">
        <f>SUM(B222:G222)</f>
        <v>#REF!</v>
      </c>
      <c r="I222" s="352" t="e">
        <f t="shared" si="38"/>
        <v>#REF!</v>
      </c>
      <c r="J222" s="353" t="e">
        <f t="shared" si="39"/>
        <v>#REF!</v>
      </c>
      <c r="K222" s="393"/>
    </row>
    <row r="223" spans="1:12" x14ac:dyDescent="0.25">
      <c r="A223" s="351"/>
      <c r="B223" s="358"/>
      <c r="C223" s="358"/>
      <c r="D223" s="358"/>
      <c r="E223" s="358"/>
      <c r="F223" s="358"/>
      <c r="H223" s="358"/>
      <c r="I223" s="352">
        <f t="shared" si="38"/>
        <v>0</v>
      </c>
      <c r="J223" s="353">
        <f t="shared" si="39"/>
        <v>0</v>
      </c>
      <c r="K223" s="385"/>
    </row>
    <row r="224" spans="1:12" x14ac:dyDescent="0.25">
      <c r="A224" s="351"/>
      <c r="B224" s="358"/>
      <c r="C224" s="358"/>
      <c r="D224" s="358"/>
      <c r="E224" s="358"/>
      <c r="F224" s="358"/>
      <c r="H224" s="358"/>
      <c r="I224" s="352">
        <f t="shared" si="38"/>
        <v>0</v>
      </c>
      <c r="J224" s="353">
        <f t="shared" si="39"/>
        <v>0</v>
      </c>
      <c r="K224" s="385"/>
    </row>
    <row r="225" spans="1:12" s="351" customFormat="1" ht="15.75" thickBot="1" x14ac:dyDescent="0.3">
      <c r="A225" s="351" t="s">
        <v>629</v>
      </c>
      <c r="B225" s="359">
        <f>SUM(B218,B221)</f>
        <v>310338.76459999999</v>
      </c>
      <c r="C225" s="359">
        <f>SUM(C218,C221)</f>
        <v>312627.69</v>
      </c>
      <c r="D225" s="359">
        <f>SUM(D218,D221)</f>
        <v>209888.49999999994</v>
      </c>
      <c r="E225" s="359">
        <f>SUM(E218,E221)</f>
        <v>351381.68634999997</v>
      </c>
      <c r="F225" s="359">
        <f>SUM(F218,F221)</f>
        <v>350081.3909</v>
      </c>
      <c r="H225" s="359">
        <f>SUM(B225:G225)</f>
        <v>1534318.0318499999</v>
      </c>
      <c r="I225" s="352">
        <f t="shared" si="38"/>
        <v>10094.197577960525</v>
      </c>
      <c r="J225" s="353">
        <f t="shared" si="39"/>
        <v>3684382.1159555917</v>
      </c>
      <c r="K225" s="393"/>
    </row>
    <row r="226" spans="1:12" ht="15.75" thickTop="1" x14ac:dyDescent="0.25"/>
    <row r="228" spans="1:12" x14ac:dyDescent="0.25">
      <c r="K228" s="353" t="e">
        <f>SUM(K31,K35:K41,K61,K53:K57,K80:K84,K87:K94,K114:K128,K130:K139,K142:K153,K169:K176,K188:K208,K220)</f>
        <v>#REF!</v>
      </c>
      <c r="L228" s="442" t="s">
        <v>2769</v>
      </c>
    </row>
    <row r="230" spans="1:12" x14ac:dyDescent="0.25">
      <c r="K230" s="385" t="e">
        <f>#REF!+#REF!</f>
        <v>#REF!</v>
      </c>
    </row>
    <row r="232" spans="1:12" x14ac:dyDescent="0.25">
      <c r="K232" s="353" t="e">
        <f>K228-K230</f>
        <v>#REF!</v>
      </c>
    </row>
  </sheetData>
  <mergeCells count="1">
    <mergeCell ref="B3:G3"/>
  </mergeCells>
  <pageMargins left="0.25" right="0.25" top="0.75" bottom="0.75" header="0.3" footer="0.3"/>
  <pageSetup orientation="portrait" r:id="rId1"/>
  <headerFoot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6"/>
  <sheetViews>
    <sheetView showGridLines="0" workbookViewId="0">
      <pane ySplit="14" topLeftCell="A735" activePane="bottomLeft" state="frozen"/>
      <selection activeCell="K135" sqref="K135:M135"/>
      <selection pane="bottomLeft" activeCell="K135" sqref="K135:M135"/>
    </sheetView>
  </sheetViews>
  <sheetFormatPr defaultColWidth="9.140625" defaultRowHeight="15" x14ac:dyDescent="0.25"/>
  <cols>
    <col min="1" max="1" width="3.140625" style="360" customWidth="1"/>
    <col min="2" max="2" width="7.28515625" style="360" customWidth="1"/>
    <col min="3" max="3" width="10.5703125" style="360" customWidth="1"/>
    <col min="4" max="4" width="2.42578125" style="360" customWidth="1"/>
    <col min="5" max="5" width="2.140625" style="360" customWidth="1"/>
    <col min="6" max="6" width="8.28515625" style="360" customWidth="1"/>
    <col min="7" max="7" width="5.140625" style="360" customWidth="1"/>
    <col min="8" max="8" width="8.140625" style="360" customWidth="1"/>
    <col min="9" max="9" width="8.7109375" style="360" customWidth="1"/>
    <col min="10" max="10" width="11.28515625" style="360" customWidth="1"/>
    <col min="11" max="11" width="7.85546875" style="360" customWidth="1"/>
    <col min="12" max="12" width="1.7109375" style="360" customWidth="1"/>
    <col min="13" max="13" width="1.5703125" style="360" customWidth="1"/>
    <col min="14" max="14" width="5.140625" style="360" customWidth="1"/>
    <col min="15" max="17" width="5.28515625" style="360" customWidth="1"/>
    <col min="18" max="18" width="7.7109375" style="360" customWidth="1"/>
    <col min="19" max="19" width="7.28515625" style="360" customWidth="1"/>
    <col min="20" max="20" width="5" style="360" customWidth="1"/>
    <col min="21" max="21" width="5.28515625" style="360" customWidth="1"/>
    <col min="22" max="22" width="2.85546875" style="360" customWidth="1"/>
    <col min="23" max="23" width="3.85546875" style="360" customWidth="1"/>
    <col min="24" max="24" width="7.28515625" style="360" customWidth="1"/>
    <col min="25" max="25" width="12.140625" style="360" customWidth="1"/>
    <col min="26" max="26" width="6.85546875" style="360" customWidth="1"/>
    <col min="27" max="27" width="0" style="360" hidden="1" customWidth="1"/>
    <col min="28" max="28" width="0.140625" style="360" customWidth="1"/>
    <col min="29" max="29" width="0" style="360" hidden="1" customWidth="1"/>
    <col min="30" max="16384" width="9.140625" style="360"/>
  </cols>
  <sheetData>
    <row r="1" spans="1:28" ht="4.9000000000000004" customHeight="1" x14ac:dyDescent="0.25"/>
    <row r="2" spans="1:28" ht="2.4500000000000002" customHeight="1" x14ac:dyDescent="0.25">
      <c r="B2" s="470"/>
      <c r="C2" s="470"/>
      <c r="D2" s="470"/>
      <c r="W2" s="471" t="s">
        <v>630</v>
      </c>
      <c r="X2" s="470"/>
      <c r="Y2" s="470"/>
      <c r="Z2" s="470"/>
      <c r="AA2" s="470"/>
      <c r="AB2" s="470"/>
    </row>
    <row r="3" spans="1:28" ht="18" customHeight="1" x14ac:dyDescent="0.25">
      <c r="B3" s="470"/>
      <c r="C3" s="470"/>
      <c r="D3" s="470"/>
      <c r="G3" s="472" t="s">
        <v>631</v>
      </c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W3" s="470"/>
      <c r="X3" s="470"/>
      <c r="Y3" s="470"/>
      <c r="Z3" s="470"/>
      <c r="AA3" s="470"/>
      <c r="AB3" s="470"/>
    </row>
    <row r="4" spans="1:28" ht="1.35" customHeight="1" x14ac:dyDescent="0.25">
      <c r="B4" s="470"/>
      <c r="C4" s="470"/>
      <c r="D4" s="470"/>
      <c r="W4" s="470"/>
      <c r="X4" s="470"/>
      <c r="Y4" s="470"/>
      <c r="Z4" s="470"/>
      <c r="AA4" s="470"/>
      <c r="AB4" s="470"/>
    </row>
    <row r="5" spans="1:28" ht="2.65" customHeight="1" x14ac:dyDescent="0.25">
      <c r="B5" s="470"/>
      <c r="C5" s="470"/>
      <c r="D5" s="470"/>
    </row>
    <row r="6" spans="1:28" ht="1.35" customHeight="1" x14ac:dyDescent="0.25">
      <c r="B6" s="470"/>
      <c r="C6" s="470"/>
      <c r="D6" s="470"/>
      <c r="G6" s="473" t="s">
        <v>632</v>
      </c>
      <c r="H6" s="470"/>
      <c r="I6" s="470"/>
      <c r="J6" s="470"/>
      <c r="K6" s="470"/>
      <c r="M6" s="473" t="s">
        <v>633</v>
      </c>
      <c r="N6" s="470"/>
      <c r="O6" s="470"/>
      <c r="P6" s="470"/>
      <c r="Q6" s="470"/>
      <c r="R6" s="470"/>
      <c r="S6" s="470"/>
      <c r="T6" s="470"/>
    </row>
    <row r="7" spans="1:28" ht="10.35" customHeight="1" x14ac:dyDescent="0.25">
      <c r="B7" s="470"/>
      <c r="C7" s="470"/>
      <c r="D7" s="470"/>
      <c r="G7" s="470"/>
      <c r="H7" s="470"/>
      <c r="I7" s="470"/>
      <c r="J7" s="470"/>
      <c r="K7" s="470"/>
      <c r="M7" s="470"/>
      <c r="N7" s="470"/>
      <c r="O7" s="470"/>
      <c r="P7" s="470"/>
      <c r="Q7" s="470"/>
      <c r="R7" s="470"/>
      <c r="S7" s="470"/>
      <c r="T7" s="470"/>
      <c r="X7" s="471" t="s">
        <v>634</v>
      </c>
      <c r="Y7" s="470"/>
      <c r="Z7" s="470"/>
      <c r="AA7" s="470"/>
      <c r="AB7" s="470"/>
    </row>
    <row r="8" spans="1:28" x14ac:dyDescent="0.25">
      <c r="G8" s="470"/>
      <c r="H8" s="470"/>
      <c r="I8" s="470"/>
      <c r="J8" s="470"/>
      <c r="K8" s="470"/>
      <c r="M8" s="470"/>
      <c r="N8" s="470"/>
      <c r="O8" s="470"/>
      <c r="P8" s="470"/>
      <c r="Q8" s="470"/>
      <c r="R8" s="470"/>
      <c r="S8" s="470"/>
      <c r="T8" s="470"/>
      <c r="X8" s="470"/>
      <c r="Y8" s="470"/>
      <c r="Z8" s="470"/>
      <c r="AA8" s="470"/>
      <c r="AB8" s="470"/>
    </row>
    <row r="9" spans="1:28" x14ac:dyDescent="0.25">
      <c r="G9" s="470"/>
      <c r="H9" s="470"/>
      <c r="I9" s="470"/>
      <c r="J9" s="470"/>
      <c r="K9" s="470"/>
      <c r="M9" s="470"/>
      <c r="N9" s="470"/>
      <c r="O9" s="470"/>
      <c r="P9" s="470"/>
      <c r="Q9" s="470"/>
      <c r="R9" s="470"/>
      <c r="S9" s="470"/>
      <c r="T9" s="470"/>
    </row>
    <row r="10" spans="1:28" ht="5.0999999999999996" customHeight="1" x14ac:dyDescent="0.25"/>
    <row r="11" spans="1:28" ht="18" customHeight="1" x14ac:dyDescent="0.25">
      <c r="G11" s="473" t="s">
        <v>635</v>
      </c>
      <c r="H11" s="470"/>
      <c r="I11" s="470"/>
      <c r="J11" s="470"/>
      <c r="K11" s="470"/>
      <c r="M11" s="473" t="s">
        <v>636</v>
      </c>
      <c r="N11" s="470"/>
      <c r="O11" s="470"/>
      <c r="P11" s="470"/>
      <c r="Q11" s="470"/>
      <c r="R11" s="470"/>
      <c r="S11" s="470"/>
      <c r="T11" s="470"/>
    </row>
    <row r="12" spans="1:28" ht="4.9000000000000004" customHeight="1" x14ac:dyDescent="0.25"/>
    <row r="13" spans="1:28" ht="18" customHeight="1" x14ac:dyDescent="0.25">
      <c r="G13" s="480" t="s">
        <v>637</v>
      </c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</row>
    <row r="14" spans="1:28" ht="0.6" customHeight="1" x14ac:dyDescent="0.25"/>
    <row r="15" spans="1:28" ht="8.25" customHeight="1" x14ac:dyDescent="0.25"/>
    <row r="16" spans="1:28" ht="22.5" x14ac:dyDescent="0.25">
      <c r="A16" s="476" t="s">
        <v>638</v>
      </c>
      <c r="B16" s="478"/>
      <c r="C16" s="361" t="s">
        <v>639</v>
      </c>
      <c r="D16" s="476" t="s">
        <v>39</v>
      </c>
      <c r="E16" s="478"/>
      <c r="F16" s="476" t="s">
        <v>640</v>
      </c>
      <c r="G16" s="478"/>
      <c r="H16" s="361" t="s">
        <v>641</v>
      </c>
      <c r="I16" s="361" t="s">
        <v>642</v>
      </c>
      <c r="J16" s="361" t="s">
        <v>643</v>
      </c>
      <c r="K16" s="476" t="s">
        <v>644</v>
      </c>
      <c r="L16" s="477"/>
      <c r="M16" s="478"/>
      <c r="N16" s="361" t="s">
        <v>645</v>
      </c>
      <c r="O16" s="361" t="s">
        <v>646</v>
      </c>
      <c r="P16" s="361" t="s">
        <v>647</v>
      </c>
      <c r="Q16" s="361" t="s">
        <v>648</v>
      </c>
      <c r="R16" s="361" t="s">
        <v>649</v>
      </c>
      <c r="S16" s="361" t="s">
        <v>650</v>
      </c>
      <c r="T16" s="476" t="s">
        <v>651</v>
      </c>
      <c r="U16" s="478"/>
      <c r="V16" s="476" t="s">
        <v>652</v>
      </c>
      <c r="W16" s="477"/>
      <c r="X16" s="478"/>
      <c r="Y16" s="361" t="s">
        <v>653</v>
      </c>
      <c r="Z16" s="361" t="s">
        <v>654</v>
      </c>
    </row>
    <row r="17" spans="1:26" x14ac:dyDescent="0.25">
      <c r="A17" s="479" t="s">
        <v>655</v>
      </c>
      <c r="B17" s="470"/>
      <c r="C17" s="362" t="s">
        <v>655</v>
      </c>
      <c r="D17" s="479" t="s">
        <v>655</v>
      </c>
      <c r="E17" s="470"/>
      <c r="F17" s="479" t="s">
        <v>655</v>
      </c>
      <c r="G17" s="470"/>
      <c r="H17" s="362" t="s">
        <v>655</v>
      </c>
      <c r="I17" s="363" t="s">
        <v>655</v>
      </c>
      <c r="J17" s="362" t="s">
        <v>655</v>
      </c>
      <c r="K17" s="479" t="s">
        <v>655</v>
      </c>
      <c r="L17" s="470"/>
      <c r="M17" s="470"/>
      <c r="N17" s="362" t="s">
        <v>655</v>
      </c>
      <c r="O17" s="362" t="s">
        <v>655</v>
      </c>
      <c r="P17" s="362" t="s">
        <v>655</v>
      </c>
      <c r="Q17" s="362" t="s">
        <v>655</v>
      </c>
      <c r="R17" s="362" t="s">
        <v>655</v>
      </c>
      <c r="S17" s="362" t="s">
        <v>655</v>
      </c>
      <c r="T17" s="479" t="s">
        <v>655</v>
      </c>
      <c r="U17" s="470"/>
      <c r="V17" s="479" t="s">
        <v>655</v>
      </c>
      <c r="W17" s="470"/>
      <c r="X17" s="470"/>
      <c r="Y17" s="362" t="s">
        <v>655</v>
      </c>
      <c r="Z17" s="362" t="s">
        <v>655</v>
      </c>
    </row>
    <row r="18" spans="1:26" x14ac:dyDescent="0.25">
      <c r="A18" s="474" t="s">
        <v>656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364" t="s">
        <v>655</v>
      </c>
      <c r="Q18" s="365" t="s">
        <v>655</v>
      </c>
      <c r="R18" s="365" t="s">
        <v>655</v>
      </c>
      <c r="S18" s="365" t="s">
        <v>655</v>
      </c>
      <c r="T18" s="475" t="s">
        <v>655</v>
      </c>
      <c r="U18" s="470"/>
      <c r="V18" s="475" t="s">
        <v>655</v>
      </c>
      <c r="W18" s="470"/>
      <c r="X18" s="470"/>
      <c r="Y18" s="365" t="s">
        <v>655</v>
      </c>
      <c r="Z18" s="365" t="s">
        <v>655</v>
      </c>
    </row>
    <row r="19" spans="1:26" x14ac:dyDescent="0.25">
      <c r="A19" s="474" t="s">
        <v>657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364" t="s">
        <v>655</v>
      </c>
      <c r="Q19" s="365" t="s">
        <v>655</v>
      </c>
      <c r="R19" s="365" t="s">
        <v>655</v>
      </c>
      <c r="S19" s="365" t="s">
        <v>655</v>
      </c>
      <c r="T19" s="475" t="s">
        <v>655</v>
      </c>
      <c r="U19" s="470"/>
      <c r="V19" s="475" t="s">
        <v>655</v>
      </c>
      <c r="W19" s="470"/>
      <c r="X19" s="470"/>
      <c r="Y19" s="365" t="s">
        <v>655</v>
      </c>
      <c r="Z19" s="365" t="s">
        <v>655</v>
      </c>
    </row>
    <row r="20" spans="1:26" x14ac:dyDescent="0.25">
      <c r="A20" s="487" t="s">
        <v>491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366" t="s">
        <v>655</v>
      </c>
      <c r="Q20" s="367" t="s">
        <v>655</v>
      </c>
      <c r="R20" s="367" t="s">
        <v>655</v>
      </c>
      <c r="S20" s="367" t="s">
        <v>655</v>
      </c>
      <c r="T20" s="482" t="s">
        <v>655</v>
      </c>
      <c r="U20" s="470"/>
      <c r="V20" s="482" t="s">
        <v>655</v>
      </c>
      <c r="W20" s="470"/>
      <c r="X20" s="470"/>
      <c r="Y20" s="367" t="s">
        <v>655</v>
      </c>
      <c r="Z20" s="367" t="s">
        <v>655</v>
      </c>
    </row>
    <row r="21" spans="1:26" x14ac:dyDescent="0.25">
      <c r="A21" s="481">
        <v>42273</v>
      </c>
      <c r="B21" s="470"/>
      <c r="C21" s="368">
        <v>42276</v>
      </c>
      <c r="F21" s="482" t="s">
        <v>658</v>
      </c>
      <c r="G21" s="470"/>
      <c r="H21" s="369" t="s">
        <v>659</v>
      </c>
      <c r="I21" s="369" t="s">
        <v>660</v>
      </c>
      <c r="J21" s="367" t="s">
        <v>661</v>
      </c>
      <c r="K21" s="482" t="s">
        <v>662</v>
      </c>
      <c r="L21" s="470"/>
      <c r="M21" s="470"/>
      <c r="N21" s="369" t="s">
        <v>655</v>
      </c>
      <c r="O21" s="369" t="s">
        <v>655</v>
      </c>
      <c r="P21" s="369" t="s">
        <v>655</v>
      </c>
      <c r="Q21" s="369" t="s">
        <v>655</v>
      </c>
      <c r="R21" s="367" t="s">
        <v>663</v>
      </c>
      <c r="S21" s="367">
        <v>3688547</v>
      </c>
      <c r="T21" s="483">
        <v>0</v>
      </c>
      <c r="U21" s="470"/>
      <c r="V21" s="483">
        <v>0</v>
      </c>
      <c r="W21" s="470"/>
      <c r="X21" s="470"/>
      <c r="Y21" s="370">
        <v>0</v>
      </c>
      <c r="Z21" s="371">
        <v>1</v>
      </c>
    </row>
    <row r="22" spans="1:26" x14ac:dyDescent="0.25">
      <c r="A22" s="481">
        <v>42462</v>
      </c>
      <c r="B22" s="470"/>
      <c r="C22" s="368">
        <v>42465</v>
      </c>
      <c r="F22" s="482" t="s">
        <v>664</v>
      </c>
      <c r="G22" s="470"/>
      <c r="H22" s="369" t="s">
        <v>659</v>
      </c>
      <c r="I22" s="369" t="s">
        <v>665</v>
      </c>
      <c r="J22" s="367" t="s">
        <v>666</v>
      </c>
      <c r="K22" s="482" t="s">
        <v>667</v>
      </c>
      <c r="L22" s="470"/>
      <c r="M22" s="470"/>
      <c r="N22" s="369" t="s">
        <v>655</v>
      </c>
      <c r="O22" s="369" t="s">
        <v>655</v>
      </c>
      <c r="P22" s="369" t="s">
        <v>655</v>
      </c>
      <c r="Q22" s="369" t="s">
        <v>655</v>
      </c>
      <c r="R22" s="367" t="s">
        <v>668</v>
      </c>
      <c r="S22" s="367">
        <v>4870972</v>
      </c>
      <c r="T22" s="483">
        <v>0</v>
      </c>
      <c r="U22" s="470"/>
      <c r="V22" s="483">
        <v>0</v>
      </c>
      <c r="W22" s="470"/>
      <c r="X22" s="470"/>
      <c r="Y22" s="370">
        <v>0</v>
      </c>
      <c r="Z22" s="371">
        <v>1</v>
      </c>
    </row>
    <row r="23" spans="1:26" x14ac:dyDescent="0.25">
      <c r="A23" s="484" t="s">
        <v>655</v>
      </c>
      <c r="B23" s="470"/>
      <c r="C23" s="470"/>
      <c r="D23" s="485" t="s">
        <v>669</v>
      </c>
      <c r="E23" s="470"/>
      <c r="F23" s="470"/>
      <c r="G23" s="470"/>
      <c r="H23" s="484" t="s">
        <v>670</v>
      </c>
      <c r="I23" s="470"/>
      <c r="J23" s="470"/>
      <c r="K23" s="470"/>
      <c r="L23" s="470"/>
      <c r="M23" s="470"/>
      <c r="N23" s="470"/>
      <c r="O23" s="372" t="s">
        <v>655</v>
      </c>
      <c r="P23" s="372" t="s">
        <v>655</v>
      </c>
      <c r="Q23" s="372" t="s">
        <v>655</v>
      </c>
      <c r="R23" s="372" t="s">
        <v>655</v>
      </c>
      <c r="S23" s="372">
        <v>8559519</v>
      </c>
      <c r="T23" s="486">
        <v>0</v>
      </c>
      <c r="U23" s="470"/>
      <c r="V23" s="486">
        <v>0</v>
      </c>
      <c r="W23" s="470"/>
      <c r="X23" s="470"/>
      <c r="Y23" s="373">
        <v>0</v>
      </c>
      <c r="Z23" s="374" t="s">
        <v>655</v>
      </c>
    </row>
    <row r="24" spans="1:26" x14ac:dyDescent="0.25">
      <c r="A24" s="489" t="s">
        <v>655</v>
      </c>
      <c r="B24" s="470"/>
      <c r="C24" s="470"/>
      <c r="D24" s="490" t="s">
        <v>669</v>
      </c>
      <c r="E24" s="470"/>
      <c r="F24" s="470"/>
      <c r="G24" s="470"/>
      <c r="H24" s="489" t="s">
        <v>671</v>
      </c>
      <c r="I24" s="470"/>
      <c r="J24" s="470"/>
      <c r="K24" s="470"/>
      <c r="L24" s="470"/>
      <c r="M24" s="470"/>
      <c r="N24" s="470"/>
      <c r="O24" s="375" t="s">
        <v>655</v>
      </c>
      <c r="P24" s="375" t="s">
        <v>655</v>
      </c>
      <c r="Q24" s="375" t="s">
        <v>655</v>
      </c>
      <c r="R24" s="375" t="s">
        <v>655</v>
      </c>
      <c r="S24" s="375" t="s">
        <v>655</v>
      </c>
      <c r="T24" s="491">
        <v>0</v>
      </c>
      <c r="U24" s="470"/>
      <c r="V24" s="491">
        <v>0</v>
      </c>
      <c r="W24" s="470"/>
      <c r="X24" s="470"/>
      <c r="Y24" s="376">
        <v>0</v>
      </c>
      <c r="Z24" s="377" t="s">
        <v>655</v>
      </c>
    </row>
    <row r="25" spans="1:26" x14ac:dyDescent="0.25">
      <c r="A25" s="492" t="s">
        <v>655</v>
      </c>
      <c r="B25" s="470"/>
      <c r="C25" s="378" t="s">
        <v>655</v>
      </c>
      <c r="D25" s="493" t="s">
        <v>655</v>
      </c>
      <c r="E25" s="470"/>
      <c r="F25" s="493" t="s">
        <v>655</v>
      </c>
      <c r="G25" s="470"/>
      <c r="H25" s="378" t="s">
        <v>655</v>
      </c>
      <c r="I25" s="378" t="s">
        <v>655</v>
      </c>
      <c r="J25" s="378" t="s">
        <v>655</v>
      </c>
      <c r="K25" s="492" t="s">
        <v>655</v>
      </c>
      <c r="L25" s="470"/>
      <c r="M25" s="470"/>
      <c r="N25" s="378" t="s">
        <v>655</v>
      </c>
      <c r="O25" s="378" t="s">
        <v>655</v>
      </c>
      <c r="P25" s="378" t="s">
        <v>655</v>
      </c>
      <c r="Q25" s="378" t="s">
        <v>655</v>
      </c>
      <c r="R25" s="378" t="s">
        <v>655</v>
      </c>
      <c r="S25" s="378" t="s">
        <v>655</v>
      </c>
      <c r="T25" s="488" t="s">
        <v>655</v>
      </c>
      <c r="U25" s="470"/>
      <c r="V25" s="488" t="s">
        <v>655</v>
      </c>
      <c r="W25" s="470"/>
      <c r="X25" s="470"/>
      <c r="Y25" s="379" t="s">
        <v>655</v>
      </c>
      <c r="Z25" s="379" t="s">
        <v>655</v>
      </c>
    </row>
    <row r="26" spans="1:26" x14ac:dyDescent="0.25">
      <c r="A26" s="474" t="s">
        <v>672</v>
      </c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364" t="s">
        <v>655</v>
      </c>
      <c r="Q26" s="365" t="s">
        <v>655</v>
      </c>
      <c r="R26" s="365" t="s">
        <v>655</v>
      </c>
      <c r="S26" s="365" t="s">
        <v>655</v>
      </c>
      <c r="T26" s="475" t="s">
        <v>655</v>
      </c>
      <c r="U26" s="470"/>
      <c r="V26" s="475" t="s">
        <v>655</v>
      </c>
      <c r="W26" s="470"/>
      <c r="X26" s="470"/>
      <c r="Y26" s="365" t="s">
        <v>655</v>
      </c>
      <c r="Z26" s="365" t="s">
        <v>655</v>
      </c>
    </row>
    <row r="27" spans="1:26" x14ac:dyDescent="0.25">
      <c r="A27" s="474" t="s">
        <v>657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364" t="s">
        <v>655</v>
      </c>
      <c r="Q27" s="365" t="s">
        <v>655</v>
      </c>
      <c r="R27" s="365" t="s">
        <v>655</v>
      </c>
      <c r="S27" s="365" t="s">
        <v>655</v>
      </c>
      <c r="T27" s="475" t="s">
        <v>655</v>
      </c>
      <c r="U27" s="470"/>
      <c r="V27" s="475" t="s">
        <v>655</v>
      </c>
      <c r="W27" s="470"/>
      <c r="X27" s="470"/>
      <c r="Y27" s="365" t="s">
        <v>655</v>
      </c>
      <c r="Z27" s="365" t="s">
        <v>655</v>
      </c>
    </row>
    <row r="28" spans="1:26" x14ac:dyDescent="0.25">
      <c r="A28" s="487" t="s">
        <v>491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366" t="s">
        <v>655</v>
      </c>
      <c r="Q28" s="367" t="s">
        <v>655</v>
      </c>
      <c r="R28" s="367" t="s">
        <v>655</v>
      </c>
      <c r="S28" s="367" t="s">
        <v>655</v>
      </c>
      <c r="T28" s="482" t="s">
        <v>655</v>
      </c>
      <c r="U28" s="470"/>
      <c r="V28" s="482" t="s">
        <v>655</v>
      </c>
      <c r="W28" s="470"/>
      <c r="X28" s="470"/>
      <c r="Y28" s="367" t="s">
        <v>655</v>
      </c>
      <c r="Z28" s="367" t="s">
        <v>655</v>
      </c>
    </row>
    <row r="29" spans="1:26" x14ac:dyDescent="0.25">
      <c r="A29" s="481">
        <v>42163</v>
      </c>
      <c r="B29" s="470"/>
      <c r="C29" s="368">
        <v>42164</v>
      </c>
      <c r="F29" s="482" t="s">
        <v>673</v>
      </c>
      <c r="G29" s="470"/>
      <c r="H29" s="369" t="s">
        <v>659</v>
      </c>
      <c r="I29" s="369" t="s">
        <v>674</v>
      </c>
      <c r="J29" s="367" t="s">
        <v>675</v>
      </c>
      <c r="K29" s="482" t="s">
        <v>676</v>
      </c>
      <c r="L29" s="470"/>
      <c r="M29" s="470"/>
      <c r="N29" s="369" t="s">
        <v>655</v>
      </c>
      <c r="O29" s="369" t="s">
        <v>655</v>
      </c>
      <c r="P29" s="369" t="s">
        <v>655</v>
      </c>
      <c r="Q29" s="369" t="s">
        <v>655</v>
      </c>
      <c r="R29" s="367" t="s">
        <v>677</v>
      </c>
      <c r="S29" s="367">
        <v>3146491</v>
      </c>
      <c r="T29" s="483">
        <f>100</f>
        <v>100</v>
      </c>
      <c r="U29" s="470"/>
      <c r="V29" s="483">
        <v>0</v>
      </c>
      <c r="W29" s="470"/>
      <c r="X29" s="470"/>
      <c r="Y29" s="370">
        <f>V29</f>
        <v>0</v>
      </c>
      <c r="Z29" s="371"/>
    </row>
    <row r="30" spans="1:26" x14ac:dyDescent="0.25">
      <c r="A30" s="481">
        <v>42170</v>
      </c>
      <c r="B30" s="470"/>
      <c r="C30" s="368">
        <v>42171</v>
      </c>
      <c r="F30" s="482" t="s">
        <v>678</v>
      </c>
      <c r="G30" s="470"/>
      <c r="H30" s="369" t="s">
        <v>659</v>
      </c>
      <c r="I30" s="369" t="s">
        <v>679</v>
      </c>
      <c r="J30" s="367" t="s">
        <v>680</v>
      </c>
      <c r="K30" s="482" t="s">
        <v>681</v>
      </c>
      <c r="L30" s="470"/>
      <c r="M30" s="470"/>
      <c r="N30" s="369" t="s">
        <v>655</v>
      </c>
      <c r="O30" s="369" t="s">
        <v>655</v>
      </c>
      <c r="P30" s="369" t="s">
        <v>655</v>
      </c>
      <c r="Q30" s="369" t="s">
        <v>655</v>
      </c>
      <c r="R30" s="367" t="s">
        <v>682</v>
      </c>
      <c r="S30" s="367">
        <v>3181292</v>
      </c>
      <c r="T30" s="483">
        <f>100</f>
        <v>100</v>
      </c>
      <c r="U30" s="470"/>
      <c r="V30" s="483">
        <v>0</v>
      </c>
      <c r="W30" s="470"/>
      <c r="X30" s="470"/>
      <c r="Y30" s="370">
        <f t="shared" ref="Y30:Y52" si="0">V30</f>
        <v>0</v>
      </c>
      <c r="Z30" s="371">
        <v>9</v>
      </c>
    </row>
    <row r="31" spans="1:26" x14ac:dyDescent="0.25">
      <c r="A31" s="481">
        <v>42184</v>
      </c>
      <c r="B31" s="470"/>
      <c r="C31" s="368">
        <v>42192</v>
      </c>
      <c r="F31" s="482" t="s">
        <v>673</v>
      </c>
      <c r="G31" s="470"/>
      <c r="H31" s="369" t="s">
        <v>659</v>
      </c>
      <c r="I31" s="369" t="s">
        <v>674</v>
      </c>
      <c r="J31" s="367" t="s">
        <v>675</v>
      </c>
      <c r="K31" s="482" t="s">
        <v>676</v>
      </c>
      <c r="L31" s="470"/>
      <c r="M31" s="470"/>
      <c r="N31" s="369" t="s">
        <v>655</v>
      </c>
      <c r="O31" s="369" t="s">
        <v>655</v>
      </c>
      <c r="P31" s="369" t="s">
        <v>655</v>
      </c>
      <c r="Q31" s="369" t="s">
        <v>655</v>
      </c>
      <c r="R31" s="367" t="s">
        <v>683</v>
      </c>
      <c r="S31" s="367">
        <v>3249478</v>
      </c>
      <c r="T31" s="483">
        <f>100</f>
        <v>100</v>
      </c>
      <c r="U31" s="470"/>
      <c r="V31" s="483">
        <v>0</v>
      </c>
      <c r="W31" s="470"/>
      <c r="X31" s="470"/>
      <c r="Y31" s="370">
        <f t="shared" si="0"/>
        <v>0</v>
      </c>
      <c r="Z31" s="371"/>
    </row>
    <row r="32" spans="1:26" x14ac:dyDescent="0.25">
      <c r="A32" s="481">
        <v>42193</v>
      </c>
      <c r="B32" s="470"/>
      <c r="C32" s="368">
        <v>42202</v>
      </c>
      <c r="F32" s="482" t="s">
        <v>684</v>
      </c>
      <c r="G32" s="470"/>
      <c r="H32" s="369" t="s">
        <v>659</v>
      </c>
      <c r="I32" s="369" t="s">
        <v>674</v>
      </c>
      <c r="J32" s="367" t="s">
        <v>675</v>
      </c>
      <c r="K32" s="482" t="s">
        <v>676</v>
      </c>
      <c r="L32" s="470"/>
      <c r="M32" s="470"/>
      <c r="N32" s="369" t="s">
        <v>655</v>
      </c>
      <c r="O32" s="369" t="s">
        <v>655</v>
      </c>
      <c r="P32" s="369" t="s">
        <v>655</v>
      </c>
      <c r="Q32" s="369" t="s">
        <v>655</v>
      </c>
      <c r="R32" s="367" t="s">
        <v>685</v>
      </c>
      <c r="S32" s="367">
        <v>3292306</v>
      </c>
      <c r="T32" s="483">
        <f>100</f>
        <v>100</v>
      </c>
      <c r="U32" s="470"/>
      <c r="V32" s="483">
        <v>0</v>
      </c>
      <c r="W32" s="470"/>
      <c r="X32" s="470"/>
      <c r="Y32" s="370">
        <f t="shared" si="0"/>
        <v>0</v>
      </c>
      <c r="Z32" s="371"/>
    </row>
    <row r="33" spans="1:26" x14ac:dyDescent="0.25">
      <c r="A33" s="481">
        <v>42197</v>
      </c>
      <c r="B33" s="470"/>
      <c r="C33" s="368">
        <v>42202</v>
      </c>
      <c r="F33" s="482" t="s">
        <v>686</v>
      </c>
      <c r="G33" s="470"/>
      <c r="H33" s="369" t="s">
        <v>659</v>
      </c>
      <c r="I33" s="369" t="s">
        <v>687</v>
      </c>
      <c r="J33" s="367" t="s">
        <v>688</v>
      </c>
      <c r="K33" s="482" t="s">
        <v>689</v>
      </c>
      <c r="L33" s="470"/>
      <c r="M33" s="470"/>
      <c r="N33" s="369" t="s">
        <v>655</v>
      </c>
      <c r="O33" s="369" t="s">
        <v>655</v>
      </c>
      <c r="P33" s="369" t="s">
        <v>655</v>
      </c>
      <c r="Q33" s="369" t="s">
        <v>655</v>
      </c>
      <c r="R33" s="367" t="s">
        <v>690</v>
      </c>
      <c r="S33" s="367">
        <v>3305081</v>
      </c>
      <c r="T33" s="483">
        <f>100</f>
        <v>100</v>
      </c>
      <c r="U33" s="470"/>
      <c r="V33" s="483">
        <v>0</v>
      </c>
      <c r="W33" s="470"/>
      <c r="X33" s="470"/>
      <c r="Y33" s="370">
        <f t="shared" si="0"/>
        <v>0</v>
      </c>
      <c r="Z33" s="371">
        <v>1</v>
      </c>
    </row>
    <row r="34" spans="1:26" x14ac:dyDescent="0.25">
      <c r="A34" s="481">
        <v>42208</v>
      </c>
      <c r="B34" s="470"/>
      <c r="C34" s="368">
        <v>42209</v>
      </c>
      <c r="F34" s="482" t="s">
        <v>673</v>
      </c>
      <c r="G34" s="470"/>
      <c r="H34" s="369" t="s">
        <v>659</v>
      </c>
      <c r="I34" s="369" t="s">
        <v>691</v>
      </c>
      <c r="J34" s="367" t="s">
        <v>692</v>
      </c>
      <c r="K34" s="482" t="s">
        <v>693</v>
      </c>
      <c r="L34" s="470"/>
      <c r="M34" s="470"/>
      <c r="N34" s="369" t="s">
        <v>655</v>
      </c>
      <c r="O34" s="369" t="s">
        <v>655</v>
      </c>
      <c r="P34" s="369" t="s">
        <v>655</v>
      </c>
      <c r="Q34" s="369" t="s">
        <v>655</v>
      </c>
      <c r="R34" s="367" t="s">
        <v>694</v>
      </c>
      <c r="S34" s="367">
        <v>3364107</v>
      </c>
      <c r="T34" s="483">
        <f>100</f>
        <v>100</v>
      </c>
      <c r="U34" s="470"/>
      <c r="V34" s="483">
        <v>0</v>
      </c>
      <c r="W34" s="470"/>
      <c r="X34" s="470"/>
      <c r="Y34" s="370">
        <f t="shared" si="0"/>
        <v>0</v>
      </c>
      <c r="Z34" s="371">
        <v>2</v>
      </c>
    </row>
    <row r="35" spans="1:26" x14ac:dyDescent="0.25">
      <c r="A35" s="481">
        <v>42215</v>
      </c>
      <c r="B35" s="470"/>
      <c r="C35" s="368">
        <v>42215</v>
      </c>
      <c r="F35" s="482" t="s">
        <v>695</v>
      </c>
      <c r="G35" s="470"/>
      <c r="H35" s="369" t="s">
        <v>659</v>
      </c>
      <c r="I35" s="369" t="s">
        <v>691</v>
      </c>
      <c r="J35" s="367" t="s">
        <v>692</v>
      </c>
      <c r="K35" s="482" t="s">
        <v>693</v>
      </c>
      <c r="L35" s="470"/>
      <c r="M35" s="470"/>
      <c r="N35" s="369" t="s">
        <v>655</v>
      </c>
      <c r="O35" s="369" t="s">
        <v>655</v>
      </c>
      <c r="P35" s="369" t="s">
        <v>655</v>
      </c>
      <c r="Q35" s="369" t="s">
        <v>655</v>
      </c>
      <c r="R35" s="367" t="s">
        <v>696</v>
      </c>
      <c r="S35" s="367">
        <v>3398201</v>
      </c>
      <c r="T35" s="483">
        <f>100</f>
        <v>100</v>
      </c>
      <c r="U35" s="470"/>
      <c r="V35" s="483">
        <v>0</v>
      </c>
      <c r="W35" s="470"/>
      <c r="X35" s="470"/>
      <c r="Y35" s="370">
        <f t="shared" si="0"/>
        <v>0</v>
      </c>
      <c r="Z35" s="371"/>
    </row>
    <row r="36" spans="1:26" x14ac:dyDescent="0.25">
      <c r="A36" s="481">
        <v>42230</v>
      </c>
      <c r="B36" s="470"/>
      <c r="C36" s="368">
        <v>42236</v>
      </c>
      <c r="F36" s="482" t="s">
        <v>697</v>
      </c>
      <c r="G36" s="470"/>
      <c r="H36" s="369" t="s">
        <v>659</v>
      </c>
      <c r="I36" s="369" t="s">
        <v>674</v>
      </c>
      <c r="J36" s="367" t="s">
        <v>675</v>
      </c>
      <c r="K36" s="482" t="s">
        <v>676</v>
      </c>
      <c r="L36" s="470"/>
      <c r="M36" s="470"/>
      <c r="N36" s="369" t="s">
        <v>655</v>
      </c>
      <c r="O36" s="369" t="s">
        <v>655</v>
      </c>
      <c r="P36" s="369" t="s">
        <v>655</v>
      </c>
      <c r="Q36" s="369" t="s">
        <v>655</v>
      </c>
      <c r="R36" s="367" t="s">
        <v>698</v>
      </c>
      <c r="S36" s="367">
        <v>3470816</v>
      </c>
      <c r="T36" s="483">
        <f>100</f>
        <v>100</v>
      </c>
      <c r="U36" s="470"/>
      <c r="V36" s="483">
        <v>0</v>
      </c>
      <c r="W36" s="470"/>
      <c r="X36" s="470"/>
      <c r="Y36" s="370">
        <f t="shared" si="0"/>
        <v>0</v>
      </c>
      <c r="Z36" s="371"/>
    </row>
    <row r="37" spans="1:26" x14ac:dyDescent="0.25">
      <c r="A37" s="481">
        <v>42237</v>
      </c>
      <c r="B37" s="470"/>
      <c r="C37" s="368">
        <v>42237</v>
      </c>
      <c r="F37" s="482" t="s">
        <v>699</v>
      </c>
      <c r="G37" s="470"/>
      <c r="H37" s="369" t="s">
        <v>659</v>
      </c>
      <c r="I37" s="369" t="s">
        <v>700</v>
      </c>
      <c r="J37" s="367" t="s">
        <v>701</v>
      </c>
      <c r="K37" s="482" t="s">
        <v>702</v>
      </c>
      <c r="L37" s="470"/>
      <c r="M37" s="470"/>
      <c r="N37" s="369" t="s">
        <v>655</v>
      </c>
      <c r="O37" s="369" t="s">
        <v>655</v>
      </c>
      <c r="P37" s="369" t="s">
        <v>655</v>
      </c>
      <c r="Q37" s="369" t="s">
        <v>655</v>
      </c>
      <c r="R37" s="367" t="s">
        <v>703</v>
      </c>
      <c r="S37" s="367">
        <v>3508843</v>
      </c>
      <c r="T37" s="483">
        <f>100</f>
        <v>100</v>
      </c>
      <c r="U37" s="470"/>
      <c r="V37" s="483">
        <v>0</v>
      </c>
      <c r="W37" s="470"/>
      <c r="X37" s="470"/>
      <c r="Y37" s="370">
        <f t="shared" si="0"/>
        <v>0</v>
      </c>
      <c r="Z37" s="371"/>
    </row>
    <row r="38" spans="1:26" x14ac:dyDescent="0.25">
      <c r="A38" s="481">
        <v>42254</v>
      </c>
      <c r="B38" s="470"/>
      <c r="C38" s="368">
        <v>42261</v>
      </c>
      <c r="F38" s="482" t="s">
        <v>678</v>
      </c>
      <c r="G38" s="470"/>
      <c r="H38" s="369" t="s">
        <v>659</v>
      </c>
      <c r="I38" s="369" t="s">
        <v>674</v>
      </c>
      <c r="J38" s="367" t="s">
        <v>675</v>
      </c>
      <c r="K38" s="482" t="s">
        <v>676</v>
      </c>
      <c r="L38" s="470"/>
      <c r="M38" s="470"/>
      <c r="N38" s="369" t="s">
        <v>655</v>
      </c>
      <c r="O38" s="369" t="s">
        <v>655</v>
      </c>
      <c r="P38" s="369" t="s">
        <v>655</v>
      </c>
      <c r="Q38" s="369" t="s">
        <v>655</v>
      </c>
      <c r="R38" s="367" t="s">
        <v>704</v>
      </c>
      <c r="S38" s="367">
        <v>3588397</v>
      </c>
      <c r="T38" s="483">
        <f>100</f>
        <v>100</v>
      </c>
      <c r="U38" s="470"/>
      <c r="V38" s="483">
        <v>0</v>
      </c>
      <c r="W38" s="470"/>
      <c r="X38" s="470"/>
      <c r="Y38" s="370">
        <f t="shared" si="0"/>
        <v>0</v>
      </c>
      <c r="Z38" s="371">
        <v>1</v>
      </c>
    </row>
    <row r="39" spans="1:26" x14ac:dyDescent="0.25">
      <c r="A39" s="481">
        <v>42262</v>
      </c>
      <c r="B39" s="470"/>
      <c r="C39" s="368">
        <v>42262</v>
      </c>
      <c r="F39" s="482" t="s">
        <v>705</v>
      </c>
      <c r="G39" s="470"/>
      <c r="H39" s="369" t="s">
        <v>659</v>
      </c>
      <c r="I39" s="369" t="s">
        <v>691</v>
      </c>
      <c r="J39" s="367" t="s">
        <v>692</v>
      </c>
      <c r="K39" s="482" t="s">
        <v>693</v>
      </c>
      <c r="L39" s="470"/>
      <c r="M39" s="470"/>
      <c r="N39" s="369" t="s">
        <v>655</v>
      </c>
      <c r="O39" s="369" t="s">
        <v>655</v>
      </c>
      <c r="P39" s="369" t="s">
        <v>655</v>
      </c>
      <c r="Q39" s="369" t="s">
        <v>655</v>
      </c>
      <c r="R39" s="367" t="s">
        <v>706</v>
      </c>
      <c r="S39" s="367">
        <v>3629629</v>
      </c>
      <c r="T39" s="483">
        <f>100</f>
        <v>100</v>
      </c>
      <c r="U39" s="470"/>
      <c r="V39" s="483">
        <v>0</v>
      </c>
      <c r="W39" s="470"/>
      <c r="X39" s="470"/>
      <c r="Y39" s="370">
        <f t="shared" si="0"/>
        <v>0</v>
      </c>
      <c r="Z39" s="371">
        <v>1</v>
      </c>
    </row>
    <row r="40" spans="1:26" x14ac:dyDescent="0.25">
      <c r="A40" s="481">
        <v>42265</v>
      </c>
      <c r="B40" s="470"/>
      <c r="C40" s="368">
        <v>42265</v>
      </c>
      <c r="F40" s="482" t="s">
        <v>707</v>
      </c>
      <c r="G40" s="470"/>
      <c r="H40" s="369" t="s">
        <v>659</v>
      </c>
      <c r="I40" s="369" t="s">
        <v>691</v>
      </c>
      <c r="J40" s="367" t="s">
        <v>692</v>
      </c>
      <c r="K40" s="482" t="s">
        <v>693</v>
      </c>
      <c r="L40" s="470"/>
      <c r="M40" s="470"/>
      <c r="N40" s="369" t="s">
        <v>655</v>
      </c>
      <c r="O40" s="369" t="s">
        <v>655</v>
      </c>
      <c r="P40" s="369" t="s">
        <v>655</v>
      </c>
      <c r="Q40" s="369" t="s">
        <v>655</v>
      </c>
      <c r="R40" s="367" t="s">
        <v>708</v>
      </c>
      <c r="S40" s="367">
        <v>3650129</v>
      </c>
      <c r="T40" s="483">
        <f>100</f>
        <v>100</v>
      </c>
      <c r="U40" s="470"/>
      <c r="V40" s="483">
        <v>0</v>
      </c>
      <c r="W40" s="470"/>
      <c r="X40" s="470"/>
      <c r="Y40" s="370">
        <f t="shared" si="0"/>
        <v>0</v>
      </c>
      <c r="Z40" s="371">
        <v>6</v>
      </c>
    </row>
    <row r="41" spans="1:26" x14ac:dyDescent="0.25">
      <c r="A41" s="481">
        <v>42273</v>
      </c>
      <c r="B41" s="470"/>
      <c r="C41" s="368">
        <v>42276</v>
      </c>
      <c r="F41" s="482" t="s">
        <v>673</v>
      </c>
      <c r="G41" s="470"/>
      <c r="H41" s="369" t="s">
        <v>659</v>
      </c>
      <c r="I41" s="369" t="s">
        <v>674</v>
      </c>
      <c r="J41" s="367" t="s">
        <v>675</v>
      </c>
      <c r="K41" s="482" t="s">
        <v>676</v>
      </c>
      <c r="L41" s="470"/>
      <c r="M41" s="470"/>
      <c r="N41" s="369" t="s">
        <v>655</v>
      </c>
      <c r="O41" s="369" t="s">
        <v>655</v>
      </c>
      <c r="P41" s="369" t="s">
        <v>655</v>
      </c>
      <c r="Q41" s="369" t="s">
        <v>655</v>
      </c>
      <c r="R41" s="367" t="s">
        <v>709</v>
      </c>
      <c r="S41" s="367">
        <v>3688862</v>
      </c>
      <c r="T41" s="483">
        <f>100</f>
        <v>100</v>
      </c>
      <c r="U41" s="470"/>
      <c r="V41" s="483">
        <v>0</v>
      </c>
      <c r="W41" s="470"/>
      <c r="X41" s="470"/>
      <c r="Y41" s="370">
        <f t="shared" si="0"/>
        <v>0</v>
      </c>
      <c r="Z41" s="371">
        <v>5</v>
      </c>
    </row>
    <row r="42" spans="1:26" x14ac:dyDescent="0.25">
      <c r="A42" s="481">
        <v>42274</v>
      </c>
      <c r="B42" s="470"/>
      <c r="C42" s="368">
        <v>42277</v>
      </c>
      <c r="F42" s="482" t="s">
        <v>710</v>
      </c>
      <c r="G42" s="470"/>
      <c r="H42" s="369" t="s">
        <v>659</v>
      </c>
      <c r="I42" s="369" t="s">
        <v>711</v>
      </c>
      <c r="J42" s="367" t="s">
        <v>712</v>
      </c>
      <c r="K42" s="482" t="s">
        <v>713</v>
      </c>
      <c r="L42" s="470"/>
      <c r="M42" s="470"/>
      <c r="N42" s="369" t="s">
        <v>655</v>
      </c>
      <c r="O42" s="369" t="s">
        <v>655</v>
      </c>
      <c r="P42" s="369" t="s">
        <v>655</v>
      </c>
      <c r="Q42" s="369" t="s">
        <v>655</v>
      </c>
      <c r="R42" s="367" t="s">
        <v>714</v>
      </c>
      <c r="S42" s="367">
        <v>3685974</v>
      </c>
      <c r="T42" s="483">
        <f>100</f>
        <v>100</v>
      </c>
      <c r="U42" s="470"/>
      <c r="V42" s="483">
        <v>0</v>
      </c>
      <c r="W42" s="470"/>
      <c r="X42" s="470"/>
      <c r="Y42" s="370">
        <f t="shared" si="0"/>
        <v>0</v>
      </c>
      <c r="Z42" s="371"/>
    </row>
    <row r="43" spans="1:26" x14ac:dyDescent="0.25">
      <c r="A43" s="481">
        <v>42276</v>
      </c>
      <c r="B43" s="470"/>
      <c r="C43" s="368">
        <v>42276</v>
      </c>
      <c r="F43" s="482" t="s">
        <v>686</v>
      </c>
      <c r="G43" s="470"/>
      <c r="H43" s="369" t="s">
        <v>659</v>
      </c>
      <c r="I43" s="369" t="s">
        <v>691</v>
      </c>
      <c r="J43" s="367" t="s">
        <v>692</v>
      </c>
      <c r="K43" s="482" t="s">
        <v>693</v>
      </c>
      <c r="L43" s="470"/>
      <c r="M43" s="470"/>
      <c r="N43" s="369" t="s">
        <v>655</v>
      </c>
      <c r="O43" s="369" t="s">
        <v>655</v>
      </c>
      <c r="P43" s="369" t="s">
        <v>655</v>
      </c>
      <c r="Q43" s="369" t="s">
        <v>655</v>
      </c>
      <c r="R43" s="367" t="s">
        <v>715</v>
      </c>
      <c r="S43" s="367">
        <v>3698770</v>
      </c>
      <c r="T43" s="483">
        <f>100</f>
        <v>100</v>
      </c>
      <c r="U43" s="470"/>
      <c r="V43" s="483">
        <v>0</v>
      </c>
      <c r="W43" s="470"/>
      <c r="X43" s="470"/>
      <c r="Y43" s="370">
        <f t="shared" si="0"/>
        <v>0</v>
      </c>
      <c r="Z43" s="371">
        <v>1</v>
      </c>
    </row>
    <row r="44" spans="1:26" x14ac:dyDescent="0.25">
      <c r="A44" s="481">
        <v>42281</v>
      </c>
      <c r="B44" s="470"/>
      <c r="C44" s="368">
        <v>42281</v>
      </c>
      <c r="F44" s="482" t="s">
        <v>716</v>
      </c>
      <c r="G44" s="470"/>
      <c r="H44" s="369" t="s">
        <v>659</v>
      </c>
      <c r="I44" s="369" t="s">
        <v>691</v>
      </c>
      <c r="J44" s="367" t="s">
        <v>692</v>
      </c>
      <c r="K44" s="482" t="s">
        <v>693</v>
      </c>
      <c r="L44" s="470"/>
      <c r="M44" s="470"/>
      <c r="N44" s="369" t="s">
        <v>655</v>
      </c>
      <c r="O44" s="369" t="s">
        <v>655</v>
      </c>
      <c r="P44" s="369" t="s">
        <v>655</v>
      </c>
      <c r="Q44" s="369" t="s">
        <v>655</v>
      </c>
      <c r="R44" s="367" t="s">
        <v>717</v>
      </c>
      <c r="S44" s="367">
        <v>3723395</v>
      </c>
      <c r="T44" s="483">
        <f>100</f>
        <v>100</v>
      </c>
      <c r="U44" s="470"/>
      <c r="V44" s="483">
        <v>0</v>
      </c>
      <c r="W44" s="470"/>
      <c r="X44" s="470"/>
      <c r="Y44" s="370">
        <f t="shared" si="0"/>
        <v>0</v>
      </c>
      <c r="Z44" s="371">
        <v>3</v>
      </c>
    </row>
    <row r="45" spans="1:26" x14ac:dyDescent="0.25">
      <c r="A45" s="481">
        <v>42294</v>
      </c>
      <c r="B45" s="470"/>
      <c r="C45" s="368">
        <v>42294</v>
      </c>
      <c r="F45" s="482" t="s">
        <v>718</v>
      </c>
      <c r="G45" s="470"/>
      <c r="H45" s="369" t="s">
        <v>659</v>
      </c>
      <c r="I45" s="369" t="s">
        <v>691</v>
      </c>
      <c r="J45" s="367" t="s">
        <v>692</v>
      </c>
      <c r="K45" s="482" t="s">
        <v>693</v>
      </c>
      <c r="L45" s="470"/>
      <c r="M45" s="470"/>
      <c r="N45" s="369" t="s">
        <v>655</v>
      </c>
      <c r="O45" s="369" t="s">
        <v>655</v>
      </c>
      <c r="P45" s="369" t="s">
        <v>655</v>
      </c>
      <c r="Q45" s="369" t="s">
        <v>655</v>
      </c>
      <c r="R45" s="367" t="s">
        <v>719</v>
      </c>
      <c r="S45" s="367">
        <v>3792431</v>
      </c>
      <c r="T45" s="483">
        <f>100</f>
        <v>100</v>
      </c>
      <c r="U45" s="470"/>
      <c r="V45" s="483">
        <v>0</v>
      </c>
      <c r="W45" s="470"/>
      <c r="X45" s="470"/>
      <c r="Y45" s="370">
        <f t="shared" si="0"/>
        <v>0</v>
      </c>
      <c r="Z45" s="371">
        <v>3</v>
      </c>
    </row>
    <row r="46" spans="1:26" x14ac:dyDescent="0.25">
      <c r="A46" s="481">
        <v>42296</v>
      </c>
      <c r="B46" s="470"/>
      <c r="C46" s="368">
        <v>42297</v>
      </c>
      <c r="F46" s="482" t="s">
        <v>720</v>
      </c>
      <c r="G46" s="470"/>
      <c r="H46" s="369" t="s">
        <v>659</v>
      </c>
      <c r="I46" s="369" t="s">
        <v>721</v>
      </c>
      <c r="J46" s="367" t="s">
        <v>722</v>
      </c>
      <c r="K46" s="482" t="s">
        <v>723</v>
      </c>
      <c r="L46" s="470"/>
      <c r="M46" s="470"/>
      <c r="N46" s="369" t="s">
        <v>724</v>
      </c>
      <c r="O46" s="369" t="s">
        <v>655</v>
      </c>
      <c r="P46" s="369" t="s">
        <v>655</v>
      </c>
      <c r="Q46" s="369" t="s">
        <v>655</v>
      </c>
      <c r="R46" s="367" t="s">
        <v>725</v>
      </c>
      <c r="S46" s="367">
        <v>3803166</v>
      </c>
      <c r="T46" s="483">
        <f>100</f>
        <v>100</v>
      </c>
      <c r="U46" s="470"/>
      <c r="V46" s="483">
        <v>0</v>
      </c>
      <c r="W46" s="470"/>
      <c r="X46" s="470"/>
      <c r="Y46" s="370">
        <f t="shared" si="0"/>
        <v>0</v>
      </c>
      <c r="Z46" s="371">
        <v>1</v>
      </c>
    </row>
    <row r="47" spans="1:26" x14ac:dyDescent="0.25">
      <c r="A47" s="481">
        <v>42309</v>
      </c>
      <c r="B47" s="470"/>
      <c r="C47" s="368">
        <v>42309</v>
      </c>
      <c r="F47" s="482" t="s">
        <v>726</v>
      </c>
      <c r="G47" s="470"/>
      <c r="H47" s="369" t="s">
        <v>659</v>
      </c>
      <c r="I47" s="369" t="s">
        <v>691</v>
      </c>
      <c r="J47" s="367" t="s">
        <v>692</v>
      </c>
      <c r="K47" s="482" t="s">
        <v>693</v>
      </c>
      <c r="L47" s="470"/>
      <c r="M47" s="470"/>
      <c r="N47" s="369" t="s">
        <v>655</v>
      </c>
      <c r="O47" s="369" t="s">
        <v>655</v>
      </c>
      <c r="P47" s="369" t="s">
        <v>655</v>
      </c>
      <c r="Q47" s="369" t="s">
        <v>655</v>
      </c>
      <c r="R47" s="367" t="s">
        <v>727</v>
      </c>
      <c r="S47" s="367">
        <v>3875503</v>
      </c>
      <c r="T47" s="483">
        <f>100</f>
        <v>100</v>
      </c>
      <c r="U47" s="470"/>
      <c r="V47" s="483">
        <v>0</v>
      </c>
      <c r="W47" s="470"/>
      <c r="X47" s="470"/>
      <c r="Y47" s="370">
        <f t="shared" si="0"/>
        <v>0</v>
      </c>
      <c r="Z47" s="371">
        <v>1</v>
      </c>
    </row>
    <row r="48" spans="1:26" x14ac:dyDescent="0.25">
      <c r="A48" s="481">
        <v>42318</v>
      </c>
      <c r="B48" s="470"/>
      <c r="C48" s="368">
        <v>42319</v>
      </c>
      <c r="F48" s="482" t="s">
        <v>728</v>
      </c>
      <c r="G48" s="470"/>
      <c r="H48" s="369" t="s">
        <v>659</v>
      </c>
      <c r="I48" s="369" t="s">
        <v>729</v>
      </c>
      <c r="J48" s="367" t="s">
        <v>730</v>
      </c>
      <c r="K48" s="482" t="s">
        <v>731</v>
      </c>
      <c r="L48" s="470"/>
      <c r="M48" s="470"/>
      <c r="N48" s="369" t="s">
        <v>655</v>
      </c>
      <c r="O48" s="369" t="s">
        <v>655</v>
      </c>
      <c r="P48" s="369" t="s">
        <v>655</v>
      </c>
      <c r="Q48" s="369" t="s">
        <v>655</v>
      </c>
      <c r="R48" s="367" t="s">
        <v>732</v>
      </c>
      <c r="S48" s="367">
        <v>3931548</v>
      </c>
      <c r="T48" s="483">
        <f>100</f>
        <v>100</v>
      </c>
      <c r="U48" s="470"/>
      <c r="V48" s="483">
        <v>0</v>
      </c>
      <c r="W48" s="470"/>
      <c r="X48" s="470"/>
      <c r="Y48" s="370">
        <f t="shared" si="0"/>
        <v>0</v>
      </c>
      <c r="Z48" s="371">
        <v>4</v>
      </c>
    </row>
    <row r="49" spans="1:26" x14ac:dyDescent="0.25">
      <c r="A49" s="481">
        <v>42328</v>
      </c>
      <c r="B49" s="470"/>
      <c r="C49" s="368">
        <v>42328</v>
      </c>
      <c r="F49" s="482" t="s">
        <v>733</v>
      </c>
      <c r="G49" s="470"/>
      <c r="H49" s="369" t="s">
        <v>659</v>
      </c>
      <c r="I49" s="369" t="s">
        <v>691</v>
      </c>
      <c r="J49" s="367" t="s">
        <v>692</v>
      </c>
      <c r="K49" s="482" t="s">
        <v>693</v>
      </c>
      <c r="L49" s="470"/>
      <c r="M49" s="470"/>
      <c r="N49" s="369" t="s">
        <v>655</v>
      </c>
      <c r="O49" s="369" t="s">
        <v>655</v>
      </c>
      <c r="P49" s="369" t="s">
        <v>655</v>
      </c>
      <c r="Q49" s="369" t="s">
        <v>655</v>
      </c>
      <c r="R49" s="367" t="s">
        <v>734</v>
      </c>
      <c r="S49" s="367">
        <v>3989713</v>
      </c>
      <c r="T49" s="483">
        <f>100</f>
        <v>100</v>
      </c>
      <c r="U49" s="470"/>
      <c r="V49" s="483">
        <v>0</v>
      </c>
      <c r="W49" s="470"/>
      <c r="X49" s="470"/>
      <c r="Y49" s="370">
        <f t="shared" si="0"/>
        <v>0</v>
      </c>
      <c r="Z49" s="371">
        <v>3</v>
      </c>
    </row>
    <row r="50" spans="1:26" x14ac:dyDescent="0.25">
      <c r="A50" s="481">
        <v>42341</v>
      </c>
      <c r="B50" s="470"/>
      <c r="C50" s="368">
        <v>42341</v>
      </c>
      <c r="F50" s="482" t="s">
        <v>735</v>
      </c>
      <c r="G50" s="470"/>
      <c r="H50" s="369" t="s">
        <v>659</v>
      </c>
      <c r="I50" s="369" t="s">
        <v>736</v>
      </c>
      <c r="J50" s="367" t="s">
        <v>737</v>
      </c>
      <c r="K50" s="482" t="s">
        <v>738</v>
      </c>
      <c r="L50" s="470"/>
      <c r="M50" s="470"/>
      <c r="N50" s="369" t="s">
        <v>655</v>
      </c>
      <c r="O50" s="369" t="s">
        <v>655</v>
      </c>
      <c r="P50" s="369" t="s">
        <v>655</v>
      </c>
      <c r="Q50" s="369" t="s">
        <v>655</v>
      </c>
      <c r="R50" s="367" t="s">
        <v>739</v>
      </c>
      <c r="S50" s="367">
        <v>4067052</v>
      </c>
      <c r="T50" s="483">
        <f>100</f>
        <v>100</v>
      </c>
      <c r="U50" s="470"/>
      <c r="V50" s="483">
        <v>0</v>
      </c>
      <c r="W50" s="470"/>
      <c r="X50" s="470"/>
      <c r="Y50" s="370">
        <f t="shared" si="0"/>
        <v>0</v>
      </c>
      <c r="Z50" s="371">
        <v>7</v>
      </c>
    </row>
    <row r="51" spans="1:26" x14ac:dyDescent="0.25">
      <c r="A51" s="481">
        <v>42361</v>
      </c>
      <c r="B51" s="470"/>
      <c r="C51" s="368">
        <v>42361</v>
      </c>
      <c r="F51" s="482" t="s">
        <v>740</v>
      </c>
      <c r="G51" s="470"/>
      <c r="H51" s="369" t="s">
        <v>659</v>
      </c>
      <c r="I51" s="369" t="s">
        <v>741</v>
      </c>
      <c r="J51" s="367" t="s">
        <v>742</v>
      </c>
      <c r="K51" s="482" t="s">
        <v>743</v>
      </c>
      <c r="L51" s="470"/>
      <c r="M51" s="470"/>
      <c r="N51" s="369" t="s">
        <v>655</v>
      </c>
      <c r="O51" s="369" t="s">
        <v>655</v>
      </c>
      <c r="P51" s="369" t="s">
        <v>655</v>
      </c>
      <c r="Q51" s="369" t="s">
        <v>655</v>
      </c>
      <c r="R51" s="367" t="s">
        <v>744</v>
      </c>
      <c r="S51" s="367">
        <v>4197112</v>
      </c>
      <c r="T51" s="483">
        <f>100</f>
        <v>100</v>
      </c>
      <c r="U51" s="470"/>
      <c r="V51" s="483">
        <v>0</v>
      </c>
      <c r="W51" s="470"/>
      <c r="X51" s="470"/>
      <c r="Y51" s="370">
        <f t="shared" si="0"/>
        <v>0</v>
      </c>
      <c r="Z51" s="371"/>
    </row>
    <row r="52" spans="1:26" x14ac:dyDescent="0.25">
      <c r="A52" s="481">
        <v>42368</v>
      </c>
      <c r="B52" s="470"/>
      <c r="C52" s="368">
        <v>42368</v>
      </c>
      <c r="F52" s="482" t="s">
        <v>745</v>
      </c>
      <c r="G52" s="470"/>
      <c r="H52" s="369" t="s">
        <v>659</v>
      </c>
      <c r="I52" s="369" t="s">
        <v>746</v>
      </c>
      <c r="J52" s="367" t="s">
        <v>747</v>
      </c>
      <c r="K52" s="482" t="s">
        <v>748</v>
      </c>
      <c r="L52" s="470"/>
      <c r="M52" s="470"/>
      <c r="N52" s="369" t="s">
        <v>655</v>
      </c>
      <c r="O52" s="369" t="s">
        <v>655</v>
      </c>
      <c r="P52" s="369" t="s">
        <v>655</v>
      </c>
      <c r="Q52" s="369" t="s">
        <v>655</v>
      </c>
      <c r="R52" s="367" t="s">
        <v>749</v>
      </c>
      <c r="S52" s="367">
        <v>4233982</v>
      </c>
      <c r="T52" s="483">
        <f>100</f>
        <v>100</v>
      </c>
      <c r="U52" s="470"/>
      <c r="V52" s="483">
        <v>0</v>
      </c>
      <c r="W52" s="470"/>
      <c r="X52" s="470"/>
      <c r="Y52" s="370">
        <f t="shared" si="0"/>
        <v>0</v>
      </c>
      <c r="Z52" s="371"/>
    </row>
    <row r="53" spans="1:26" x14ac:dyDescent="0.25">
      <c r="A53" s="481">
        <v>42446</v>
      </c>
      <c r="B53" s="470"/>
      <c r="C53" s="368">
        <v>42446</v>
      </c>
      <c r="F53" s="482" t="s">
        <v>673</v>
      </c>
      <c r="G53" s="470"/>
      <c r="H53" s="369" t="s">
        <v>659</v>
      </c>
      <c r="I53" s="369" t="s">
        <v>750</v>
      </c>
      <c r="J53" s="367" t="s">
        <v>751</v>
      </c>
      <c r="K53" s="482" t="s">
        <v>752</v>
      </c>
      <c r="L53" s="470"/>
      <c r="M53" s="470"/>
      <c r="N53" s="369" t="s">
        <v>655</v>
      </c>
      <c r="O53" s="369" t="s">
        <v>753</v>
      </c>
      <c r="P53" s="369" t="s">
        <v>655</v>
      </c>
      <c r="Q53" s="369" t="s">
        <v>655</v>
      </c>
      <c r="R53" s="367" t="s">
        <v>754</v>
      </c>
      <c r="S53" s="367">
        <v>4767994</v>
      </c>
      <c r="T53" s="483">
        <f>100</f>
        <v>100</v>
      </c>
      <c r="U53" s="470"/>
      <c r="V53" s="483">
        <v>0</v>
      </c>
      <c r="W53" s="470"/>
      <c r="X53" s="470"/>
      <c r="Y53" s="370">
        <f t="shared" ref="Y53:Y59" si="1">IF(Q53="Y",V53,IF(V53&gt;T53,V53,T53))</f>
        <v>100</v>
      </c>
      <c r="Z53" s="371"/>
    </row>
    <row r="54" spans="1:26" x14ac:dyDescent="0.25">
      <c r="A54" s="481">
        <v>42462</v>
      </c>
      <c r="B54" s="470"/>
      <c r="C54" s="368">
        <v>42462</v>
      </c>
      <c r="F54" s="482" t="s">
        <v>673</v>
      </c>
      <c r="G54" s="470"/>
      <c r="H54" s="369" t="s">
        <v>659</v>
      </c>
      <c r="I54" s="369" t="s">
        <v>665</v>
      </c>
      <c r="J54" s="367" t="s">
        <v>666</v>
      </c>
      <c r="K54" s="482" t="s">
        <v>667</v>
      </c>
      <c r="L54" s="470"/>
      <c r="M54" s="470"/>
      <c r="N54" s="369" t="s">
        <v>655</v>
      </c>
      <c r="O54" s="369" t="s">
        <v>655</v>
      </c>
      <c r="P54" s="369" t="s">
        <v>655</v>
      </c>
      <c r="Q54" s="369" t="s">
        <v>655</v>
      </c>
      <c r="R54" s="367" t="s">
        <v>755</v>
      </c>
      <c r="S54" s="367">
        <v>4870240</v>
      </c>
      <c r="T54" s="483">
        <f>100</f>
        <v>100</v>
      </c>
      <c r="U54" s="470"/>
      <c r="V54" s="483">
        <v>0</v>
      </c>
      <c r="W54" s="470"/>
      <c r="X54" s="470"/>
      <c r="Y54" s="370">
        <f t="shared" si="1"/>
        <v>100</v>
      </c>
      <c r="Z54" s="371">
        <v>3</v>
      </c>
    </row>
    <row r="55" spans="1:26" x14ac:dyDescent="0.25">
      <c r="A55" s="481">
        <v>42464</v>
      </c>
      <c r="B55" s="470"/>
      <c r="C55" s="368">
        <v>42466</v>
      </c>
      <c r="F55" s="482" t="s">
        <v>673</v>
      </c>
      <c r="G55" s="470"/>
      <c r="H55" s="369" t="s">
        <v>659</v>
      </c>
      <c r="I55" s="369" t="s">
        <v>756</v>
      </c>
      <c r="J55" s="367" t="s">
        <v>757</v>
      </c>
      <c r="K55" s="482" t="s">
        <v>758</v>
      </c>
      <c r="L55" s="470"/>
      <c r="M55" s="470"/>
      <c r="N55" s="369" t="s">
        <v>655</v>
      </c>
      <c r="O55" s="369" t="s">
        <v>753</v>
      </c>
      <c r="P55" s="369" t="s">
        <v>655</v>
      </c>
      <c r="Q55" s="369" t="s">
        <v>655</v>
      </c>
      <c r="R55" s="367" t="s">
        <v>759</v>
      </c>
      <c r="S55" s="367">
        <v>4877718</v>
      </c>
      <c r="T55" s="483">
        <f>100</f>
        <v>100</v>
      </c>
      <c r="U55" s="470"/>
      <c r="V55" s="483">
        <v>0</v>
      </c>
      <c r="W55" s="470"/>
      <c r="X55" s="470"/>
      <c r="Y55" s="370">
        <f t="shared" si="1"/>
        <v>100</v>
      </c>
      <c r="Z55" s="371">
        <v>2</v>
      </c>
    </row>
    <row r="56" spans="1:26" x14ac:dyDescent="0.25">
      <c r="A56" s="481">
        <v>42467</v>
      </c>
      <c r="B56" s="470"/>
      <c r="C56" s="368">
        <v>42467</v>
      </c>
      <c r="F56" s="482" t="s">
        <v>673</v>
      </c>
      <c r="G56" s="470"/>
      <c r="H56" s="369" t="s">
        <v>659</v>
      </c>
      <c r="I56" s="369" t="s">
        <v>760</v>
      </c>
      <c r="J56" s="367" t="s">
        <v>761</v>
      </c>
      <c r="K56" s="482" t="s">
        <v>762</v>
      </c>
      <c r="L56" s="470"/>
      <c r="M56" s="470"/>
      <c r="N56" s="369" t="s">
        <v>655</v>
      </c>
      <c r="O56" s="369" t="s">
        <v>655</v>
      </c>
      <c r="P56" s="369" t="s">
        <v>655</v>
      </c>
      <c r="Q56" s="369" t="s">
        <v>655</v>
      </c>
      <c r="R56" s="367" t="s">
        <v>763</v>
      </c>
      <c r="S56" s="367">
        <v>4894560</v>
      </c>
      <c r="T56" s="483">
        <f>100</f>
        <v>100</v>
      </c>
      <c r="U56" s="470"/>
      <c r="V56" s="483">
        <v>0</v>
      </c>
      <c r="W56" s="470"/>
      <c r="X56" s="470"/>
      <c r="Y56" s="370">
        <f t="shared" si="1"/>
        <v>100</v>
      </c>
      <c r="Z56" s="371"/>
    </row>
    <row r="57" spans="1:26" x14ac:dyDescent="0.25">
      <c r="A57" s="481">
        <v>42468</v>
      </c>
      <c r="B57" s="470"/>
      <c r="C57" s="368">
        <v>42473</v>
      </c>
      <c r="F57" s="482" t="s">
        <v>673</v>
      </c>
      <c r="G57" s="470"/>
      <c r="H57" s="369" t="s">
        <v>659</v>
      </c>
      <c r="I57" s="369" t="s">
        <v>760</v>
      </c>
      <c r="J57" s="367" t="s">
        <v>761</v>
      </c>
      <c r="K57" s="482" t="s">
        <v>762</v>
      </c>
      <c r="L57" s="470"/>
      <c r="M57" s="470"/>
      <c r="N57" s="369" t="s">
        <v>655</v>
      </c>
      <c r="O57" s="369" t="s">
        <v>655</v>
      </c>
      <c r="P57" s="369" t="s">
        <v>655</v>
      </c>
      <c r="Q57" s="369" t="s">
        <v>655</v>
      </c>
      <c r="R57" s="367" t="s">
        <v>764</v>
      </c>
      <c r="S57" s="367">
        <v>4901360</v>
      </c>
      <c r="T57" s="483">
        <f>100</f>
        <v>100</v>
      </c>
      <c r="U57" s="470"/>
      <c r="V57" s="483">
        <v>0</v>
      </c>
      <c r="W57" s="470"/>
      <c r="X57" s="470"/>
      <c r="Y57" s="370">
        <f t="shared" si="1"/>
        <v>100</v>
      </c>
      <c r="Z57" s="371"/>
    </row>
    <row r="58" spans="1:26" x14ac:dyDescent="0.25">
      <c r="A58" s="481">
        <v>42476</v>
      </c>
      <c r="B58" s="470"/>
      <c r="C58" s="368">
        <v>42479</v>
      </c>
      <c r="F58" s="482" t="s">
        <v>673</v>
      </c>
      <c r="G58" s="470"/>
      <c r="H58" s="369" t="s">
        <v>659</v>
      </c>
      <c r="I58" s="369" t="s">
        <v>765</v>
      </c>
      <c r="J58" s="367" t="s">
        <v>766</v>
      </c>
      <c r="K58" s="482" t="s">
        <v>767</v>
      </c>
      <c r="L58" s="470"/>
      <c r="M58" s="470"/>
      <c r="N58" s="369" t="s">
        <v>655</v>
      </c>
      <c r="O58" s="369" t="s">
        <v>655</v>
      </c>
      <c r="P58" s="369" t="s">
        <v>655</v>
      </c>
      <c r="Q58" s="369" t="s">
        <v>655</v>
      </c>
      <c r="R58" s="367" t="s">
        <v>768</v>
      </c>
      <c r="S58" s="367">
        <v>4948389</v>
      </c>
      <c r="T58" s="483">
        <f>100</f>
        <v>100</v>
      </c>
      <c r="U58" s="470"/>
      <c r="V58" s="483">
        <v>0</v>
      </c>
      <c r="W58" s="470"/>
      <c r="X58" s="470"/>
      <c r="Y58" s="370">
        <f t="shared" si="1"/>
        <v>100</v>
      </c>
      <c r="Z58" s="371"/>
    </row>
    <row r="59" spans="1:26" x14ac:dyDescent="0.25">
      <c r="A59" s="481">
        <v>42482</v>
      </c>
      <c r="B59" s="470"/>
      <c r="C59" s="368">
        <v>42485</v>
      </c>
      <c r="F59" s="482" t="s">
        <v>678</v>
      </c>
      <c r="G59" s="470"/>
      <c r="H59" s="369" t="s">
        <v>659</v>
      </c>
      <c r="I59" s="369" t="s">
        <v>769</v>
      </c>
      <c r="J59" s="367" t="s">
        <v>770</v>
      </c>
      <c r="K59" s="482" t="s">
        <v>771</v>
      </c>
      <c r="L59" s="470"/>
      <c r="M59" s="470"/>
      <c r="N59" s="369" t="s">
        <v>655</v>
      </c>
      <c r="O59" s="369" t="s">
        <v>655</v>
      </c>
      <c r="P59" s="369" t="s">
        <v>655</v>
      </c>
      <c r="Q59" s="369" t="s">
        <v>655</v>
      </c>
      <c r="R59" s="367" t="s">
        <v>772</v>
      </c>
      <c r="S59" s="367">
        <v>4987754</v>
      </c>
      <c r="T59" s="483">
        <f>100</f>
        <v>100</v>
      </c>
      <c r="U59" s="470"/>
      <c r="V59" s="483">
        <v>0</v>
      </c>
      <c r="W59" s="470"/>
      <c r="X59" s="470"/>
      <c r="Y59" s="370">
        <f t="shared" si="1"/>
        <v>100</v>
      </c>
      <c r="Z59" s="371"/>
    </row>
    <row r="60" spans="1:26" x14ac:dyDescent="0.25">
      <c r="A60" s="484" t="s">
        <v>655</v>
      </c>
      <c r="B60" s="470"/>
      <c r="C60" s="470"/>
      <c r="D60" s="485" t="s">
        <v>773</v>
      </c>
      <c r="E60" s="470"/>
      <c r="F60" s="470"/>
      <c r="G60" s="470"/>
      <c r="H60" s="484" t="s">
        <v>774</v>
      </c>
      <c r="I60" s="470"/>
      <c r="J60" s="470"/>
      <c r="K60" s="470"/>
      <c r="L60" s="470"/>
      <c r="M60" s="470"/>
      <c r="N60" s="470"/>
      <c r="O60" s="372" t="s">
        <v>655</v>
      </c>
      <c r="P60" s="372" t="s">
        <v>655</v>
      </c>
      <c r="Q60" s="372" t="s">
        <v>655</v>
      </c>
      <c r="R60" s="372" t="s">
        <v>655</v>
      </c>
      <c r="S60" s="372">
        <v>121720293</v>
      </c>
      <c r="T60" s="486">
        <f>SUM(T29:U59)</f>
        <v>3100</v>
      </c>
      <c r="U60" s="470"/>
      <c r="V60" s="486">
        <v>0</v>
      </c>
      <c r="W60" s="470"/>
      <c r="X60" s="470"/>
      <c r="Y60" s="373">
        <f>SUM(Y29:Y59)</f>
        <v>700</v>
      </c>
      <c r="Z60" s="374" t="s">
        <v>655</v>
      </c>
    </row>
    <row r="61" spans="1:26" x14ac:dyDescent="0.25">
      <c r="A61" s="489" t="s">
        <v>655</v>
      </c>
      <c r="B61" s="470"/>
      <c r="C61" s="470"/>
      <c r="D61" s="490" t="s">
        <v>773</v>
      </c>
      <c r="E61" s="470"/>
      <c r="F61" s="470"/>
      <c r="G61" s="470"/>
      <c r="H61" s="489" t="s">
        <v>775</v>
      </c>
      <c r="I61" s="470"/>
      <c r="J61" s="470"/>
      <c r="K61" s="470"/>
      <c r="L61" s="470"/>
      <c r="M61" s="470"/>
      <c r="N61" s="470"/>
      <c r="O61" s="375" t="s">
        <v>655</v>
      </c>
      <c r="P61" s="375" t="s">
        <v>655</v>
      </c>
      <c r="Q61" s="375" t="s">
        <v>655</v>
      </c>
      <c r="R61" s="375" t="s">
        <v>655</v>
      </c>
      <c r="S61" s="375" t="s">
        <v>655</v>
      </c>
      <c r="T61" s="491">
        <f>T60</f>
        <v>3100</v>
      </c>
      <c r="U61" s="470"/>
      <c r="V61" s="491">
        <v>0</v>
      </c>
      <c r="W61" s="470"/>
      <c r="X61" s="470"/>
      <c r="Y61" s="376">
        <f>Y60</f>
        <v>700</v>
      </c>
      <c r="Z61" s="377" t="s">
        <v>655</v>
      </c>
    </row>
    <row r="62" spans="1:26" x14ac:dyDescent="0.25">
      <c r="A62" s="492" t="s">
        <v>655</v>
      </c>
      <c r="B62" s="470"/>
      <c r="C62" s="378" t="s">
        <v>655</v>
      </c>
      <c r="D62" s="493" t="s">
        <v>655</v>
      </c>
      <c r="E62" s="470"/>
      <c r="F62" s="493" t="s">
        <v>655</v>
      </c>
      <c r="G62" s="470"/>
      <c r="H62" s="378" t="s">
        <v>655</v>
      </c>
      <c r="I62" s="378" t="s">
        <v>655</v>
      </c>
      <c r="J62" s="378" t="s">
        <v>655</v>
      </c>
      <c r="K62" s="492" t="s">
        <v>655</v>
      </c>
      <c r="L62" s="470"/>
      <c r="M62" s="470"/>
      <c r="N62" s="378" t="s">
        <v>655</v>
      </c>
      <c r="O62" s="378" t="s">
        <v>655</v>
      </c>
      <c r="P62" s="378" t="s">
        <v>655</v>
      </c>
      <c r="Q62" s="378" t="s">
        <v>655</v>
      </c>
      <c r="R62" s="378" t="s">
        <v>655</v>
      </c>
      <c r="S62" s="378" t="s">
        <v>655</v>
      </c>
      <c r="T62" s="488" t="s">
        <v>655</v>
      </c>
      <c r="U62" s="470"/>
      <c r="V62" s="488" t="s">
        <v>655</v>
      </c>
      <c r="W62" s="470"/>
      <c r="X62" s="470"/>
      <c r="Y62" s="379" t="s">
        <v>655</v>
      </c>
      <c r="Z62" s="379" t="s">
        <v>655</v>
      </c>
    </row>
    <row r="63" spans="1:26" x14ac:dyDescent="0.25">
      <c r="A63" s="474" t="s">
        <v>776</v>
      </c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364" t="s">
        <v>655</v>
      </c>
      <c r="Q63" s="365" t="s">
        <v>655</v>
      </c>
      <c r="R63" s="365" t="s">
        <v>655</v>
      </c>
      <c r="S63" s="365" t="s">
        <v>655</v>
      </c>
      <c r="T63" s="475" t="s">
        <v>655</v>
      </c>
      <c r="U63" s="470"/>
      <c r="V63" s="475" t="s">
        <v>655</v>
      </c>
      <c r="W63" s="470"/>
      <c r="X63" s="470"/>
      <c r="Y63" s="365" t="s">
        <v>655</v>
      </c>
      <c r="Z63" s="365" t="s">
        <v>655</v>
      </c>
    </row>
    <row r="64" spans="1:26" x14ac:dyDescent="0.25">
      <c r="A64" s="474" t="s">
        <v>657</v>
      </c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364" t="s">
        <v>655</v>
      </c>
      <c r="Q64" s="365" t="s">
        <v>655</v>
      </c>
      <c r="R64" s="365" t="s">
        <v>655</v>
      </c>
      <c r="S64" s="365" t="s">
        <v>655</v>
      </c>
      <c r="T64" s="475" t="s">
        <v>655</v>
      </c>
      <c r="U64" s="470"/>
      <c r="V64" s="475" t="s">
        <v>655</v>
      </c>
      <c r="W64" s="470"/>
      <c r="X64" s="470"/>
      <c r="Y64" s="365" t="s">
        <v>655</v>
      </c>
      <c r="Z64" s="365" t="s">
        <v>655</v>
      </c>
    </row>
    <row r="65" spans="1:26" x14ac:dyDescent="0.25">
      <c r="A65" s="487" t="s">
        <v>491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366" t="s">
        <v>655</v>
      </c>
      <c r="Q65" s="367" t="s">
        <v>655</v>
      </c>
      <c r="R65" s="367" t="s">
        <v>655</v>
      </c>
      <c r="S65" s="367" t="s">
        <v>655</v>
      </c>
      <c r="T65" s="482" t="s">
        <v>655</v>
      </c>
      <c r="U65" s="470"/>
      <c r="V65" s="482" t="s">
        <v>655</v>
      </c>
      <c r="W65" s="470"/>
      <c r="X65" s="470"/>
      <c r="Y65" s="367" t="s">
        <v>655</v>
      </c>
      <c r="Z65" s="367" t="s">
        <v>655</v>
      </c>
    </row>
    <row r="66" spans="1:26" x14ac:dyDescent="0.25">
      <c r="A66" s="481">
        <v>42157</v>
      </c>
      <c r="B66" s="470"/>
      <c r="C66" s="368">
        <v>42157</v>
      </c>
      <c r="F66" s="482" t="s">
        <v>777</v>
      </c>
      <c r="G66" s="470"/>
      <c r="H66" s="369" t="s">
        <v>659</v>
      </c>
      <c r="I66" s="369" t="s">
        <v>778</v>
      </c>
      <c r="J66" s="367" t="s">
        <v>779</v>
      </c>
      <c r="K66" s="482" t="s">
        <v>780</v>
      </c>
      <c r="L66" s="470"/>
      <c r="M66" s="470"/>
      <c r="N66" s="369" t="s">
        <v>655</v>
      </c>
      <c r="O66" s="369" t="s">
        <v>753</v>
      </c>
      <c r="P66" s="369" t="s">
        <v>655</v>
      </c>
      <c r="Q66" s="369" t="s">
        <v>753</v>
      </c>
      <c r="R66" s="367" t="s">
        <v>781</v>
      </c>
      <c r="S66" s="367">
        <v>3127908</v>
      </c>
      <c r="T66" s="483">
        <v>586.79999999999995</v>
      </c>
      <c r="U66" s="470"/>
      <c r="V66" s="483">
        <v>0</v>
      </c>
      <c r="W66" s="470"/>
      <c r="X66" s="470"/>
      <c r="Y66" s="370">
        <f t="shared" ref="Y66:Y129" si="2">V66</f>
        <v>0</v>
      </c>
      <c r="Z66" s="371"/>
    </row>
    <row r="67" spans="1:26" x14ac:dyDescent="0.25">
      <c r="A67" s="481">
        <v>42157</v>
      </c>
      <c r="B67" s="470"/>
      <c r="C67" s="368">
        <v>42157</v>
      </c>
      <c r="F67" s="482" t="s">
        <v>673</v>
      </c>
      <c r="G67" s="470"/>
      <c r="H67" s="369" t="s">
        <v>659</v>
      </c>
      <c r="I67" s="369" t="s">
        <v>782</v>
      </c>
      <c r="J67" s="367" t="s">
        <v>783</v>
      </c>
      <c r="K67" s="482" t="s">
        <v>784</v>
      </c>
      <c r="L67" s="470"/>
      <c r="M67" s="470"/>
      <c r="N67" s="369" t="s">
        <v>655</v>
      </c>
      <c r="O67" s="369" t="s">
        <v>753</v>
      </c>
      <c r="P67" s="369" t="s">
        <v>655</v>
      </c>
      <c r="Q67" s="369" t="s">
        <v>753</v>
      </c>
      <c r="R67" s="367" t="s">
        <v>785</v>
      </c>
      <c r="S67" s="367">
        <v>3121316</v>
      </c>
      <c r="T67" s="483">
        <v>586.79999999999995</v>
      </c>
      <c r="U67" s="470"/>
      <c r="V67" s="483">
        <v>0</v>
      </c>
      <c r="W67" s="470"/>
      <c r="X67" s="470"/>
      <c r="Y67" s="370">
        <f t="shared" si="2"/>
        <v>0</v>
      </c>
      <c r="Z67" s="371"/>
    </row>
    <row r="68" spans="1:26" x14ac:dyDescent="0.25">
      <c r="A68" s="481">
        <v>42159</v>
      </c>
      <c r="B68" s="470"/>
      <c r="C68" s="368">
        <v>42159</v>
      </c>
      <c r="F68" s="482" t="s">
        <v>697</v>
      </c>
      <c r="G68" s="470"/>
      <c r="H68" s="369" t="s">
        <v>659</v>
      </c>
      <c r="I68" s="369" t="s">
        <v>786</v>
      </c>
      <c r="J68" s="367" t="s">
        <v>787</v>
      </c>
      <c r="K68" s="482" t="s">
        <v>788</v>
      </c>
      <c r="L68" s="470"/>
      <c r="M68" s="470"/>
      <c r="N68" s="369" t="s">
        <v>655</v>
      </c>
      <c r="O68" s="369" t="s">
        <v>655</v>
      </c>
      <c r="P68" s="369" t="s">
        <v>655</v>
      </c>
      <c r="Q68" s="369" t="s">
        <v>655</v>
      </c>
      <c r="R68" s="367" t="s">
        <v>789</v>
      </c>
      <c r="S68" s="367">
        <v>3133227</v>
      </c>
      <c r="T68" s="483">
        <v>586.79999999999995</v>
      </c>
      <c r="U68" s="470"/>
      <c r="V68" s="483">
        <v>0</v>
      </c>
      <c r="W68" s="470"/>
      <c r="X68" s="470"/>
      <c r="Y68" s="370">
        <f t="shared" si="2"/>
        <v>0</v>
      </c>
      <c r="Z68" s="371"/>
    </row>
    <row r="69" spans="1:26" x14ac:dyDescent="0.25">
      <c r="A69" s="481">
        <v>42160</v>
      </c>
      <c r="B69" s="470"/>
      <c r="C69" s="368">
        <v>42160</v>
      </c>
      <c r="F69" s="482" t="s">
        <v>684</v>
      </c>
      <c r="G69" s="470"/>
      <c r="H69" s="369" t="s">
        <v>659</v>
      </c>
      <c r="I69" s="369" t="s">
        <v>790</v>
      </c>
      <c r="J69" s="367" t="s">
        <v>791</v>
      </c>
      <c r="K69" s="482" t="s">
        <v>792</v>
      </c>
      <c r="L69" s="470"/>
      <c r="M69" s="470"/>
      <c r="N69" s="369" t="s">
        <v>655</v>
      </c>
      <c r="O69" s="369" t="s">
        <v>655</v>
      </c>
      <c r="P69" s="369" t="s">
        <v>655</v>
      </c>
      <c r="Q69" s="369" t="s">
        <v>655</v>
      </c>
      <c r="R69" s="367" t="s">
        <v>793</v>
      </c>
      <c r="S69" s="367">
        <v>3255255</v>
      </c>
      <c r="T69" s="483">
        <v>586.79999999999995</v>
      </c>
      <c r="U69" s="470"/>
      <c r="V69" s="483">
        <v>1543.31</v>
      </c>
      <c r="W69" s="470"/>
      <c r="X69" s="470"/>
      <c r="Y69" s="370">
        <f t="shared" si="2"/>
        <v>1543.31</v>
      </c>
      <c r="Z69" s="371">
        <v>8</v>
      </c>
    </row>
    <row r="70" spans="1:26" x14ac:dyDescent="0.25">
      <c r="A70" s="481">
        <v>42161</v>
      </c>
      <c r="B70" s="470"/>
      <c r="C70" s="368">
        <v>42162</v>
      </c>
      <c r="F70" s="482" t="s">
        <v>777</v>
      </c>
      <c r="G70" s="470"/>
      <c r="H70" s="369" t="s">
        <v>659</v>
      </c>
      <c r="I70" s="369" t="s">
        <v>794</v>
      </c>
      <c r="J70" s="367" t="s">
        <v>795</v>
      </c>
      <c r="K70" s="482" t="s">
        <v>796</v>
      </c>
      <c r="L70" s="470"/>
      <c r="M70" s="470"/>
      <c r="N70" s="369" t="s">
        <v>655</v>
      </c>
      <c r="O70" s="369" t="s">
        <v>753</v>
      </c>
      <c r="P70" s="369" t="s">
        <v>655</v>
      </c>
      <c r="Q70" s="369" t="s">
        <v>753</v>
      </c>
      <c r="R70" s="367" t="s">
        <v>797</v>
      </c>
      <c r="S70" s="367">
        <v>3144491</v>
      </c>
      <c r="T70" s="483">
        <v>586.79999999999995</v>
      </c>
      <c r="U70" s="470"/>
      <c r="V70" s="483">
        <v>0</v>
      </c>
      <c r="W70" s="470"/>
      <c r="X70" s="470"/>
      <c r="Y70" s="370">
        <f t="shared" si="2"/>
        <v>0</v>
      </c>
      <c r="Z70" s="371"/>
    </row>
    <row r="71" spans="1:26" x14ac:dyDescent="0.25">
      <c r="A71" s="481">
        <v>42161</v>
      </c>
      <c r="B71" s="470"/>
      <c r="C71" s="368">
        <v>42161</v>
      </c>
      <c r="F71" s="482" t="s">
        <v>684</v>
      </c>
      <c r="G71" s="470"/>
      <c r="H71" s="369" t="s">
        <v>659</v>
      </c>
      <c r="I71" s="369" t="s">
        <v>798</v>
      </c>
      <c r="J71" s="367" t="s">
        <v>799</v>
      </c>
      <c r="K71" s="482" t="s">
        <v>800</v>
      </c>
      <c r="L71" s="470"/>
      <c r="M71" s="470"/>
      <c r="N71" s="369" t="s">
        <v>655</v>
      </c>
      <c r="O71" s="369" t="s">
        <v>753</v>
      </c>
      <c r="P71" s="369" t="s">
        <v>655</v>
      </c>
      <c r="Q71" s="369" t="s">
        <v>753</v>
      </c>
      <c r="R71" s="367" t="s">
        <v>801</v>
      </c>
      <c r="S71" s="367">
        <v>3144499</v>
      </c>
      <c r="T71" s="483">
        <v>586.79999999999995</v>
      </c>
      <c r="U71" s="470"/>
      <c r="V71" s="483">
        <v>0</v>
      </c>
      <c r="W71" s="470"/>
      <c r="X71" s="470"/>
      <c r="Y71" s="370">
        <f t="shared" si="2"/>
        <v>0</v>
      </c>
      <c r="Z71" s="371"/>
    </row>
    <row r="72" spans="1:26" ht="22.5" x14ac:dyDescent="0.25">
      <c r="A72" s="481">
        <v>42161</v>
      </c>
      <c r="B72" s="470"/>
      <c r="C72" s="368">
        <v>42162</v>
      </c>
      <c r="F72" s="482" t="s">
        <v>673</v>
      </c>
      <c r="G72" s="470"/>
      <c r="H72" s="369" t="s">
        <v>659</v>
      </c>
      <c r="I72" s="369" t="s">
        <v>802</v>
      </c>
      <c r="J72" s="367" t="s">
        <v>803</v>
      </c>
      <c r="K72" s="482" t="s">
        <v>804</v>
      </c>
      <c r="L72" s="470"/>
      <c r="M72" s="470"/>
      <c r="N72" s="369" t="s">
        <v>655</v>
      </c>
      <c r="O72" s="369" t="s">
        <v>753</v>
      </c>
      <c r="P72" s="369" t="s">
        <v>655</v>
      </c>
      <c r="Q72" s="369" t="s">
        <v>753</v>
      </c>
      <c r="R72" s="367" t="s">
        <v>805</v>
      </c>
      <c r="S72" s="367">
        <v>3144514</v>
      </c>
      <c r="T72" s="483">
        <v>586.79999999999995</v>
      </c>
      <c r="U72" s="470"/>
      <c r="V72" s="483">
        <v>0</v>
      </c>
      <c r="W72" s="470"/>
      <c r="X72" s="470"/>
      <c r="Y72" s="370">
        <f t="shared" si="2"/>
        <v>0</v>
      </c>
      <c r="Z72" s="371"/>
    </row>
    <row r="73" spans="1:26" x14ac:dyDescent="0.25">
      <c r="A73" s="481">
        <v>42161</v>
      </c>
      <c r="B73" s="470"/>
      <c r="C73" s="368">
        <v>42161</v>
      </c>
      <c r="F73" s="482" t="s">
        <v>684</v>
      </c>
      <c r="G73" s="470"/>
      <c r="H73" s="369" t="s">
        <v>659</v>
      </c>
      <c r="I73" s="369" t="s">
        <v>806</v>
      </c>
      <c r="J73" s="367" t="s">
        <v>807</v>
      </c>
      <c r="K73" s="482" t="s">
        <v>808</v>
      </c>
      <c r="L73" s="470"/>
      <c r="M73" s="470"/>
      <c r="N73" s="369" t="s">
        <v>655</v>
      </c>
      <c r="O73" s="369" t="s">
        <v>655</v>
      </c>
      <c r="P73" s="369" t="s">
        <v>655</v>
      </c>
      <c r="Q73" s="369" t="s">
        <v>655</v>
      </c>
      <c r="R73" s="367" t="s">
        <v>809</v>
      </c>
      <c r="S73" s="367">
        <v>3144455</v>
      </c>
      <c r="T73" s="483">
        <v>586.79999999999995</v>
      </c>
      <c r="U73" s="470"/>
      <c r="V73" s="483">
        <v>0</v>
      </c>
      <c r="W73" s="470"/>
      <c r="X73" s="470"/>
      <c r="Y73" s="370">
        <f t="shared" si="2"/>
        <v>0</v>
      </c>
      <c r="Z73" s="371">
        <v>3</v>
      </c>
    </row>
    <row r="74" spans="1:26" x14ac:dyDescent="0.25">
      <c r="A74" s="481">
        <v>42162</v>
      </c>
      <c r="B74" s="470"/>
      <c r="C74" s="368">
        <v>42162</v>
      </c>
      <c r="F74" s="482" t="s">
        <v>673</v>
      </c>
      <c r="G74" s="470"/>
      <c r="H74" s="369" t="s">
        <v>659</v>
      </c>
      <c r="I74" s="369" t="s">
        <v>810</v>
      </c>
      <c r="J74" s="367" t="s">
        <v>811</v>
      </c>
      <c r="K74" s="482" t="s">
        <v>812</v>
      </c>
      <c r="L74" s="470"/>
      <c r="M74" s="470"/>
      <c r="N74" s="369" t="s">
        <v>655</v>
      </c>
      <c r="O74" s="369" t="s">
        <v>655</v>
      </c>
      <c r="P74" s="369" t="s">
        <v>655</v>
      </c>
      <c r="Q74" s="369" t="s">
        <v>655</v>
      </c>
      <c r="R74" s="367" t="s">
        <v>813</v>
      </c>
      <c r="S74" s="367">
        <v>3148935</v>
      </c>
      <c r="T74" s="483">
        <v>586.79999999999995</v>
      </c>
      <c r="U74" s="470"/>
      <c r="V74" s="483">
        <v>372.34</v>
      </c>
      <c r="W74" s="470"/>
      <c r="X74" s="470"/>
      <c r="Y74" s="370">
        <f t="shared" si="2"/>
        <v>372.34</v>
      </c>
      <c r="Z74" s="371"/>
    </row>
    <row r="75" spans="1:26" x14ac:dyDescent="0.25">
      <c r="A75" s="481">
        <v>42163</v>
      </c>
      <c r="B75" s="470"/>
      <c r="C75" s="368">
        <v>42164</v>
      </c>
      <c r="F75" s="482" t="s">
        <v>673</v>
      </c>
      <c r="G75" s="470"/>
      <c r="H75" s="369" t="s">
        <v>659</v>
      </c>
      <c r="I75" s="369" t="s">
        <v>674</v>
      </c>
      <c r="J75" s="367" t="s">
        <v>675</v>
      </c>
      <c r="K75" s="482" t="s">
        <v>676</v>
      </c>
      <c r="L75" s="470"/>
      <c r="M75" s="470"/>
      <c r="N75" s="369" t="s">
        <v>655</v>
      </c>
      <c r="O75" s="369" t="s">
        <v>655</v>
      </c>
      <c r="P75" s="369" t="s">
        <v>655</v>
      </c>
      <c r="Q75" s="369" t="s">
        <v>655</v>
      </c>
      <c r="R75" s="367" t="s">
        <v>677</v>
      </c>
      <c r="S75" s="367">
        <v>3146491</v>
      </c>
      <c r="T75" s="483">
        <v>586.79999999999995</v>
      </c>
      <c r="U75" s="470"/>
      <c r="V75" s="483">
        <v>1821.24</v>
      </c>
      <c r="W75" s="470"/>
      <c r="X75" s="470"/>
      <c r="Y75" s="370">
        <f t="shared" si="2"/>
        <v>1821.24</v>
      </c>
      <c r="Z75" s="371"/>
    </row>
    <row r="76" spans="1:26" x14ac:dyDescent="0.25">
      <c r="A76" s="481">
        <v>42163</v>
      </c>
      <c r="B76" s="470"/>
      <c r="C76" s="368">
        <v>42163</v>
      </c>
      <c r="F76" s="482" t="s">
        <v>684</v>
      </c>
      <c r="G76" s="470"/>
      <c r="H76" s="369" t="s">
        <v>659</v>
      </c>
      <c r="I76" s="369" t="s">
        <v>814</v>
      </c>
      <c r="J76" s="367" t="s">
        <v>815</v>
      </c>
      <c r="K76" s="482" t="s">
        <v>816</v>
      </c>
      <c r="L76" s="470"/>
      <c r="M76" s="470"/>
      <c r="N76" s="369" t="s">
        <v>655</v>
      </c>
      <c r="O76" s="369" t="s">
        <v>753</v>
      </c>
      <c r="P76" s="369" t="s">
        <v>655</v>
      </c>
      <c r="Q76" s="369" t="s">
        <v>753</v>
      </c>
      <c r="R76" s="367" t="s">
        <v>817</v>
      </c>
      <c r="S76" s="367">
        <v>3155194</v>
      </c>
      <c r="T76" s="483">
        <v>586.79999999999995</v>
      </c>
      <c r="U76" s="470"/>
      <c r="V76" s="483">
        <v>0</v>
      </c>
      <c r="W76" s="470"/>
      <c r="X76" s="470"/>
      <c r="Y76" s="370">
        <f t="shared" si="2"/>
        <v>0</v>
      </c>
      <c r="Z76" s="371">
        <v>5</v>
      </c>
    </row>
    <row r="77" spans="1:26" x14ac:dyDescent="0.25">
      <c r="A77" s="481">
        <v>42163</v>
      </c>
      <c r="B77" s="470"/>
      <c r="C77" s="368">
        <v>42163</v>
      </c>
      <c r="F77" s="482" t="s">
        <v>673</v>
      </c>
      <c r="G77" s="470"/>
      <c r="H77" s="369" t="s">
        <v>659</v>
      </c>
      <c r="I77" s="369" t="s">
        <v>818</v>
      </c>
      <c r="J77" s="367" t="s">
        <v>819</v>
      </c>
      <c r="K77" s="482" t="s">
        <v>662</v>
      </c>
      <c r="L77" s="470"/>
      <c r="M77" s="470"/>
      <c r="N77" s="369" t="s">
        <v>655</v>
      </c>
      <c r="O77" s="369" t="s">
        <v>655</v>
      </c>
      <c r="P77" s="369" t="s">
        <v>655</v>
      </c>
      <c r="Q77" s="369" t="s">
        <v>655</v>
      </c>
      <c r="R77" s="367" t="s">
        <v>820</v>
      </c>
      <c r="S77" s="367">
        <v>3145153</v>
      </c>
      <c r="T77" s="483">
        <v>586.79999999999995</v>
      </c>
      <c r="U77" s="470"/>
      <c r="V77" s="483">
        <v>1162.3399999999999</v>
      </c>
      <c r="W77" s="470"/>
      <c r="X77" s="470"/>
      <c r="Y77" s="370">
        <f t="shared" si="2"/>
        <v>1162.3399999999999</v>
      </c>
      <c r="Z77" s="371">
        <v>2</v>
      </c>
    </row>
    <row r="78" spans="1:26" x14ac:dyDescent="0.25">
      <c r="A78" s="481">
        <v>42164</v>
      </c>
      <c r="B78" s="470"/>
      <c r="C78" s="368">
        <v>42165</v>
      </c>
      <c r="F78" s="482" t="s">
        <v>673</v>
      </c>
      <c r="G78" s="470"/>
      <c r="H78" s="369" t="s">
        <v>659</v>
      </c>
      <c r="I78" s="369" t="s">
        <v>821</v>
      </c>
      <c r="J78" s="367" t="s">
        <v>822</v>
      </c>
      <c r="K78" s="482" t="s">
        <v>823</v>
      </c>
      <c r="L78" s="470"/>
      <c r="M78" s="470"/>
      <c r="N78" s="369" t="s">
        <v>655</v>
      </c>
      <c r="O78" s="369" t="s">
        <v>655</v>
      </c>
      <c r="P78" s="369" t="s">
        <v>655</v>
      </c>
      <c r="Q78" s="369" t="s">
        <v>655</v>
      </c>
      <c r="R78" s="367" t="s">
        <v>824</v>
      </c>
      <c r="S78" s="367">
        <v>3251391</v>
      </c>
      <c r="T78" s="483">
        <v>586.79999999999995</v>
      </c>
      <c r="U78" s="470"/>
      <c r="V78" s="483">
        <v>1394.59</v>
      </c>
      <c r="W78" s="470"/>
      <c r="X78" s="470"/>
      <c r="Y78" s="370">
        <f t="shared" si="2"/>
        <v>1394.59</v>
      </c>
      <c r="Z78" s="371">
        <v>1</v>
      </c>
    </row>
    <row r="79" spans="1:26" x14ac:dyDescent="0.25">
      <c r="A79" s="481">
        <v>42164</v>
      </c>
      <c r="B79" s="470"/>
      <c r="C79" s="368">
        <v>42177</v>
      </c>
      <c r="F79" s="482" t="s">
        <v>825</v>
      </c>
      <c r="G79" s="470"/>
      <c r="H79" s="369" t="s">
        <v>659</v>
      </c>
      <c r="I79" s="369" t="s">
        <v>674</v>
      </c>
      <c r="J79" s="367" t="s">
        <v>675</v>
      </c>
      <c r="K79" s="482" t="s">
        <v>676</v>
      </c>
      <c r="L79" s="470"/>
      <c r="M79" s="470"/>
      <c r="N79" s="369" t="s">
        <v>655</v>
      </c>
      <c r="O79" s="369" t="s">
        <v>655</v>
      </c>
      <c r="P79" s="369" t="s">
        <v>655</v>
      </c>
      <c r="Q79" s="369" t="s">
        <v>655</v>
      </c>
      <c r="R79" s="367" t="s">
        <v>826</v>
      </c>
      <c r="S79" s="367">
        <v>3154702</v>
      </c>
      <c r="T79" s="483">
        <v>586.79999999999995</v>
      </c>
      <c r="U79" s="470"/>
      <c r="V79" s="483">
        <v>0</v>
      </c>
      <c r="W79" s="470"/>
      <c r="X79" s="470"/>
      <c r="Y79" s="370">
        <f t="shared" si="2"/>
        <v>0</v>
      </c>
      <c r="Z79" s="371">
        <v>64</v>
      </c>
    </row>
    <row r="80" spans="1:26" x14ac:dyDescent="0.25">
      <c r="A80" s="481">
        <v>42166</v>
      </c>
      <c r="B80" s="470"/>
      <c r="C80" s="368">
        <v>42166</v>
      </c>
      <c r="F80" s="482" t="s">
        <v>684</v>
      </c>
      <c r="G80" s="470"/>
      <c r="H80" s="369" t="s">
        <v>659</v>
      </c>
      <c r="I80" s="369" t="s">
        <v>827</v>
      </c>
      <c r="J80" s="367" t="s">
        <v>828</v>
      </c>
      <c r="K80" s="482" t="s">
        <v>676</v>
      </c>
      <c r="L80" s="470"/>
      <c r="M80" s="470"/>
      <c r="N80" s="369" t="s">
        <v>655</v>
      </c>
      <c r="O80" s="369" t="s">
        <v>655</v>
      </c>
      <c r="P80" s="369" t="s">
        <v>655</v>
      </c>
      <c r="Q80" s="369" t="s">
        <v>655</v>
      </c>
      <c r="R80" s="367" t="s">
        <v>829</v>
      </c>
      <c r="S80" s="367">
        <v>3162729</v>
      </c>
      <c r="T80" s="483">
        <v>586.79999999999995</v>
      </c>
      <c r="U80" s="470"/>
      <c r="V80" s="483">
        <v>362.92</v>
      </c>
      <c r="W80" s="470"/>
      <c r="X80" s="470"/>
      <c r="Y80" s="370">
        <f t="shared" si="2"/>
        <v>362.92</v>
      </c>
      <c r="Z80" s="371"/>
    </row>
    <row r="81" spans="1:26" x14ac:dyDescent="0.25">
      <c r="A81" s="481">
        <v>42167</v>
      </c>
      <c r="B81" s="470"/>
      <c r="C81" s="368">
        <v>42167</v>
      </c>
      <c r="F81" s="482" t="s">
        <v>673</v>
      </c>
      <c r="G81" s="470"/>
      <c r="H81" s="369" t="s">
        <v>659</v>
      </c>
      <c r="I81" s="369" t="s">
        <v>830</v>
      </c>
      <c r="J81" s="367" t="s">
        <v>831</v>
      </c>
      <c r="K81" s="482" t="s">
        <v>832</v>
      </c>
      <c r="L81" s="470"/>
      <c r="M81" s="470"/>
      <c r="N81" s="369" t="s">
        <v>655</v>
      </c>
      <c r="O81" s="369" t="s">
        <v>655</v>
      </c>
      <c r="P81" s="369" t="s">
        <v>655</v>
      </c>
      <c r="Q81" s="369" t="s">
        <v>655</v>
      </c>
      <c r="R81" s="367" t="s">
        <v>833</v>
      </c>
      <c r="S81" s="367">
        <v>3176389</v>
      </c>
      <c r="T81" s="483">
        <v>586.79999999999995</v>
      </c>
      <c r="U81" s="470"/>
      <c r="V81" s="483">
        <v>169.85</v>
      </c>
      <c r="W81" s="470"/>
      <c r="X81" s="470"/>
      <c r="Y81" s="370">
        <f t="shared" si="2"/>
        <v>169.85</v>
      </c>
      <c r="Z81" s="371"/>
    </row>
    <row r="82" spans="1:26" x14ac:dyDescent="0.25">
      <c r="A82" s="481">
        <v>42169</v>
      </c>
      <c r="B82" s="470"/>
      <c r="C82" s="368">
        <v>42170</v>
      </c>
      <c r="F82" s="482" t="s">
        <v>673</v>
      </c>
      <c r="G82" s="470"/>
      <c r="H82" s="369" t="s">
        <v>659</v>
      </c>
      <c r="I82" s="369" t="s">
        <v>834</v>
      </c>
      <c r="J82" s="367" t="s">
        <v>835</v>
      </c>
      <c r="K82" s="482" t="s">
        <v>836</v>
      </c>
      <c r="L82" s="470"/>
      <c r="M82" s="470"/>
      <c r="N82" s="369" t="s">
        <v>655</v>
      </c>
      <c r="O82" s="369" t="s">
        <v>655</v>
      </c>
      <c r="P82" s="369" t="s">
        <v>655</v>
      </c>
      <c r="Q82" s="369" t="s">
        <v>655</v>
      </c>
      <c r="R82" s="367" t="s">
        <v>837</v>
      </c>
      <c r="S82" s="367">
        <v>3176408</v>
      </c>
      <c r="T82" s="483">
        <v>586.79999999999995</v>
      </c>
      <c r="U82" s="470"/>
      <c r="V82" s="483">
        <v>694.44</v>
      </c>
      <c r="W82" s="470"/>
      <c r="X82" s="470"/>
      <c r="Y82" s="370">
        <f t="shared" si="2"/>
        <v>694.44</v>
      </c>
      <c r="Z82" s="371">
        <v>2</v>
      </c>
    </row>
    <row r="83" spans="1:26" x14ac:dyDescent="0.25">
      <c r="A83" s="481">
        <v>42170</v>
      </c>
      <c r="B83" s="470"/>
      <c r="C83" s="368">
        <v>42170</v>
      </c>
      <c r="F83" s="482" t="s">
        <v>740</v>
      </c>
      <c r="G83" s="470"/>
      <c r="H83" s="369" t="s">
        <v>659</v>
      </c>
      <c r="I83" s="369" t="s">
        <v>838</v>
      </c>
      <c r="J83" s="367" t="s">
        <v>839</v>
      </c>
      <c r="K83" s="482" t="s">
        <v>840</v>
      </c>
      <c r="L83" s="470"/>
      <c r="M83" s="470"/>
      <c r="N83" s="369" t="s">
        <v>655</v>
      </c>
      <c r="O83" s="369" t="s">
        <v>753</v>
      </c>
      <c r="P83" s="369" t="s">
        <v>655</v>
      </c>
      <c r="Q83" s="369" t="s">
        <v>655</v>
      </c>
      <c r="R83" s="367" t="s">
        <v>841</v>
      </c>
      <c r="S83" s="367">
        <v>3177425</v>
      </c>
      <c r="T83" s="483">
        <v>586.79999999999995</v>
      </c>
      <c r="U83" s="470"/>
      <c r="V83" s="483">
        <v>740.59</v>
      </c>
      <c r="W83" s="470"/>
      <c r="X83" s="470"/>
      <c r="Y83" s="370">
        <f t="shared" si="2"/>
        <v>740.59</v>
      </c>
      <c r="Z83" s="371">
        <v>1</v>
      </c>
    </row>
    <row r="84" spans="1:26" x14ac:dyDescent="0.25">
      <c r="A84" s="481">
        <v>42170</v>
      </c>
      <c r="B84" s="470"/>
      <c r="C84" s="368">
        <v>42171</v>
      </c>
      <c r="F84" s="482" t="s">
        <v>678</v>
      </c>
      <c r="G84" s="470"/>
      <c r="H84" s="369" t="s">
        <v>659</v>
      </c>
      <c r="I84" s="369" t="s">
        <v>679</v>
      </c>
      <c r="J84" s="367" t="s">
        <v>680</v>
      </c>
      <c r="K84" s="482" t="s">
        <v>681</v>
      </c>
      <c r="L84" s="470"/>
      <c r="M84" s="470"/>
      <c r="N84" s="369" t="s">
        <v>655</v>
      </c>
      <c r="O84" s="369" t="s">
        <v>655</v>
      </c>
      <c r="P84" s="369" t="s">
        <v>655</v>
      </c>
      <c r="Q84" s="369" t="s">
        <v>655</v>
      </c>
      <c r="R84" s="367" t="s">
        <v>682</v>
      </c>
      <c r="S84" s="367">
        <v>3181292</v>
      </c>
      <c r="T84" s="483">
        <v>586.79999999999995</v>
      </c>
      <c r="U84" s="470"/>
      <c r="V84" s="483">
        <v>1155.51</v>
      </c>
      <c r="W84" s="470"/>
      <c r="X84" s="470"/>
      <c r="Y84" s="370">
        <f t="shared" si="2"/>
        <v>1155.51</v>
      </c>
      <c r="Z84" s="371">
        <v>9</v>
      </c>
    </row>
    <row r="85" spans="1:26" x14ac:dyDescent="0.25">
      <c r="A85" s="481">
        <v>42170</v>
      </c>
      <c r="B85" s="470"/>
      <c r="C85" s="368">
        <v>42170</v>
      </c>
      <c r="F85" s="482" t="s">
        <v>740</v>
      </c>
      <c r="G85" s="470"/>
      <c r="H85" s="369" t="s">
        <v>659</v>
      </c>
      <c r="I85" s="369" t="s">
        <v>842</v>
      </c>
      <c r="J85" s="367" t="s">
        <v>843</v>
      </c>
      <c r="K85" s="482" t="s">
        <v>844</v>
      </c>
      <c r="L85" s="470"/>
      <c r="M85" s="470"/>
      <c r="N85" s="369" t="s">
        <v>655</v>
      </c>
      <c r="O85" s="369" t="s">
        <v>753</v>
      </c>
      <c r="P85" s="369" t="s">
        <v>655</v>
      </c>
      <c r="Q85" s="369" t="s">
        <v>753</v>
      </c>
      <c r="R85" s="367" t="s">
        <v>845</v>
      </c>
      <c r="S85" s="367">
        <v>3177103</v>
      </c>
      <c r="T85" s="483">
        <v>586.79999999999995</v>
      </c>
      <c r="U85" s="470"/>
      <c r="V85" s="483">
        <v>166.12</v>
      </c>
      <c r="W85" s="470"/>
      <c r="X85" s="470"/>
      <c r="Y85" s="370">
        <f t="shared" si="2"/>
        <v>166.12</v>
      </c>
      <c r="Z85" s="371"/>
    </row>
    <row r="86" spans="1:26" x14ac:dyDescent="0.25">
      <c r="A86" s="481">
        <v>42172</v>
      </c>
      <c r="B86" s="470"/>
      <c r="C86" s="368">
        <v>42172</v>
      </c>
      <c r="F86" s="482" t="s">
        <v>684</v>
      </c>
      <c r="G86" s="470"/>
      <c r="H86" s="369" t="s">
        <v>659</v>
      </c>
      <c r="I86" s="369" t="s">
        <v>846</v>
      </c>
      <c r="J86" s="367" t="s">
        <v>847</v>
      </c>
      <c r="K86" s="482" t="s">
        <v>848</v>
      </c>
      <c r="L86" s="470"/>
      <c r="M86" s="470"/>
      <c r="N86" s="369" t="s">
        <v>655</v>
      </c>
      <c r="O86" s="369" t="s">
        <v>655</v>
      </c>
      <c r="P86" s="369" t="s">
        <v>655</v>
      </c>
      <c r="Q86" s="369" t="s">
        <v>655</v>
      </c>
      <c r="R86" s="367" t="s">
        <v>849</v>
      </c>
      <c r="S86" s="367">
        <v>3193743</v>
      </c>
      <c r="T86" s="483">
        <v>586.79999999999995</v>
      </c>
      <c r="U86" s="470"/>
      <c r="V86" s="483">
        <v>555.16</v>
      </c>
      <c r="W86" s="470"/>
      <c r="X86" s="470"/>
      <c r="Y86" s="370">
        <f t="shared" si="2"/>
        <v>555.16</v>
      </c>
      <c r="Z86" s="371">
        <v>1</v>
      </c>
    </row>
    <row r="87" spans="1:26" x14ac:dyDescent="0.25">
      <c r="A87" s="481">
        <v>42172</v>
      </c>
      <c r="B87" s="470"/>
      <c r="C87" s="368">
        <v>42172</v>
      </c>
      <c r="F87" s="482" t="s">
        <v>850</v>
      </c>
      <c r="G87" s="470"/>
      <c r="H87" s="369" t="s">
        <v>659</v>
      </c>
      <c r="I87" s="369" t="s">
        <v>851</v>
      </c>
      <c r="J87" s="367" t="s">
        <v>852</v>
      </c>
      <c r="K87" s="482" t="s">
        <v>853</v>
      </c>
      <c r="L87" s="470"/>
      <c r="M87" s="470"/>
      <c r="N87" s="369" t="s">
        <v>655</v>
      </c>
      <c r="O87" s="369" t="s">
        <v>753</v>
      </c>
      <c r="P87" s="369" t="s">
        <v>655</v>
      </c>
      <c r="Q87" s="369" t="s">
        <v>753</v>
      </c>
      <c r="R87" s="367" t="s">
        <v>854</v>
      </c>
      <c r="S87" s="367">
        <v>3194221</v>
      </c>
      <c r="T87" s="483">
        <v>586.79999999999995</v>
      </c>
      <c r="U87" s="470"/>
      <c r="V87" s="483">
        <v>0</v>
      </c>
      <c r="W87" s="470"/>
      <c r="X87" s="470"/>
      <c r="Y87" s="370">
        <f t="shared" si="2"/>
        <v>0</v>
      </c>
      <c r="Z87" s="371"/>
    </row>
    <row r="88" spans="1:26" x14ac:dyDescent="0.25">
      <c r="A88" s="481">
        <v>42175</v>
      </c>
      <c r="B88" s="470"/>
      <c r="C88" s="368">
        <v>42175</v>
      </c>
      <c r="F88" s="482" t="s">
        <v>673</v>
      </c>
      <c r="G88" s="470"/>
      <c r="H88" s="369" t="s">
        <v>659</v>
      </c>
      <c r="I88" s="369" t="s">
        <v>855</v>
      </c>
      <c r="J88" s="367" t="s">
        <v>856</v>
      </c>
      <c r="K88" s="482" t="s">
        <v>857</v>
      </c>
      <c r="L88" s="470"/>
      <c r="M88" s="470"/>
      <c r="N88" s="369" t="s">
        <v>655</v>
      </c>
      <c r="O88" s="369" t="s">
        <v>655</v>
      </c>
      <c r="P88" s="369" t="s">
        <v>655</v>
      </c>
      <c r="Q88" s="369" t="s">
        <v>753</v>
      </c>
      <c r="R88" s="367" t="s">
        <v>858</v>
      </c>
      <c r="S88" s="367">
        <v>3203666</v>
      </c>
      <c r="T88" s="483">
        <v>586.79999999999995</v>
      </c>
      <c r="U88" s="470"/>
      <c r="V88" s="483">
        <v>0</v>
      </c>
      <c r="W88" s="470"/>
      <c r="X88" s="470"/>
      <c r="Y88" s="370">
        <f t="shared" si="2"/>
        <v>0</v>
      </c>
      <c r="Z88" s="371"/>
    </row>
    <row r="89" spans="1:26" x14ac:dyDescent="0.25">
      <c r="A89" s="481">
        <v>42176</v>
      </c>
      <c r="B89" s="470"/>
      <c r="C89" s="368">
        <v>42176</v>
      </c>
      <c r="F89" s="482" t="s">
        <v>673</v>
      </c>
      <c r="G89" s="470"/>
      <c r="H89" s="369" t="s">
        <v>659</v>
      </c>
      <c r="I89" s="369" t="s">
        <v>859</v>
      </c>
      <c r="J89" s="367" t="s">
        <v>860</v>
      </c>
      <c r="K89" s="482" t="s">
        <v>861</v>
      </c>
      <c r="L89" s="470"/>
      <c r="M89" s="470"/>
      <c r="N89" s="369" t="s">
        <v>655</v>
      </c>
      <c r="O89" s="369" t="s">
        <v>753</v>
      </c>
      <c r="P89" s="369" t="s">
        <v>655</v>
      </c>
      <c r="Q89" s="369" t="s">
        <v>753</v>
      </c>
      <c r="R89" s="367" t="s">
        <v>862</v>
      </c>
      <c r="S89" s="367">
        <v>3215279</v>
      </c>
      <c r="T89" s="483">
        <v>586.79999999999995</v>
      </c>
      <c r="U89" s="470"/>
      <c r="V89" s="483">
        <v>0</v>
      </c>
      <c r="W89" s="470"/>
      <c r="X89" s="470"/>
      <c r="Y89" s="370">
        <f t="shared" si="2"/>
        <v>0</v>
      </c>
      <c r="Z89" s="371"/>
    </row>
    <row r="90" spans="1:26" x14ac:dyDescent="0.25">
      <c r="A90" s="481">
        <v>42176</v>
      </c>
      <c r="B90" s="470"/>
      <c r="C90" s="368">
        <v>42176</v>
      </c>
      <c r="F90" s="482" t="s">
        <v>697</v>
      </c>
      <c r="G90" s="470"/>
      <c r="H90" s="369" t="s">
        <v>659</v>
      </c>
      <c r="I90" s="369" t="s">
        <v>863</v>
      </c>
      <c r="J90" s="367" t="s">
        <v>864</v>
      </c>
      <c r="K90" s="482" t="s">
        <v>865</v>
      </c>
      <c r="L90" s="470"/>
      <c r="M90" s="470"/>
      <c r="N90" s="369" t="s">
        <v>655</v>
      </c>
      <c r="O90" s="369" t="s">
        <v>753</v>
      </c>
      <c r="P90" s="369" t="s">
        <v>655</v>
      </c>
      <c r="Q90" s="369" t="s">
        <v>753</v>
      </c>
      <c r="R90" s="367" t="s">
        <v>866</v>
      </c>
      <c r="S90" s="367">
        <v>3215226</v>
      </c>
      <c r="T90" s="483">
        <v>586.79999999999995</v>
      </c>
      <c r="U90" s="470"/>
      <c r="V90" s="483">
        <v>0</v>
      </c>
      <c r="W90" s="470"/>
      <c r="X90" s="470"/>
      <c r="Y90" s="370">
        <f t="shared" si="2"/>
        <v>0</v>
      </c>
      <c r="Z90" s="371"/>
    </row>
    <row r="91" spans="1:26" x14ac:dyDescent="0.25">
      <c r="A91" s="481">
        <v>42177</v>
      </c>
      <c r="B91" s="470"/>
      <c r="C91" s="368">
        <v>42177</v>
      </c>
      <c r="F91" s="482" t="s">
        <v>684</v>
      </c>
      <c r="G91" s="470"/>
      <c r="H91" s="369" t="s">
        <v>659</v>
      </c>
      <c r="I91" s="369" t="s">
        <v>867</v>
      </c>
      <c r="J91" s="367" t="s">
        <v>868</v>
      </c>
      <c r="K91" s="482" t="s">
        <v>869</v>
      </c>
      <c r="L91" s="470"/>
      <c r="M91" s="470"/>
      <c r="N91" s="369" t="s">
        <v>655</v>
      </c>
      <c r="O91" s="369" t="s">
        <v>753</v>
      </c>
      <c r="P91" s="369" t="s">
        <v>655</v>
      </c>
      <c r="Q91" s="369" t="s">
        <v>753</v>
      </c>
      <c r="R91" s="367" t="s">
        <v>870</v>
      </c>
      <c r="S91" s="367">
        <v>3215346</v>
      </c>
      <c r="T91" s="483">
        <v>586.79999999999995</v>
      </c>
      <c r="U91" s="470"/>
      <c r="V91" s="483">
        <v>0</v>
      </c>
      <c r="W91" s="470"/>
      <c r="X91" s="470"/>
      <c r="Y91" s="370">
        <f t="shared" si="2"/>
        <v>0</v>
      </c>
      <c r="Z91" s="371">
        <v>14</v>
      </c>
    </row>
    <row r="92" spans="1:26" x14ac:dyDescent="0.25">
      <c r="A92" s="481">
        <v>42177</v>
      </c>
      <c r="B92" s="470"/>
      <c r="C92" s="368">
        <v>42177</v>
      </c>
      <c r="F92" s="482" t="s">
        <v>673</v>
      </c>
      <c r="G92" s="470"/>
      <c r="H92" s="369" t="s">
        <v>659</v>
      </c>
      <c r="I92" s="369" t="s">
        <v>871</v>
      </c>
      <c r="J92" s="367" t="s">
        <v>872</v>
      </c>
      <c r="K92" s="482" t="s">
        <v>873</v>
      </c>
      <c r="L92" s="470"/>
      <c r="M92" s="470"/>
      <c r="N92" s="369" t="s">
        <v>655</v>
      </c>
      <c r="O92" s="369" t="s">
        <v>655</v>
      </c>
      <c r="P92" s="369" t="s">
        <v>655</v>
      </c>
      <c r="Q92" s="369" t="s">
        <v>655</v>
      </c>
      <c r="R92" s="367" t="s">
        <v>874</v>
      </c>
      <c r="S92" s="367">
        <v>3215207</v>
      </c>
      <c r="T92" s="483">
        <v>586.79999999999995</v>
      </c>
      <c r="U92" s="470"/>
      <c r="V92" s="483">
        <v>0</v>
      </c>
      <c r="W92" s="470"/>
      <c r="X92" s="470"/>
      <c r="Y92" s="370">
        <f t="shared" si="2"/>
        <v>0</v>
      </c>
      <c r="Z92" s="371"/>
    </row>
    <row r="93" spans="1:26" x14ac:dyDescent="0.25">
      <c r="A93" s="481">
        <v>42178</v>
      </c>
      <c r="B93" s="470"/>
      <c r="C93" s="368">
        <v>42179</v>
      </c>
      <c r="F93" s="482" t="s">
        <v>697</v>
      </c>
      <c r="G93" s="470"/>
      <c r="H93" s="369" t="s">
        <v>659</v>
      </c>
      <c r="I93" s="369" t="s">
        <v>875</v>
      </c>
      <c r="J93" s="367" t="s">
        <v>876</v>
      </c>
      <c r="K93" s="482" t="s">
        <v>877</v>
      </c>
      <c r="L93" s="470"/>
      <c r="M93" s="470"/>
      <c r="N93" s="369" t="s">
        <v>655</v>
      </c>
      <c r="O93" s="369" t="s">
        <v>753</v>
      </c>
      <c r="P93" s="369" t="s">
        <v>655</v>
      </c>
      <c r="Q93" s="369" t="s">
        <v>753</v>
      </c>
      <c r="R93" s="367" t="s">
        <v>878</v>
      </c>
      <c r="S93" s="367">
        <v>3225629</v>
      </c>
      <c r="T93" s="483">
        <v>586.79999999999995</v>
      </c>
      <c r="U93" s="470"/>
      <c r="V93" s="483">
        <v>0</v>
      </c>
      <c r="W93" s="470"/>
      <c r="X93" s="470"/>
      <c r="Y93" s="370">
        <f t="shared" si="2"/>
        <v>0</v>
      </c>
      <c r="Z93" s="371"/>
    </row>
    <row r="94" spans="1:26" x14ac:dyDescent="0.25">
      <c r="A94" s="481">
        <v>42180</v>
      </c>
      <c r="B94" s="470"/>
      <c r="C94" s="368">
        <v>42180</v>
      </c>
      <c r="F94" s="482" t="s">
        <v>673</v>
      </c>
      <c r="G94" s="470"/>
      <c r="H94" s="369" t="s">
        <v>659</v>
      </c>
      <c r="I94" s="369" t="s">
        <v>879</v>
      </c>
      <c r="J94" s="367" t="s">
        <v>880</v>
      </c>
      <c r="K94" s="482" t="s">
        <v>881</v>
      </c>
      <c r="L94" s="470"/>
      <c r="M94" s="470"/>
      <c r="N94" s="369" t="s">
        <v>655</v>
      </c>
      <c r="O94" s="369" t="s">
        <v>655</v>
      </c>
      <c r="P94" s="369" t="s">
        <v>655</v>
      </c>
      <c r="Q94" s="369" t="s">
        <v>655</v>
      </c>
      <c r="R94" s="367" t="s">
        <v>882</v>
      </c>
      <c r="S94" s="367">
        <v>3226226</v>
      </c>
      <c r="T94" s="483">
        <v>586.79999999999995</v>
      </c>
      <c r="U94" s="470"/>
      <c r="V94" s="483">
        <v>220.53</v>
      </c>
      <c r="W94" s="470"/>
      <c r="X94" s="470"/>
      <c r="Y94" s="370">
        <f t="shared" si="2"/>
        <v>220.53</v>
      </c>
      <c r="Z94" s="371"/>
    </row>
    <row r="95" spans="1:26" x14ac:dyDescent="0.25">
      <c r="A95" s="481">
        <v>42180</v>
      </c>
      <c r="B95" s="470"/>
      <c r="C95" s="368">
        <v>42180</v>
      </c>
      <c r="F95" s="482" t="s">
        <v>673</v>
      </c>
      <c r="G95" s="470"/>
      <c r="H95" s="369" t="s">
        <v>659</v>
      </c>
      <c r="I95" s="369" t="s">
        <v>883</v>
      </c>
      <c r="J95" s="367" t="s">
        <v>884</v>
      </c>
      <c r="K95" s="482" t="s">
        <v>885</v>
      </c>
      <c r="L95" s="470"/>
      <c r="M95" s="470"/>
      <c r="N95" s="369" t="s">
        <v>655</v>
      </c>
      <c r="O95" s="369" t="s">
        <v>655</v>
      </c>
      <c r="P95" s="369" t="s">
        <v>655</v>
      </c>
      <c r="Q95" s="369" t="s">
        <v>655</v>
      </c>
      <c r="R95" s="367" t="s">
        <v>886</v>
      </c>
      <c r="S95" s="367">
        <v>3231118</v>
      </c>
      <c r="T95" s="483">
        <v>586.79999999999995</v>
      </c>
      <c r="U95" s="470"/>
      <c r="V95" s="483">
        <v>593.94000000000005</v>
      </c>
      <c r="W95" s="470"/>
      <c r="X95" s="470"/>
      <c r="Y95" s="370">
        <f t="shared" si="2"/>
        <v>593.94000000000005</v>
      </c>
      <c r="Z95" s="371"/>
    </row>
    <row r="96" spans="1:26" ht="22.5" x14ac:dyDescent="0.25">
      <c r="A96" s="481">
        <v>42180</v>
      </c>
      <c r="B96" s="470"/>
      <c r="C96" s="368">
        <v>42180</v>
      </c>
      <c r="F96" s="482" t="s">
        <v>684</v>
      </c>
      <c r="G96" s="470"/>
      <c r="H96" s="369" t="s">
        <v>659</v>
      </c>
      <c r="I96" s="369" t="s">
        <v>887</v>
      </c>
      <c r="J96" s="367" t="s">
        <v>888</v>
      </c>
      <c r="K96" s="482" t="s">
        <v>889</v>
      </c>
      <c r="L96" s="470"/>
      <c r="M96" s="470"/>
      <c r="N96" s="369" t="s">
        <v>655</v>
      </c>
      <c r="O96" s="369" t="s">
        <v>655</v>
      </c>
      <c r="P96" s="369" t="s">
        <v>655</v>
      </c>
      <c r="Q96" s="369" t="s">
        <v>655</v>
      </c>
      <c r="R96" s="367" t="s">
        <v>890</v>
      </c>
      <c r="S96" s="367">
        <v>3231126</v>
      </c>
      <c r="T96" s="483">
        <v>586.79999999999995</v>
      </c>
      <c r="U96" s="470"/>
      <c r="V96" s="483">
        <v>4700.74</v>
      </c>
      <c r="W96" s="470"/>
      <c r="X96" s="470"/>
      <c r="Y96" s="370">
        <f t="shared" si="2"/>
        <v>4700.74</v>
      </c>
      <c r="Z96" s="371"/>
    </row>
    <row r="97" spans="1:26" x14ac:dyDescent="0.25">
      <c r="A97" s="481">
        <v>42181</v>
      </c>
      <c r="B97" s="470"/>
      <c r="C97" s="368">
        <v>42182</v>
      </c>
      <c r="F97" s="482" t="s">
        <v>673</v>
      </c>
      <c r="G97" s="470"/>
      <c r="H97" s="369" t="s">
        <v>659</v>
      </c>
      <c r="I97" s="369" t="s">
        <v>891</v>
      </c>
      <c r="J97" s="367" t="s">
        <v>892</v>
      </c>
      <c r="K97" s="482" t="s">
        <v>893</v>
      </c>
      <c r="L97" s="470"/>
      <c r="M97" s="470"/>
      <c r="N97" s="369" t="s">
        <v>655</v>
      </c>
      <c r="O97" s="369" t="s">
        <v>753</v>
      </c>
      <c r="P97" s="369" t="s">
        <v>655</v>
      </c>
      <c r="Q97" s="369" t="s">
        <v>753</v>
      </c>
      <c r="R97" s="367" t="s">
        <v>894</v>
      </c>
      <c r="S97" s="367">
        <v>3243149</v>
      </c>
      <c r="T97" s="483">
        <v>586.79999999999995</v>
      </c>
      <c r="U97" s="470"/>
      <c r="V97" s="483">
        <v>0</v>
      </c>
      <c r="W97" s="470"/>
      <c r="X97" s="470"/>
      <c r="Y97" s="370">
        <f t="shared" si="2"/>
        <v>0</v>
      </c>
      <c r="Z97" s="371"/>
    </row>
    <row r="98" spans="1:26" x14ac:dyDescent="0.25">
      <c r="A98" s="481">
        <v>42181</v>
      </c>
      <c r="B98" s="470"/>
      <c r="C98" s="368">
        <v>42181</v>
      </c>
      <c r="F98" s="482" t="s">
        <v>673</v>
      </c>
      <c r="G98" s="470"/>
      <c r="H98" s="369" t="s">
        <v>659</v>
      </c>
      <c r="I98" s="369" t="s">
        <v>895</v>
      </c>
      <c r="J98" s="367" t="s">
        <v>896</v>
      </c>
      <c r="K98" s="482" t="s">
        <v>897</v>
      </c>
      <c r="L98" s="470"/>
      <c r="M98" s="470"/>
      <c r="N98" s="369" t="s">
        <v>655</v>
      </c>
      <c r="O98" s="369" t="s">
        <v>655</v>
      </c>
      <c r="P98" s="369" t="s">
        <v>655</v>
      </c>
      <c r="Q98" s="369" t="s">
        <v>655</v>
      </c>
      <c r="R98" s="367" t="s">
        <v>898</v>
      </c>
      <c r="S98" s="367">
        <v>3243203</v>
      </c>
      <c r="T98" s="483">
        <v>586.79999999999995</v>
      </c>
      <c r="U98" s="470"/>
      <c r="V98" s="483">
        <v>675.91</v>
      </c>
      <c r="W98" s="470"/>
      <c r="X98" s="470"/>
      <c r="Y98" s="370">
        <f t="shared" si="2"/>
        <v>675.91</v>
      </c>
      <c r="Z98" s="371">
        <v>1</v>
      </c>
    </row>
    <row r="99" spans="1:26" x14ac:dyDescent="0.25">
      <c r="A99" s="481">
        <v>42182</v>
      </c>
      <c r="B99" s="470"/>
      <c r="C99" s="368">
        <v>42182</v>
      </c>
      <c r="F99" s="482" t="s">
        <v>899</v>
      </c>
      <c r="G99" s="470"/>
      <c r="H99" s="369" t="s">
        <v>659</v>
      </c>
      <c r="I99" s="369" t="s">
        <v>900</v>
      </c>
      <c r="J99" s="367" t="s">
        <v>901</v>
      </c>
      <c r="K99" s="482" t="s">
        <v>902</v>
      </c>
      <c r="L99" s="470"/>
      <c r="M99" s="470"/>
      <c r="N99" s="369" t="s">
        <v>655</v>
      </c>
      <c r="O99" s="369" t="s">
        <v>753</v>
      </c>
      <c r="P99" s="369" t="s">
        <v>655</v>
      </c>
      <c r="Q99" s="369" t="s">
        <v>753</v>
      </c>
      <c r="R99" s="367" t="s">
        <v>903</v>
      </c>
      <c r="S99" s="367">
        <v>3243312</v>
      </c>
      <c r="T99" s="483">
        <v>586.79999999999995</v>
      </c>
      <c r="U99" s="470"/>
      <c r="V99" s="483">
        <v>0</v>
      </c>
      <c r="W99" s="470"/>
      <c r="X99" s="470"/>
      <c r="Y99" s="370">
        <f t="shared" si="2"/>
        <v>0</v>
      </c>
      <c r="Z99" s="371"/>
    </row>
    <row r="100" spans="1:26" x14ac:dyDescent="0.25">
      <c r="A100" s="481">
        <v>42182</v>
      </c>
      <c r="B100" s="470"/>
      <c r="C100" s="368">
        <v>42182</v>
      </c>
      <c r="F100" s="482" t="s">
        <v>697</v>
      </c>
      <c r="G100" s="470"/>
      <c r="H100" s="369" t="s">
        <v>659</v>
      </c>
      <c r="I100" s="369" t="s">
        <v>904</v>
      </c>
      <c r="J100" s="367" t="s">
        <v>905</v>
      </c>
      <c r="K100" s="482" t="s">
        <v>906</v>
      </c>
      <c r="L100" s="470"/>
      <c r="M100" s="470"/>
      <c r="N100" s="369" t="s">
        <v>655</v>
      </c>
      <c r="O100" s="369" t="s">
        <v>753</v>
      </c>
      <c r="P100" s="369" t="s">
        <v>655</v>
      </c>
      <c r="Q100" s="369" t="s">
        <v>753</v>
      </c>
      <c r="R100" s="367" t="s">
        <v>907</v>
      </c>
      <c r="S100" s="367">
        <v>3243255</v>
      </c>
      <c r="T100" s="483">
        <v>586.79999999999995</v>
      </c>
      <c r="U100" s="470"/>
      <c r="V100" s="483">
        <v>0</v>
      </c>
      <c r="W100" s="470"/>
      <c r="X100" s="470"/>
      <c r="Y100" s="370">
        <f t="shared" si="2"/>
        <v>0</v>
      </c>
      <c r="Z100" s="371"/>
    </row>
    <row r="101" spans="1:26" x14ac:dyDescent="0.25">
      <c r="A101" s="481">
        <v>42183</v>
      </c>
      <c r="B101" s="470"/>
      <c r="C101" s="368">
        <v>42183</v>
      </c>
      <c r="F101" s="482" t="s">
        <v>673</v>
      </c>
      <c r="G101" s="470"/>
      <c r="H101" s="369" t="s">
        <v>659</v>
      </c>
      <c r="I101" s="369" t="s">
        <v>908</v>
      </c>
      <c r="J101" s="367" t="s">
        <v>909</v>
      </c>
      <c r="K101" s="482" t="s">
        <v>910</v>
      </c>
      <c r="L101" s="470"/>
      <c r="M101" s="470"/>
      <c r="N101" s="369" t="s">
        <v>655</v>
      </c>
      <c r="O101" s="369" t="s">
        <v>655</v>
      </c>
      <c r="P101" s="369" t="s">
        <v>655</v>
      </c>
      <c r="Q101" s="369" t="s">
        <v>655</v>
      </c>
      <c r="R101" s="367" t="s">
        <v>911</v>
      </c>
      <c r="S101" s="367">
        <v>3241629</v>
      </c>
      <c r="T101" s="483">
        <v>586.79999999999995</v>
      </c>
      <c r="U101" s="470"/>
      <c r="V101" s="483">
        <v>161.19</v>
      </c>
      <c r="W101" s="470"/>
      <c r="X101" s="470"/>
      <c r="Y101" s="370">
        <f t="shared" si="2"/>
        <v>161.19</v>
      </c>
      <c r="Z101" s="371"/>
    </row>
    <row r="102" spans="1:26" x14ac:dyDescent="0.25">
      <c r="A102" s="481">
        <v>42183</v>
      </c>
      <c r="B102" s="470"/>
      <c r="C102" s="368">
        <v>42183</v>
      </c>
      <c r="F102" s="482" t="s">
        <v>740</v>
      </c>
      <c r="G102" s="470"/>
      <c r="H102" s="369" t="s">
        <v>659</v>
      </c>
      <c r="I102" s="369" t="s">
        <v>912</v>
      </c>
      <c r="J102" s="367" t="s">
        <v>913</v>
      </c>
      <c r="K102" s="482" t="s">
        <v>738</v>
      </c>
      <c r="L102" s="470"/>
      <c r="M102" s="470"/>
      <c r="N102" s="369" t="s">
        <v>655</v>
      </c>
      <c r="O102" s="369" t="s">
        <v>753</v>
      </c>
      <c r="P102" s="369" t="s">
        <v>655</v>
      </c>
      <c r="Q102" s="369" t="s">
        <v>753</v>
      </c>
      <c r="R102" s="367" t="s">
        <v>914</v>
      </c>
      <c r="S102" s="367">
        <v>3239323</v>
      </c>
      <c r="T102" s="483">
        <v>586.79999999999995</v>
      </c>
      <c r="U102" s="470"/>
      <c r="V102" s="483">
        <v>0</v>
      </c>
      <c r="W102" s="470"/>
      <c r="X102" s="470"/>
      <c r="Y102" s="370">
        <f t="shared" si="2"/>
        <v>0</v>
      </c>
      <c r="Z102" s="371">
        <v>8</v>
      </c>
    </row>
    <row r="103" spans="1:26" x14ac:dyDescent="0.25">
      <c r="A103" s="481">
        <v>42184</v>
      </c>
      <c r="B103" s="470"/>
      <c r="C103" s="368">
        <v>42184</v>
      </c>
      <c r="F103" s="482" t="s">
        <v>915</v>
      </c>
      <c r="G103" s="470"/>
      <c r="H103" s="369" t="s">
        <v>659</v>
      </c>
      <c r="I103" s="369" t="s">
        <v>916</v>
      </c>
      <c r="J103" s="367" t="s">
        <v>917</v>
      </c>
      <c r="K103" s="482" t="s">
        <v>918</v>
      </c>
      <c r="L103" s="470"/>
      <c r="M103" s="470"/>
      <c r="N103" s="369" t="s">
        <v>655</v>
      </c>
      <c r="O103" s="369" t="s">
        <v>753</v>
      </c>
      <c r="P103" s="369" t="s">
        <v>655</v>
      </c>
      <c r="Q103" s="369" t="s">
        <v>753</v>
      </c>
      <c r="R103" s="367" t="s">
        <v>919</v>
      </c>
      <c r="S103" s="367">
        <v>3249383</v>
      </c>
      <c r="T103" s="483">
        <v>586.79999999999995</v>
      </c>
      <c r="U103" s="470"/>
      <c r="V103" s="483">
        <v>0</v>
      </c>
      <c r="W103" s="470"/>
      <c r="X103" s="470"/>
      <c r="Y103" s="370">
        <f t="shared" si="2"/>
        <v>0</v>
      </c>
      <c r="Z103" s="371"/>
    </row>
    <row r="104" spans="1:26" x14ac:dyDescent="0.25">
      <c r="A104" s="481">
        <v>42184</v>
      </c>
      <c r="B104" s="470"/>
      <c r="C104" s="368">
        <v>42184</v>
      </c>
      <c r="F104" s="482" t="s">
        <v>673</v>
      </c>
      <c r="G104" s="470"/>
      <c r="H104" s="369" t="s">
        <v>659</v>
      </c>
      <c r="I104" s="369" t="s">
        <v>920</v>
      </c>
      <c r="J104" s="367" t="s">
        <v>921</v>
      </c>
      <c r="K104" s="482" t="s">
        <v>922</v>
      </c>
      <c r="L104" s="470"/>
      <c r="M104" s="470"/>
      <c r="N104" s="369" t="s">
        <v>655</v>
      </c>
      <c r="O104" s="369" t="s">
        <v>655</v>
      </c>
      <c r="P104" s="369" t="s">
        <v>655</v>
      </c>
      <c r="Q104" s="369" t="s">
        <v>655</v>
      </c>
      <c r="R104" s="367" t="s">
        <v>923</v>
      </c>
      <c r="S104" s="367">
        <v>3249578</v>
      </c>
      <c r="T104" s="483">
        <v>586.79999999999995</v>
      </c>
      <c r="U104" s="470"/>
      <c r="V104" s="483">
        <v>373.51</v>
      </c>
      <c r="W104" s="470"/>
      <c r="X104" s="470"/>
      <c r="Y104" s="370">
        <f t="shared" si="2"/>
        <v>373.51</v>
      </c>
      <c r="Z104" s="371"/>
    </row>
    <row r="105" spans="1:26" x14ac:dyDescent="0.25">
      <c r="A105" s="481">
        <v>42184</v>
      </c>
      <c r="B105" s="470"/>
      <c r="C105" s="368">
        <v>42192</v>
      </c>
      <c r="F105" s="482" t="s">
        <v>673</v>
      </c>
      <c r="G105" s="470"/>
      <c r="H105" s="369" t="s">
        <v>659</v>
      </c>
      <c r="I105" s="369" t="s">
        <v>674</v>
      </c>
      <c r="J105" s="367" t="s">
        <v>675</v>
      </c>
      <c r="K105" s="482" t="s">
        <v>676</v>
      </c>
      <c r="L105" s="470"/>
      <c r="M105" s="470"/>
      <c r="N105" s="369" t="s">
        <v>655</v>
      </c>
      <c r="O105" s="369" t="s">
        <v>655</v>
      </c>
      <c r="P105" s="369" t="s">
        <v>655</v>
      </c>
      <c r="Q105" s="369" t="s">
        <v>655</v>
      </c>
      <c r="R105" s="367" t="s">
        <v>683</v>
      </c>
      <c r="S105" s="367">
        <v>3249478</v>
      </c>
      <c r="T105" s="483">
        <v>586.79999999999995</v>
      </c>
      <c r="U105" s="470"/>
      <c r="V105" s="483">
        <v>0</v>
      </c>
      <c r="W105" s="470"/>
      <c r="X105" s="470"/>
      <c r="Y105" s="370">
        <f t="shared" si="2"/>
        <v>0</v>
      </c>
      <c r="Z105" s="371"/>
    </row>
    <row r="106" spans="1:26" x14ac:dyDescent="0.25">
      <c r="A106" s="481">
        <v>42184</v>
      </c>
      <c r="B106" s="470"/>
      <c r="C106" s="368">
        <v>42184</v>
      </c>
      <c r="F106" s="482" t="s">
        <v>924</v>
      </c>
      <c r="G106" s="470"/>
      <c r="H106" s="369" t="s">
        <v>659</v>
      </c>
      <c r="I106" s="369" t="s">
        <v>925</v>
      </c>
      <c r="J106" s="367" t="s">
        <v>926</v>
      </c>
      <c r="K106" s="482" t="s">
        <v>927</v>
      </c>
      <c r="L106" s="470"/>
      <c r="M106" s="470"/>
      <c r="N106" s="369" t="s">
        <v>655</v>
      </c>
      <c r="O106" s="369" t="s">
        <v>753</v>
      </c>
      <c r="P106" s="369" t="s">
        <v>655</v>
      </c>
      <c r="Q106" s="369" t="s">
        <v>753</v>
      </c>
      <c r="R106" s="367" t="s">
        <v>928</v>
      </c>
      <c r="S106" s="367">
        <v>3249360</v>
      </c>
      <c r="T106" s="483">
        <v>586.79999999999995</v>
      </c>
      <c r="U106" s="470"/>
      <c r="V106" s="483">
        <v>0</v>
      </c>
      <c r="W106" s="470"/>
      <c r="X106" s="470"/>
      <c r="Y106" s="370">
        <f t="shared" si="2"/>
        <v>0</v>
      </c>
      <c r="Z106" s="371"/>
    </row>
    <row r="107" spans="1:26" x14ac:dyDescent="0.25">
      <c r="A107" s="481">
        <v>42185</v>
      </c>
      <c r="B107" s="470"/>
      <c r="C107" s="368">
        <v>42186</v>
      </c>
      <c r="F107" s="482" t="s">
        <v>678</v>
      </c>
      <c r="G107" s="470"/>
      <c r="H107" s="369" t="s">
        <v>659</v>
      </c>
      <c r="I107" s="369" t="s">
        <v>929</v>
      </c>
      <c r="J107" s="367" t="s">
        <v>930</v>
      </c>
      <c r="K107" s="482" t="s">
        <v>931</v>
      </c>
      <c r="L107" s="470"/>
      <c r="M107" s="470"/>
      <c r="N107" s="369" t="s">
        <v>655</v>
      </c>
      <c r="O107" s="369" t="s">
        <v>655</v>
      </c>
      <c r="P107" s="369" t="s">
        <v>655</v>
      </c>
      <c r="Q107" s="369" t="s">
        <v>655</v>
      </c>
      <c r="R107" s="367" t="s">
        <v>932</v>
      </c>
      <c r="S107" s="367">
        <v>3251716</v>
      </c>
      <c r="T107" s="483">
        <v>586.79999999999995</v>
      </c>
      <c r="U107" s="470"/>
      <c r="V107" s="483">
        <v>1463.5</v>
      </c>
      <c r="W107" s="470"/>
      <c r="X107" s="470"/>
      <c r="Y107" s="370">
        <f t="shared" si="2"/>
        <v>1463.5</v>
      </c>
      <c r="Z107" s="371">
        <v>1</v>
      </c>
    </row>
    <row r="108" spans="1:26" x14ac:dyDescent="0.25">
      <c r="A108" s="481">
        <v>42186</v>
      </c>
      <c r="B108" s="470"/>
      <c r="C108" s="368">
        <v>42186</v>
      </c>
      <c r="F108" s="482" t="s">
        <v>673</v>
      </c>
      <c r="G108" s="470"/>
      <c r="H108" s="369" t="s">
        <v>659</v>
      </c>
      <c r="I108" s="369" t="s">
        <v>933</v>
      </c>
      <c r="J108" s="367" t="s">
        <v>934</v>
      </c>
      <c r="K108" s="482" t="s">
        <v>935</v>
      </c>
      <c r="L108" s="470"/>
      <c r="M108" s="470"/>
      <c r="N108" s="369" t="s">
        <v>655</v>
      </c>
      <c r="O108" s="369" t="s">
        <v>655</v>
      </c>
      <c r="P108" s="369" t="s">
        <v>655</v>
      </c>
      <c r="Q108" s="369" t="s">
        <v>655</v>
      </c>
      <c r="R108" s="367" t="s">
        <v>936</v>
      </c>
      <c r="S108" s="367">
        <v>3259650</v>
      </c>
      <c r="T108" s="483">
        <v>586.79999999999995</v>
      </c>
      <c r="U108" s="470"/>
      <c r="V108" s="483">
        <v>446.41</v>
      </c>
      <c r="W108" s="470"/>
      <c r="X108" s="470"/>
      <c r="Y108" s="370">
        <f t="shared" si="2"/>
        <v>446.41</v>
      </c>
      <c r="Z108" s="371">
        <v>2</v>
      </c>
    </row>
    <row r="109" spans="1:26" x14ac:dyDescent="0.25">
      <c r="A109" s="481">
        <v>42186</v>
      </c>
      <c r="B109" s="470"/>
      <c r="C109" s="368">
        <v>42186</v>
      </c>
      <c r="F109" s="482" t="s">
        <v>899</v>
      </c>
      <c r="G109" s="470"/>
      <c r="H109" s="369" t="s">
        <v>659</v>
      </c>
      <c r="I109" s="369" t="s">
        <v>937</v>
      </c>
      <c r="J109" s="367" t="s">
        <v>938</v>
      </c>
      <c r="K109" s="482" t="s">
        <v>939</v>
      </c>
      <c r="L109" s="470"/>
      <c r="M109" s="470"/>
      <c r="N109" s="369" t="s">
        <v>655</v>
      </c>
      <c r="O109" s="369" t="s">
        <v>753</v>
      </c>
      <c r="P109" s="369" t="s">
        <v>655</v>
      </c>
      <c r="Q109" s="369" t="s">
        <v>753</v>
      </c>
      <c r="R109" s="367" t="s">
        <v>940</v>
      </c>
      <c r="S109" s="367">
        <v>3259555</v>
      </c>
      <c r="T109" s="483">
        <v>586.79999999999995</v>
      </c>
      <c r="U109" s="470"/>
      <c r="V109" s="483">
        <v>0</v>
      </c>
      <c r="W109" s="470"/>
      <c r="X109" s="470"/>
      <c r="Y109" s="370">
        <f t="shared" si="2"/>
        <v>0</v>
      </c>
      <c r="Z109" s="371"/>
    </row>
    <row r="110" spans="1:26" x14ac:dyDescent="0.25">
      <c r="A110" s="481">
        <v>42188</v>
      </c>
      <c r="B110" s="470"/>
      <c r="C110" s="368">
        <v>42188</v>
      </c>
      <c r="F110" s="482" t="s">
        <v>678</v>
      </c>
      <c r="G110" s="470"/>
      <c r="H110" s="369" t="s">
        <v>659</v>
      </c>
      <c r="I110" s="369" t="s">
        <v>846</v>
      </c>
      <c r="J110" s="367" t="s">
        <v>847</v>
      </c>
      <c r="K110" s="482" t="s">
        <v>848</v>
      </c>
      <c r="L110" s="470"/>
      <c r="M110" s="470"/>
      <c r="N110" s="369" t="s">
        <v>655</v>
      </c>
      <c r="O110" s="369" t="s">
        <v>655</v>
      </c>
      <c r="P110" s="369" t="s">
        <v>655</v>
      </c>
      <c r="Q110" s="369" t="s">
        <v>655</v>
      </c>
      <c r="R110" s="367" t="s">
        <v>941</v>
      </c>
      <c r="S110" s="367">
        <v>3265606</v>
      </c>
      <c r="T110" s="483">
        <v>586.79999999999995</v>
      </c>
      <c r="U110" s="470"/>
      <c r="V110" s="483">
        <v>1160.9100000000001</v>
      </c>
      <c r="W110" s="470"/>
      <c r="X110" s="470"/>
      <c r="Y110" s="370">
        <f t="shared" si="2"/>
        <v>1160.9100000000001</v>
      </c>
      <c r="Z110" s="371"/>
    </row>
    <row r="111" spans="1:26" x14ac:dyDescent="0.25">
      <c r="A111" s="481">
        <v>42188</v>
      </c>
      <c r="B111" s="470"/>
      <c r="C111" s="368">
        <v>42188</v>
      </c>
      <c r="F111" s="482" t="s">
        <v>777</v>
      </c>
      <c r="G111" s="470"/>
      <c r="H111" s="369" t="s">
        <v>659</v>
      </c>
      <c r="I111" s="369" t="s">
        <v>942</v>
      </c>
      <c r="J111" s="367" t="s">
        <v>943</v>
      </c>
      <c r="K111" s="482" t="s">
        <v>944</v>
      </c>
      <c r="L111" s="470"/>
      <c r="M111" s="470"/>
      <c r="N111" s="369" t="s">
        <v>655</v>
      </c>
      <c r="O111" s="369" t="s">
        <v>753</v>
      </c>
      <c r="P111" s="369" t="s">
        <v>655</v>
      </c>
      <c r="Q111" s="369" t="s">
        <v>753</v>
      </c>
      <c r="R111" s="367" t="s">
        <v>945</v>
      </c>
      <c r="S111" s="367">
        <v>3280877</v>
      </c>
      <c r="T111" s="483">
        <v>586.79999999999995</v>
      </c>
      <c r="U111" s="470"/>
      <c r="V111" s="483">
        <v>0</v>
      </c>
      <c r="W111" s="470"/>
      <c r="X111" s="470"/>
      <c r="Y111" s="370">
        <f t="shared" si="2"/>
        <v>0</v>
      </c>
      <c r="Z111" s="371"/>
    </row>
    <row r="112" spans="1:26" x14ac:dyDescent="0.25">
      <c r="A112" s="481">
        <v>42188</v>
      </c>
      <c r="B112" s="470"/>
      <c r="C112" s="368">
        <v>42188</v>
      </c>
      <c r="F112" s="482" t="s">
        <v>684</v>
      </c>
      <c r="G112" s="470"/>
      <c r="H112" s="369" t="s">
        <v>659</v>
      </c>
      <c r="I112" s="369" t="s">
        <v>946</v>
      </c>
      <c r="J112" s="367" t="s">
        <v>947</v>
      </c>
      <c r="K112" s="482" t="s">
        <v>948</v>
      </c>
      <c r="L112" s="470"/>
      <c r="M112" s="470"/>
      <c r="N112" s="369" t="s">
        <v>655</v>
      </c>
      <c r="O112" s="369" t="s">
        <v>753</v>
      </c>
      <c r="P112" s="369" t="s">
        <v>655</v>
      </c>
      <c r="Q112" s="369" t="s">
        <v>753</v>
      </c>
      <c r="R112" s="367" t="s">
        <v>949</v>
      </c>
      <c r="S112" s="367">
        <v>3280800</v>
      </c>
      <c r="T112" s="483">
        <v>586.79999999999995</v>
      </c>
      <c r="U112" s="470"/>
      <c r="V112" s="483">
        <v>0</v>
      </c>
      <c r="W112" s="470"/>
      <c r="X112" s="470"/>
      <c r="Y112" s="370">
        <f t="shared" si="2"/>
        <v>0</v>
      </c>
      <c r="Z112" s="371">
        <v>2</v>
      </c>
    </row>
    <row r="113" spans="1:26" x14ac:dyDescent="0.25">
      <c r="A113" s="481">
        <v>42190</v>
      </c>
      <c r="B113" s="470"/>
      <c r="C113" s="368">
        <v>42190</v>
      </c>
      <c r="F113" s="482" t="s">
        <v>684</v>
      </c>
      <c r="G113" s="470"/>
      <c r="H113" s="369" t="s">
        <v>659</v>
      </c>
      <c r="I113" s="369" t="s">
        <v>950</v>
      </c>
      <c r="J113" s="367" t="s">
        <v>951</v>
      </c>
      <c r="K113" s="482" t="s">
        <v>952</v>
      </c>
      <c r="L113" s="470"/>
      <c r="M113" s="470"/>
      <c r="N113" s="369" t="s">
        <v>655</v>
      </c>
      <c r="O113" s="369" t="s">
        <v>655</v>
      </c>
      <c r="P113" s="369" t="s">
        <v>655</v>
      </c>
      <c r="Q113" s="369" t="s">
        <v>655</v>
      </c>
      <c r="R113" s="367" t="s">
        <v>953</v>
      </c>
      <c r="S113" s="367">
        <v>3280838</v>
      </c>
      <c r="T113" s="483">
        <v>586.79999999999995</v>
      </c>
      <c r="U113" s="470"/>
      <c r="V113" s="483">
        <v>1751.53</v>
      </c>
      <c r="W113" s="470"/>
      <c r="X113" s="470"/>
      <c r="Y113" s="370">
        <f t="shared" si="2"/>
        <v>1751.53</v>
      </c>
      <c r="Z113" s="371"/>
    </row>
    <row r="114" spans="1:26" x14ac:dyDescent="0.25">
      <c r="A114" s="481">
        <v>42191</v>
      </c>
      <c r="B114" s="470"/>
      <c r="C114" s="368">
        <v>42192</v>
      </c>
      <c r="F114" s="482" t="s">
        <v>673</v>
      </c>
      <c r="G114" s="470"/>
      <c r="H114" s="369" t="s">
        <v>659</v>
      </c>
      <c r="I114" s="369" t="s">
        <v>954</v>
      </c>
      <c r="J114" s="367" t="s">
        <v>955</v>
      </c>
      <c r="K114" s="482" t="s">
        <v>956</v>
      </c>
      <c r="L114" s="470"/>
      <c r="M114" s="470"/>
      <c r="N114" s="369" t="s">
        <v>655</v>
      </c>
      <c r="O114" s="369" t="s">
        <v>655</v>
      </c>
      <c r="P114" s="369" t="s">
        <v>655</v>
      </c>
      <c r="Q114" s="369" t="s">
        <v>655</v>
      </c>
      <c r="R114" s="367" t="s">
        <v>957</v>
      </c>
      <c r="S114" s="367">
        <v>3281365</v>
      </c>
      <c r="T114" s="483">
        <v>586.79999999999995</v>
      </c>
      <c r="U114" s="470"/>
      <c r="V114" s="483">
        <v>0</v>
      </c>
      <c r="W114" s="470"/>
      <c r="X114" s="470"/>
      <c r="Y114" s="370">
        <f t="shared" si="2"/>
        <v>0</v>
      </c>
      <c r="Z114" s="371">
        <v>7</v>
      </c>
    </row>
    <row r="115" spans="1:26" x14ac:dyDescent="0.25">
      <c r="A115" s="481">
        <v>42191</v>
      </c>
      <c r="B115" s="470"/>
      <c r="C115" s="368">
        <v>42192</v>
      </c>
      <c r="F115" s="482" t="s">
        <v>678</v>
      </c>
      <c r="G115" s="470"/>
      <c r="H115" s="369" t="s">
        <v>659</v>
      </c>
      <c r="I115" s="369" t="s">
        <v>958</v>
      </c>
      <c r="J115" s="367" t="s">
        <v>959</v>
      </c>
      <c r="K115" s="482" t="s">
        <v>960</v>
      </c>
      <c r="L115" s="470"/>
      <c r="M115" s="470"/>
      <c r="N115" s="369" t="s">
        <v>655</v>
      </c>
      <c r="O115" s="369" t="s">
        <v>655</v>
      </c>
      <c r="P115" s="369" t="s">
        <v>655</v>
      </c>
      <c r="Q115" s="369" t="s">
        <v>655</v>
      </c>
      <c r="R115" s="367" t="s">
        <v>961</v>
      </c>
      <c r="S115" s="367">
        <v>3278802</v>
      </c>
      <c r="T115" s="483">
        <v>586.79999999999995</v>
      </c>
      <c r="U115" s="470"/>
      <c r="V115" s="483">
        <v>748.93</v>
      </c>
      <c r="W115" s="470"/>
      <c r="X115" s="470"/>
      <c r="Y115" s="370">
        <f t="shared" si="2"/>
        <v>748.93</v>
      </c>
      <c r="Z115" s="371"/>
    </row>
    <row r="116" spans="1:26" x14ac:dyDescent="0.25">
      <c r="A116" s="481">
        <v>42193</v>
      </c>
      <c r="B116" s="470"/>
      <c r="C116" s="368">
        <v>42202</v>
      </c>
      <c r="F116" s="482" t="s">
        <v>684</v>
      </c>
      <c r="G116" s="470"/>
      <c r="H116" s="369" t="s">
        <v>659</v>
      </c>
      <c r="I116" s="369" t="s">
        <v>674</v>
      </c>
      <c r="J116" s="367" t="s">
        <v>675</v>
      </c>
      <c r="K116" s="482" t="s">
        <v>676</v>
      </c>
      <c r="L116" s="470"/>
      <c r="M116" s="470"/>
      <c r="N116" s="369" t="s">
        <v>655</v>
      </c>
      <c r="O116" s="369" t="s">
        <v>655</v>
      </c>
      <c r="P116" s="369" t="s">
        <v>655</v>
      </c>
      <c r="Q116" s="369" t="s">
        <v>655</v>
      </c>
      <c r="R116" s="367" t="s">
        <v>685</v>
      </c>
      <c r="S116" s="367">
        <v>3292306</v>
      </c>
      <c r="T116" s="483">
        <v>586.79999999999995</v>
      </c>
      <c r="U116" s="470"/>
      <c r="V116" s="483">
        <v>0</v>
      </c>
      <c r="W116" s="470"/>
      <c r="X116" s="470"/>
      <c r="Y116" s="370">
        <f t="shared" si="2"/>
        <v>0</v>
      </c>
      <c r="Z116" s="371"/>
    </row>
    <row r="117" spans="1:26" x14ac:dyDescent="0.25">
      <c r="A117" s="481">
        <v>42193</v>
      </c>
      <c r="B117" s="470"/>
      <c r="C117" s="368">
        <v>42193</v>
      </c>
      <c r="F117" s="482" t="s">
        <v>673</v>
      </c>
      <c r="G117" s="470"/>
      <c r="H117" s="369" t="s">
        <v>659</v>
      </c>
      <c r="I117" s="369" t="s">
        <v>962</v>
      </c>
      <c r="J117" s="367" t="s">
        <v>963</v>
      </c>
      <c r="K117" s="482" t="s">
        <v>964</v>
      </c>
      <c r="L117" s="470"/>
      <c r="M117" s="470"/>
      <c r="N117" s="369" t="s">
        <v>655</v>
      </c>
      <c r="O117" s="369" t="s">
        <v>655</v>
      </c>
      <c r="P117" s="369" t="s">
        <v>655</v>
      </c>
      <c r="Q117" s="369" t="s">
        <v>655</v>
      </c>
      <c r="R117" s="367" t="s">
        <v>965</v>
      </c>
      <c r="S117" s="367">
        <v>3286150</v>
      </c>
      <c r="T117" s="483">
        <v>586.79999999999995</v>
      </c>
      <c r="U117" s="470"/>
      <c r="V117" s="483">
        <v>210.1</v>
      </c>
      <c r="W117" s="470"/>
      <c r="X117" s="470"/>
      <c r="Y117" s="370">
        <f t="shared" si="2"/>
        <v>210.1</v>
      </c>
      <c r="Z117" s="371">
        <v>2</v>
      </c>
    </row>
    <row r="118" spans="1:26" x14ac:dyDescent="0.25">
      <c r="A118" s="481">
        <v>42194</v>
      </c>
      <c r="B118" s="470"/>
      <c r="C118" s="368">
        <v>42194</v>
      </c>
      <c r="F118" s="482" t="s">
        <v>684</v>
      </c>
      <c r="G118" s="470"/>
      <c r="H118" s="369" t="s">
        <v>659</v>
      </c>
      <c r="I118" s="369" t="s">
        <v>966</v>
      </c>
      <c r="J118" s="367" t="s">
        <v>967</v>
      </c>
      <c r="K118" s="482" t="s">
        <v>968</v>
      </c>
      <c r="L118" s="470"/>
      <c r="M118" s="470"/>
      <c r="N118" s="369" t="s">
        <v>655</v>
      </c>
      <c r="O118" s="369" t="s">
        <v>655</v>
      </c>
      <c r="P118" s="369" t="s">
        <v>655</v>
      </c>
      <c r="Q118" s="369" t="s">
        <v>655</v>
      </c>
      <c r="R118" s="367" t="s">
        <v>969</v>
      </c>
      <c r="S118" s="367">
        <v>3309992</v>
      </c>
      <c r="T118" s="483">
        <v>586.79999999999995</v>
      </c>
      <c r="U118" s="470"/>
      <c r="V118" s="483">
        <v>166.12</v>
      </c>
      <c r="W118" s="470"/>
      <c r="X118" s="470"/>
      <c r="Y118" s="370">
        <f t="shared" si="2"/>
        <v>166.12</v>
      </c>
      <c r="Z118" s="371"/>
    </row>
    <row r="119" spans="1:26" x14ac:dyDescent="0.25">
      <c r="A119" s="481">
        <v>42194</v>
      </c>
      <c r="B119" s="470"/>
      <c r="C119" s="368">
        <v>42194</v>
      </c>
      <c r="F119" s="482" t="s">
        <v>777</v>
      </c>
      <c r="G119" s="470"/>
      <c r="H119" s="369" t="s">
        <v>659</v>
      </c>
      <c r="I119" s="369" t="s">
        <v>970</v>
      </c>
      <c r="J119" s="367" t="s">
        <v>971</v>
      </c>
      <c r="K119" s="482" t="s">
        <v>972</v>
      </c>
      <c r="L119" s="470"/>
      <c r="M119" s="470"/>
      <c r="N119" s="369" t="s">
        <v>655</v>
      </c>
      <c r="O119" s="369" t="s">
        <v>753</v>
      </c>
      <c r="P119" s="369" t="s">
        <v>655</v>
      </c>
      <c r="Q119" s="369" t="s">
        <v>753</v>
      </c>
      <c r="R119" s="367" t="s">
        <v>973</v>
      </c>
      <c r="S119" s="367">
        <v>3292601</v>
      </c>
      <c r="T119" s="483">
        <v>586.79999999999995</v>
      </c>
      <c r="U119" s="470"/>
      <c r="V119" s="483">
        <v>0</v>
      </c>
      <c r="W119" s="470"/>
      <c r="X119" s="470"/>
      <c r="Y119" s="370">
        <f t="shared" si="2"/>
        <v>0</v>
      </c>
      <c r="Z119" s="371"/>
    </row>
    <row r="120" spans="1:26" x14ac:dyDescent="0.25">
      <c r="A120" s="481">
        <v>42194</v>
      </c>
      <c r="B120" s="470"/>
      <c r="C120" s="368">
        <v>42196</v>
      </c>
      <c r="F120" s="482" t="s">
        <v>673</v>
      </c>
      <c r="G120" s="470"/>
      <c r="H120" s="369" t="s">
        <v>659</v>
      </c>
      <c r="I120" s="369" t="s">
        <v>974</v>
      </c>
      <c r="J120" s="367" t="s">
        <v>930</v>
      </c>
      <c r="K120" s="482" t="s">
        <v>975</v>
      </c>
      <c r="L120" s="470"/>
      <c r="M120" s="470"/>
      <c r="N120" s="369" t="s">
        <v>655</v>
      </c>
      <c r="O120" s="369" t="s">
        <v>655</v>
      </c>
      <c r="P120" s="369" t="s">
        <v>655</v>
      </c>
      <c r="Q120" s="369" t="s">
        <v>655</v>
      </c>
      <c r="R120" s="367" t="s">
        <v>976</v>
      </c>
      <c r="S120" s="367">
        <v>3294280</v>
      </c>
      <c r="T120" s="483">
        <v>586.79999999999995</v>
      </c>
      <c r="U120" s="470"/>
      <c r="V120" s="483">
        <v>0</v>
      </c>
      <c r="W120" s="470"/>
      <c r="X120" s="470"/>
      <c r="Y120" s="370">
        <f t="shared" si="2"/>
        <v>0</v>
      </c>
      <c r="Z120" s="371">
        <v>1</v>
      </c>
    </row>
    <row r="121" spans="1:26" x14ac:dyDescent="0.25">
      <c r="A121" s="481">
        <v>42194</v>
      </c>
      <c r="B121" s="470"/>
      <c r="C121" s="368">
        <v>42194</v>
      </c>
      <c r="F121" s="482" t="s">
        <v>684</v>
      </c>
      <c r="G121" s="470"/>
      <c r="H121" s="369" t="s">
        <v>659</v>
      </c>
      <c r="I121" s="369" t="s">
        <v>977</v>
      </c>
      <c r="J121" s="367" t="s">
        <v>978</v>
      </c>
      <c r="K121" s="482" t="s">
        <v>979</v>
      </c>
      <c r="L121" s="470"/>
      <c r="M121" s="470"/>
      <c r="N121" s="369" t="s">
        <v>655</v>
      </c>
      <c r="O121" s="369" t="s">
        <v>655</v>
      </c>
      <c r="P121" s="369" t="s">
        <v>655</v>
      </c>
      <c r="Q121" s="369" t="s">
        <v>655</v>
      </c>
      <c r="R121" s="367" t="s">
        <v>980</v>
      </c>
      <c r="S121" s="367">
        <v>3310018</v>
      </c>
      <c r="T121" s="483">
        <v>586.79999999999995</v>
      </c>
      <c r="U121" s="470"/>
      <c r="V121" s="483">
        <v>306.06</v>
      </c>
      <c r="W121" s="470"/>
      <c r="X121" s="470"/>
      <c r="Y121" s="370">
        <f t="shared" si="2"/>
        <v>306.06</v>
      </c>
      <c r="Z121" s="371"/>
    </row>
    <row r="122" spans="1:26" x14ac:dyDescent="0.25">
      <c r="A122" s="481">
        <v>42195</v>
      </c>
      <c r="B122" s="470"/>
      <c r="C122" s="368">
        <v>42195</v>
      </c>
      <c r="F122" s="482" t="s">
        <v>697</v>
      </c>
      <c r="G122" s="470"/>
      <c r="H122" s="369" t="s">
        <v>659</v>
      </c>
      <c r="I122" s="369" t="s">
        <v>981</v>
      </c>
      <c r="J122" s="367" t="s">
        <v>982</v>
      </c>
      <c r="K122" s="482" t="s">
        <v>983</v>
      </c>
      <c r="L122" s="470"/>
      <c r="M122" s="470"/>
      <c r="N122" s="369" t="s">
        <v>655</v>
      </c>
      <c r="O122" s="369" t="s">
        <v>655</v>
      </c>
      <c r="P122" s="369" t="s">
        <v>655</v>
      </c>
      <c r="Q122" s="369" t="s">
        <v>655</v>
      </c>
      <c r="R122" s="367" t="s">
        <v>984</v>
      </c>
      <c r="S122" s="367">
        <v>3309519</v>
      </c>
      <c r="T122" s="483">
        <v>586.79999999999995</v>
      </c>
      <c r="U122" s="470"/>
      <c r="V122" s="483">
        <v>0</v>
      </c>
      <c r="W122" s="470"/>
      <c r="X122" s="470"/>
      <c r="Y122" s="370">
        <f t="shared" si="2"/>
        <v>0</v>
      </c>
      <c r="Z122" s="371"/>
    </row>
    <row r="123" spans="1:26" x14ac:dyDescent="0.25">
      <c r="A123" s="481">
        <v>42196</v>
      </c>
      <c r="B123" s="470"/>
      <c r="C123" s="368">
        <v>42196</v>
      </c>
      <c r="F123" s="482" t="s">
        <v>684</v>
      </c>
      <c r="G123" s="470"/>
      <c r="H123" s="369" t="s">
        <v>659</v>
      </c>
      <c r="I123" s="369" t="s">
        <v>985</v>
      </c>
      <c r="J123" s="367" t="s">
        <v>921</v>
      </c>
      <c r="K123" s="482" t="s">
        <v>975</v>
      </c>
      <c r="L123" s="470"/>
      <c r="M123" s="470"/>
      <c r="N123" s="369" t="s">
        <v>655</v>
      </c>
      <c r="O123" s="369" t="s">
        <v>655</v>
      </c>
      <c r="P123" s="369" t="s">
        <v>655</v>
      </c>
      <c r="Q123" s="369" t="s">
        <v>655</v>
      </c>
      <c r="R123" s="367" t="s">
        <v>986</v>
      </c>
      <c r="S123" s="367">
        <v>3309646</v>
      </c>
      <c r="T123" s="483">
        <v>586.79999999999995</v>
      </c>
      <c r="U123" s="470"/>
      <c r="V123" s="483">
        <v>220.53</v>
      </c>
      <c r="W123" s="470"/>
      <c r="X123" s="470"/>
      <c r="Y123" s="370">
        <f t="shared" si="2"/>
        <v>220.53</v>
      </c>
      <c r="Z123" s="371"/>
    </row>
    <row r="124" spans="1:26" x14ac:dyDescent="0.25">
      <c r="A124" s="481">
        <v>42196</v>
      </c>
      <c r="B124" s="470"/>
      <c r="C124" s="368">
        <v>42196</v>
      </c>
      <c r="F124" s="482" t="s">
        <v>673</v>
      </c>
      <c r="G124" s="470"/>
      <c r="H124" s="369" t="s">
        <v>659</v>
      </c>
      <c r="I124" s="369" t="s">
        <v>987</v>
      </c>
      <c r="J124" s="367" t="s">
        <v>988</v>
      </c>
      <c r="K124" s="482" t="s">
        <v>989</v>
      </c>
      <c r="L124" s="470"/>
      <c r="M124" s="470"/>
      <c r="N124" s="369" t="s">
        <v>655</v>
      </c>
      <c r="O124" s="369" t="s">
        <v>655</v>
      </c>
      <c r="P124" s="369" t="s">
        <v>655</v>
      </c>
      <c r="Q124" s="369" t="s">
        <v>655</v>
      </c>
      <c r="R124" s="367" t="s">
        <v>990</v>
      </c>
      <c r="S124" s="367">
        <v>3309445</v>
      </c>
      <c r="T124" s="483">
        <v>586.79999999999995</v>
      </c>
      <c r="U124" s="470"/>
      <c r="V124" s="483">
        <v>793.69</v>
      </c>
      <c r="W124" s="470"/>
      <c r="X124" s="470"/>
      <c r="Y124" s="370">
        <f t="shared" si="2"/>
        <v>793.69</v>
      </c>
      <c r="Z124" s="371"/>
    </row>
    <row r="125" spans="1:26" x14ac:dyDescent="0.25">
      <c r="A125" s="481">
        <v>42197</v>
      </c>
      <c r="B125" s="470"/>
      <c r="C125" s="368">
        <v>42202</v>
      </c>
      <c r="F125" s="482" t="s">
        <v>686</v>
      </c>
      <c r="G125" s="470"/>
      <c r="H125" s="369" t="s">
        <v>659</v>
      </c>
      <c r="I125" s="369" t="s">
        <v>687</v>
      </c>
      <c r="J125" s="367" t="s">
        <v>688</v>
      </c>
      <c r="K125" s="482" t="s">
        <v>689</v>
      </c>
      <c r="L125" s="470"/>
      <c r="M125" s="470"/>
      <c r="N125" s="369" t="s">
        <v>655</v>
      </c>
      <c r="O125" s="369" t="s">
        <v>655</v>
      </c>
      <c r="P125" s="369" t="s">
        <v>655</v>
      </c>
      <c r="Q125" s="369" t="s">
        <v>655</v>
      </c>
      <c r="R125" s="367" t="s">
        <v>690</v>
      </c>
      <c r="S125" s="367">
        <v>3305081</v>
      </c>
      <c r="T125" s="483">
        <v>586.79999999999995</v>
      </c>
      <c r="U125" s="470"/>
      <c r="V125" s="483">
        <v>0</v>
      </c>
      <c r="W125" s="470"/>
      <c r="X125" s="470"/>
      <c r="Y125" s="370">
        <f t="shared" si="2"/>
        <v>0</v>
      </c>
      <c r="Z125" s="371">
        <v>1</v>
      </c>
    </row>
    <row r="126" spans="1:26" x14ac:dyDescent="0.25">
      <c r="A126" s="481">
        <v>42198</v>
      </c>
      <c r="B126" s="470"/>
      <c r="C126" s="368">
        <v>42199</v>
      </c>
      <c r="F126" s="482" t="s">
        <v>678</v>
      </c>
      <c r="G126" s="470"/>
      <c r="H126" s="369" t="s">
        <v>659</v>
      </c>
      <c r="I126" s="369" t="s">
        <v>991</v>
      </c>
      <c r="J126" s="367" t="s">
        <v>992</v>
      </c>
      <c r="K126" s="482" t="s">
        <v>993</v>
      </c>
      <c r="L126" s="470"/>
      <c r="M126" s="470"/>
      <c r="N126" s="369" t="s">
        <v>655</v>
      </c>
      <c r="O126" s="369" t="s">
        <v>655</v>
      </c>
      <c r="P126" s="369" t="s">
        <v>655</v>
      </c>
      <c r="Q126" s="369" t="s">
        <v>655</v>
      </c>
      <c r="R126" s="367" t="s">
        <v>994</v>
      </c>
      <c r="S126" s="367">
        <v>3313440</v>
      </c>
      <c r="T126" s="483">
        <v>586.79999999999995</v>
      </c>
      <c r="U126" s="470"/>
      <c r="V126" s="483">
        <v>1539.67</v>
      </c>
      <c r="W126" s="470"/>
      <c r="X126" s="470"/>
      <c r="Y126" s="370">
        <f t="shared" si="2"/>
        <v>1539.67</v>
      </c>
      <c r="Z126" s="371"/>
    </row>
    <row r="127" spans="1:26" x14ac:dyDescent="0.25">
      <c r="A127" s="481">
        <v>42199</v>
      </c>
      <c r="B127" s="470"/>
      <c r="C127" s="368">
        <v>42199</v>
      </c>
      <c r="F127" s="482" t="s">
        <v>899</v>
      </c>
      <c r="G127" s="470"/>
      <c r="H127" s="369" t="s">
        <v>659</v>
      </c>
      <c r="I127" s="369" t="s">
        <v>995</v>
      </c>
      <c r="J127" s="367" t="s">
        <v>996</v>
      </c>
      <c r="K127" s="482" t="s">
        <v>997</v>
      </c>
      <c r="L127" s="470"/>
      <c r="M127" s="470"/>
      <c r="N127" s="369" t="s">
        <v>655</v>
      </c>
      <c r="O127" s="369" t="s">
        <v>753</v>
      </c>
      <c r="P127" s="369" t="s">
        <v>655</v>
      </c>
      <c r="Q127" s="369" t="s">
        <v>753</v>
      </c>
      <c r="R127" s="367" t="s">
        <v>998</v>
      </c>
      <c r="S127" s="367">
        <v>3321357</v>
      </c>
      <c r="T127" s="483">
        <v>586.79999999999995</v>
      </c>
      <c r="U127" s="470"/>
      <c r="V127" s="483">
        <v>0</v>
      </c>
      <c r="W127" s="470"/>
      <c r="X127" s="470"/>
      <c r="Y127" s="370">
        <f t="shared" si="2"/>
        <v>0</v>
      </c>
      <c r="Z127" s="371"/>
    </row>
    <row r="128" spans="1:26" x14ac:dyDescent="0.25">
      <c r="A128" s="481">
        <v>42201</v>
      </c>
      <c r="B128" s="470"/>
      <c r="C128" s="368">
        <v>42201</v>
      </c>
      <c r="F128" s="482" t="s">
        <v>673</v>
      </c>
      <c r="G128" s="470"/>
      <c r="H128" s="369" t="s">
        <v>659</v>
      </c>
      <c r="I128" s="369" t="s">
        <v>999</v>
      </c>
      <c r="J128" s="367" t="s">
        <v>1000</v>
      </c>
      <c r="K128" s="482" t="s">
        <v>1001</v>
      </c>
      <c r="L128" s="470"/>
      <c r="M128" s="470"/>
      <c r="N128" s="369" t="s">
        <v>655</v>
      </c>
      <c r="O128" s="369" t="s">
        <v>655</v>
      </c>
      <c r="P128" s="369" t="s">
        <v>655</v>
      </c>
      <c r="Q128" s="369" t="s">
        <v>655</v>
      </c>
      <c r="R128" s="367" t="s">
        <v>1002</v>
      </c>
      <c r="S128" s="367">
        <v>3331474</v>
      </c>
      <c r="T128" s="483">
        <v>586.79999999999995</v>
      </c>
      <c r="U128" s="470"/>
      <c r="V128" s="483">
        <v>0</v>
      </c>
      <c r="W128" s="470"/>
      <c r="X128" s="470"/>
      <c r="Y128" s="370">
        <f t="shared" si="2"/>
        <v>0</v>
      </c>
      <c r="Z128" s="371"/>
    </row>
    <row r="129" spans="1:26" x14ac:dyDescent="0.25">
      <c r="A129" s="481">
        <v>42201</v>
      </c>
      <c r="B129" s="470"/>
      <c r="C129" s="368">
        <v>42201</v>
      </c>
      <c r="F129" s="482" t="s">
        <v>673</v>
      </c>
      <c r="G129" s="470"/>
      <c r="H129" s="369" t="s">
        <v>659</v>
      </c>
      <c r="I129" s="369" t="s">
        <v>1003</v>
      </c>
      <c r="J129" s="367" t="s">
        <v>1004</v>
      </c>
      <c r="K129" s="482" t="s">
        <v>1005</v>
      </c>
      <c r="L129" s="470"/>
      <c r="M129" s="470"/>
      <c r="N129" s="369" t="s">
        <v>655</v>
      </c>
      <c r="O129" s="369" t="s">
        <v>753</v>
      </c>
      <c r="P129" s="369" t="s">
        <v>655</v>
      </c>
      <c r="Q129" s="369" t="s">
        <v>753</v>
      </c>
      <c r="R129" s="367" t="s">
        <v>1006</v>
      </c>
      <c r="S129" s="367">
        <v>3331427</v>
      </c>
      <c r="T129" s="483">
        <v>586.79999999999995</v>
      </c>
      <c r="U129" s="470"/>
      <c r="V129" s="483">
        <v>0</v>
      </c>
      <c r="W129" s="470"/>
      <c r="X129" s="470"/>
      <c r="Y129" s="370">
        <f t="shared" si="2"/>
        <v>0</v>
      </c>
      <c r="Z129" s="371">
        <v>1</v>
      </c>
    </row>
    <row r="130" spans="1:26" x14ac:dyDescent="0.25">
      <c r="A130" s="481">
        <v>42201</v>
      </c>
      <c r="B130" s="470"/>
      <c r="C130" s="368">
        <v>42201</v>
      </c>
      <c r="F130" s="482" t="s">
        <v>684</v>
      </c>
      <c r="G130" s="470"/>
      <c r="H130" s="369" t="s">
        <v>659</v>
      </c>
      <c r="I130" s="369" t="s">
        <v>1007</v>
      </c>
      <c r="J130" s="367" t="s">
        <v>1008</v>
      </c>
      <c r="K130" s="482" t="s">
        <v>1009</v>
      </c>
      <c r="L130" s="470"/>
      <c r="M130" s="470"/>
      <c r="N130" s="369" t="s">
        <v>655</v>
      </c>
      <c r="O130" s="369" t="s">
        <v>655</v>
      </c>
      <c r="P130" s="369" t="s">
        <v>655</v>
      </c>
      <c r="Q130" s="369" t="s">
        <v>655</v>
      </c>
      <c r="R130" s="367" t="s">
        <v>1010</v>
      </c>
      <c r="S130" s="367">
        <v>3331450</v>
      </c>
      <c r="T130" s="483">
        <v>586.79999999999995</v>
      </c>
      <c r="U130" s="470"/>
      <c r="V130" s="483">
        <v>6.95</v>
      </c>
      <c r="W130" s="470"/>
      <c r="X130" s="470"/>
      <c r="Y130" s="370">
        <f t="shared" ref="Y130:Y193" si="3">V130</f>
        <v>6.95</v>
      </c>
      <c r="Z130" s="371">
        <v>1</v>
      </c>
    </row>
    <row r="131" spans="1:26" x14ac:dyDescent="0.25">
      <c r="A131" s="481">
        <v>42202</v>
      </c>
      <c r="B131" s="470"/>
      <c r="C131" s="368">
        <v>42202</v>
      </c>
      <c r="F131" s="482" t="s">
        <v>899</v>
      </c>
      <c r="G131" s="470"/>
      <c r="H131" s="369" t="s">
        <v>659</v>
      </c>
      <c r="I131" s="369" t="s">
        <v>1011</v>
      </c>
      <c r="J131" s="367" t="s">
        <v>1012</v>
      </c>
      <c r="K131" s="482" t="s">
        <v>1013</v>
      </c>
      <c r="L131" s="470"/>
      <c r="M131" s="470"/>
      <c r="N131" s="369" t="s">
        <v>655</v>
      </c>
      <c r="O131" s="369" t="s">
        <v>655</v>
      </c>
      <c r="P131" s="369" t="s">
        <v>655</v>
      </c>
      <c r="Q131" s="369" t="s">
        <v>655</v>
      </c>
      <c r="R131" s="367" t="s">
        <v>1014</v>
      </c>
      <c r="S131" s="367">
        <v>3342229</v>
      </c>
      <c r="T131" s="483">
        <v>586.79999999999995</v>
      </c>
      <c r="U131" s="470"/>
      <c r="V131" s="483">
        <v>0</v>
      </c>
      <c r="W131" s="470"/>
      <c r="X131" s="470"/>
      <c r="Y131" s="370">
        <f t="shared" si="3"/>
        <v>0</v>
      </c>
      <c r="Z131" s="371"/>
    </row>
    <row r="132" spans="1:26" x14ac:dyDescent="0.25">
      <c r="A132" s="481">
        <v>42203</v>
      </c>
      <c r="B132" s="470"/>
      <c r="C132" s="368">
        <v>42203</v>
      </c>
      <c r="F132" s="482" t="s">
        <v>915</v>
      </c>
      <c r="G132" s="470"/>
      <c r="H132" s="369" t="s">
        <v>659</v>
      </c>
      <c r="I132" s="369" t="s">
        <v>1015</v>
      </c>
      <c r="J132" s="367" t="s">
        <v>1016</v>
      </c>
      <c r="K132" s="482" t="s">
        <v>1017</v>
      </c>
      <c r="L132" s="470"/>
      <c r="M132" s="470"/>
      <c r="N132" s="369" t="s">
        <v>655</v>
      </c>
      <c r="O132" s="369" t="s">
        <v>753</v>
      </c>
      <c r="P132" s="369" t="s">
        <v>655</v>
      </c>
      <c r="Q132" s="369" t="s">
        <v>753</v>
      </c>
      <c r="R132" s="367" t="s">
        <v>1018</v>
      </c>
      <c r="S132" s="367">
        <v>3342177</v>
      </c>
      <c r="T132" s="483">
        <v>586.79999999999995</v>
      </c>
      <c r="U132" s="470"/>
      <c r="V132" s="483">
        <v>0</v>
      </c>
      <c r="W132" s="470"/>
      <c r="X132" s="470"/>
      <c r="Y132" s="370">
        <f t="shared" si="3"/>
        <v>0</v>
      </c>
      <c r="Z132" s="371"/>
    </row>
    <row r="133" spans="1:26" x14ac:dyDescent="0.25">
      <c r="A133" s="481">
        <v>42204</v>
      </c>
      <c r="B133" s="470"/>
      <c r="C133" s="368">
        <v>42204</v>
      </c>
      <c r="F133" s="482" t="s">
        <v>673</v>
      </c>
      <c r="G133" s="470"/>
      <c r="H133" s="369" t="s">
        <v>659</v>
      </c>
      <c r="I133" s="369" t="s">
        <v>1019</v>
      </c>
      <c r="J133" s="367" t="s">
        <v>1020</v>
      </c>
      <c r="K133" s="482" t="s">
        <v>939</v>
      </c>
      <c r="L133" s="470"/>
      <c r="M133" s="470"/>
      <c r="N133" s="369" t="s">
        <v>655</v>
      </c>
      <c r="O133" s="369" t="s">
        <v>655</v>
      </c>
      <c r="P133" s="369" t="s">
        <v>655</v>
      </c>
      <c r="Q133" s="369" t="s">
        <v>655</v>
      </c>
      <c r="R133" s="367" t="s">
        <v>1021</v>
      </c>
      <c r="S133" s="367">
        <v>3342282</v>
      </c>
      <c r="T133" s="483">
        <v>586.79999999999995</v>
      </c>
      <c r="U133" s="470"/>
      <c r="V133" s="483">
        <v>250.89</v>
      </c>
      <c r="W133" s="470"/>
      <c r="X133" s="470"/>
      <c r="Y133" s="370">
        <f t="shared" si="3"/>
        <v>250.89</v>
      </c>
      <c r="Z133" s="371"/>
    </row>
    <row r="134" spans="1:26" x14ac:dyDescent="0.25">
      <c r="A134" s="481">
        <v>42204</v>
      </c>
      <c r="B134" s="470"/>
      <c r="C134" s="368">
        <v>42204</v>
      </c>
      <c r="F134" s="482" t="s">
        <v>673</v>
      </c>
      <c r="G134" s="470"/>
      <c r="H134" s="369" t="s">
        <v>659</v>
      </c>
      <c r="I134" s="369" t="s">
        <v>1022</v>
      </c>
      <c r="J134" s="367" t="s">
        <v>1000</v>
      </c>
      <c r="K134" s="482" t="s">
        <v>1023</v>
      </c>
      <c r="L134" s="470"/>
      <c r="M134" s="470"/>
      <c r="N134" s="369" t="s">
        <v>655</v>
      </c>
      <c r="O134" s="369" t="s">
        <v>655</v>
      </c>
      <c r="P134" s="369" t="s">
        <v>655</v>
      </c>
      <c r="Q134" s="369" t="s">
        <v>655</v>
      </c>
      <c r="R134" s="367" t="s">
        <v>1024</v>
      </c>
      <c r="S134" s="367">
        <v>3342259</v>
      </c>
      <c r="T134" s="483">
        <v>586.79999999999995</v>
      </c>
      <c r="U134" s="470"/>
      <c r="V134" s="483">
        <v>311.22000000000003</v>
      </c>
      <c r="W134" s="470"/>
      <c r="X134" s="470"/>
      <c r="Y134" s="370">
        <f t="shared" si="3"/>
        <v>311.22000000000003</v>
      </c>
      <c r="Z134" s="371"/>
    </row>
    <row r="135" spans="1:26" x14ac:dyDescent="0.25">
      <c r="A135" s="481">
        <v>42204</v>
      </c>
      <c r="B135" s="470"/>
      <c r="C135" s="368">
        <v>42205</v>
      </c>
      <c r="F135" s="482" t="s">
        <v>673</v>
      </c>
      <c r="G135" s="470"/>
      <c r="H135" s="369" t="s">
        <v>659</v>
      </c>
      <c r="I135" s="369" t="s">
        <v>1025</v>
      </c>
      <c r="J135" s="367" t="s">
        <v>1026</v>
      </c>
      <c r="K135" s="482" t="s">
        <v>1027</v>
      </c>
      <c r="L135" s="470"/>
      <c r="M135" s="470"/>
      <c r="N135" s="369" t="s">
        <v>655</v>
      </c>
      <c r="O135" s="369" t="s">
        <v>753</v>
      </c>
      <c r="P135" s="369" t="s">
        <v>655</v>
      </c>
      <c r="Q135" s="369" t="s">
        <v>753</v>
      </c>
      <c r="R135" s="367" t="s">
        <v>1028</v>
      </c>
      <c r="S135" s="367">
        <v>3349361</v>
      </c>
      <c r="T135" s="483">
        <v>586.79999999999995</v>
      </c>
      <c r="U135" s="470"/>
      <c r="V135" s="483">
        <v>0</v>
      </c>
      <c r="W135" s="470"/>
      <c r="X135" s="470"/>
      <c r="Y135" s="370">
        <f t="shared" si="3"/>
        <v>0</v>
      </c>
      <c r="Z135" s="371">
        <v>1</v>
      </c>
    </row>
    <row r="136" spans="1:26" x14ac:dyDescent="0.25">
      <c r="A136" s="481">
        <v>42205</v>
      </c>
      <c r="B136" s="470"/>
      <c r="C136" s="368">
        <v>42205</v>
      </c>
      <c r="F136" s="482" t="s">
        <v>673</v>
      </c>
      <c r="G136" s="470"/>
      <c r="H136" s="369" t="s">
        <v>659</v>
      </c>
      <c r="I136" s="369" t="s">
        <v>1029</v>
      </c>
      <c r="J136" s="367" t="s">
        <v>1030</v>
      </c>
      <c r="K136" s="482" t="s">
        <v>1031</v>
      </c>
      <c r="L136" s="470"/>
      <c r="M136" s="470"/>
      <c r="N136" s="369" t="s">
        <v>655</v>
      </c>
      <c r="O136" s="369" t="s">
        <v>753</v>
      </c>
      <c r="P136" s="369" t="s">
        <v>655</v>
      </c>
      <c r="Q136" s="369" t="s">
        <v>655</v>
      </c>
      <c r="R136" s="367" t="s">
        <v>1032</v>
      </c>
      <c r="S136" s="367">
        <v>3342380</v>
      </c>
      <c r="T136" s="483">
        <v>586.79999999999995</v>
      </c>
      <c r="U136" s="470"/>
      <c r="V136" s="483">
        <v>0</v>
      </c>
      <c r="W136" s="470"/>
      <c r="X136" s="470"/>
      <c r="Y136" s="370">
        <f t="shared" si="3"/>
        <v>0</v>
      </c>
      <c r="Z136" s="371"/>
    </row>
    <row r="137" spans="1:26" x14ac:dyDescent="0.25">
      <c r="A137" s="481">
        <v>42205</v>
      </c>
      <c r="B137" s="470"/>
      <c r="C137" s="368">
        <v>42205</v>
      </c>
      <c r="F137" s="482" t="s">
        <v>673</v>
      </c>
      <c r="G137" s="470"/>
      <c r="H137" s="369" t="s">
        <v>659</v>
      </c>
      <c r="I137" s="369" t="s">
        <v>1029</v>
      </c>
      <c r="J137" s="367" t="s">
        <v>1030</v>
      </c>
      <c r="K137" s="482" t="s">
        <v>1031</v>
      </c>
      <c r="L137" s="470"/>
      <c r="M137" s="470"/>
      <c r="N137" s="369" t="s">
        <v>655</v>
      </c>
      <c r="O137" s="369" t="s">
        <v>753</v>
      </c>
      <c r="P137" s="369" t="s">
        <v>655</v>
      </c>
      <c r="Q137" s="369" t="s">
        <v>655</v>
      </c>
      <c r="R137" s="367" t="s">
        <v>1033</v>
      </c>
      <c r="S137" s="367">
        <v>3342638</v>
      </c>
      <c r="T137" s="483">
        <v>586.79999999999995</v>
      </c>
      <c r="U137" s="470"/>
      <c r="V137" s="483">
        <v>2294.3200000000002</v>
      </c>
      <c r="W137" s="470"/>
      <c r="X137" s="470"/>
      <c r="Y137" s="370">
        <f t="shared" si="3"/>
        <v>2294.3200000000002</v>
      </c>
      <c r="Z137" s="371">
        <v>1</v>
      </c>
    </row>
    <row r="138" spans="1:26" ht="22.5" x14ac:dyDescent="0.25">
      <c r="A138" s="481">
        <v>42205</v>
      </c>
      <c r="B138" s="470"/>
      <c r="C138" s="368">
        <v>42205</v>
      </c>
      <c r="F138" s="482" t="s">
        <v>1034</v>
      </c>
      <c r="G138" s="470"/>
      <c r="H138" s="369" t="s">
        <v>659</v>
      </c>
      <c r="I138" s="369" t="s">
        <v>1035</v>
      </c>
      <c r="J138" s="367" t="s">
        <v>1036</v>
      </c>
      <c r="K138" s="482" t="s">
        <v>1037</v>
      </c>
      <c r="L138" s="470"/>
      <c r="M138" s="470"/>
      <c r="N138" s="369" t="s">
        <v>655</v>
      </c>
      <c r="O138" s="369" t="s">
        <v>753</v>
      </c>
      <c r="P138" s="369" t="s">
        <v>655</v>
      </c>
      <c r="Q138" s="369" t="s">
        <v>753</v>
      </c>
      <c r="R138" s="367" t="s">
        <v>1038</v>
      </c>
      <c r="S138" s="367">
        <v>3342681</v>
      </c>
      <c r="T138" s="483">
        <v>586.79999999999995</v>
      </c>
      <c r="U138" s="470"/>
      <c r="V138" s="483">
        <v>0</v>
      </c>
      <c r="W138" s="470"/>
      <c r="X138" s="470"/>
      <c r="Y138" s="370">
        <f t="shared" si="3"/>
        <v>0</v>
      </c>
      <c r="Z138" s="371"/>
    </row>
    <row r="139" spans="1:26" x14ac:dyDescent="0.25">
      <c r="A139" s="481">
        <v>42206</v>
      </c>
      <c r="B139" s="470"/>
      <c r="C139" s="368">
        <v>42206</v>
      </c>
      <c r="F139" s="482" t="s">
        <v>740</v>
      </c>
      <c r="G139" s="470"/>
      <c r="H139" s="369" t="s">
        <v>659</v>
      </c>
      <c r="I139" s="369" t="s">
        <v>1039</v>
      </c>
      <c r="J139" s="367" t="s">
        <v>1040</v>
      </c>
      <c r="K139" s="482" t="s">
        <v>1041</v>
      </c>
      <c r="L139" s="470"/>
      <c r="M139" s="470"/>
      <c r="N139" s="369" t="s">
        <v>655</v>
      </c>
      <c r="O139" s="369" t="s">
        <v>753</v>
      </c>
      <c r="P139" s="369" t="s">
        <v>655</v>
      </c>
      <c r="Q139" s="369" t="s">
        <v>655</v>
      </c>
      <c r="R139" s="367" t="s">
        <v>1042</v>
      </c>
      <c r="S139" s="367">
        <v>3347767</v>
      </c>
      <c r="T139" s="483">
        <v>586.79999999999995</v>
      </c>
      <c r="U139" s="470"/>
      <c r="V139" s="483">
        <v>245.74</v>
      </c>
      <c r="W139" s="470"/>
      <c r="X139" s="470"/>
      <c r="Y139" s="370">
        <f t="shared" si="3"/>
        <v>245.74</v>
      </c>
      <c r="Z139" s="371"/>
    </row>
    <row r="140" spans="1:26" x14ac:dyDescent="0.25">
      <c r="A140" s="481">
        <v>42206</v>
      </c>
      <c r="B140" s="470"/>
      <c r="C140" s="368">
        <v>42206</v>
      </c>
      <c r="F140" s="482" t="s">
        <v>673</v>
      </c>
      <c r="G140" s="470"/>
      <c r="H140" s="369" t="s">
        <v>659</v>
      </c>
      <c r="I140" s="369" t="s">
        <v>1043</v>
      </c>
      <c r="J140" s="367" t="s">
        <v>1044</v>
      </c>
      <c r="K140" s="482" t="s">
        <v>1045</v>
      </c>
      <c r="L140" s="470"/>
      <c r="M140" s="470"/>
      <c r="N140" s="369" t="s">
        <v>655</v>
      </c>
      <c r="O140" s="369" t="s">
        <v>753</v>
      </c>
      <c r="P140" s="369" t="s">
        <v>655</v>
      </c>
      <c r="Q140" s="369" t="s">
        <v>753</v>
      </c>
      <c r="R140" s="367" t="s">
        <v>1046</v>
      </c>
      <c r="S140" s="367">
        <v>3349311</v>
      </c>
      <c r="T140" s="483">
        <v>586.79999999999995</v>
      </c>
      <c r="U140" s="470"/>
      <c r="V140" s="483">
        <v>0</v>
      </c>
      <c r="W140" s="470"/>
      <c r="X140" s="470"/>
      <c r="Y140" s="370">
        <f t="shared" si="3"/>
        <v>0</v>
      </c>
      <c r="Z140" s="371">
        <v>1</v>
      </c>
    </row>
    <row r="141" spans="1:26" x14ac:dyDescent="0.25">
      <c r="A141" s="481">
        <v>42206</v>
      </c>
      <c r="B141" s="470"/>
      <c r="C141" s="368">
        <v>42206</v>
      </c>
      <c r="F141" s="482" t="s">
        <v>678</v>
      </c>
      <c r="G141" s="470"/>
      <c r="H141" s="369" t="s">
        <v>659</v>
      </c>
      <c r="I141" s="369" t="s">
        <v>1047</v>
      </c>
      <c r="J141" s="367" t="s">
        <v>1048</v>
      </c>
      <c r="K141" s="482" t="s">
        <v>1049</v>
      </c>
      <c r="L141" s="470"/>
      <c r="M141" s="470"/>
      <c r="N141" s="369" t="s">
        <v>655</v>
      </c>
      <c r="O141" s="369" t="s">
        <v>655</v>
      </c>
      <c r="P141" s="369" t="s">
        <v>655</v>
      </c>
      <c r="Q141" s="369" t="s">
        <v>655</v>
      </c>
      <c r="R141" s="367" t="s">
        <v>1050</v>
      </c>
      <c r="S141" s="367">
        <v>3350984</v>
      </c>
      <c r="T141" s="483">
        <v>586.79999999999995</v>
      </c>
      <c r="U141" s="470"/>
      <c r="V141" s="483">
        <v>2098.9299999999998</v>
      </c>
      <c r="W141" s="470"/>
      <c r="X141" s="470"/>
      <c r="Y141" s="370">
        <f t="shared" si="3"/>
        <v>2098.9299999999998</v>
      </c>
      <c r="Z141" s="371"/>
    </row>
    <row r="142" spans="1:26" x14ac:dyDescent="0.25">
      <c r="A142" s="481">
        <v>42208</v>
      </c>
      <c r="B142" s="470"/>
      <c r="C142" s="368">
        <v>42209</v>
      </c>
      <c r="F142" s="482" t="s">
        <v>673</v>
      </c>
      <c r="G142" s="470"/>
      <c r="H142" s="369" t="s">
        <v>659</v>
      </c>
      <c r="I142" s="369" t="s">
        <v>691</v>
      </c>
      <c r="J142" s="367" t="s">
        <v>692</v>
      </c>
      <c r="K142" s="482" t="s">
        <v>693</v>
      </c>
      <c r="L142" s="470"/>
      <c r="M142" s="470"/>
      <c r="N142" s="369" t="s">
        <v>655</v>
      </c>
      <c r="O142" s="369" t="s">
        <v>655</v>
      </c>
      <c r="P142" s="369" t="s">
        <v>655</v>
      </c>
      <c r="Q142" s="369" t="s">
        <v>655</v>
      </c>
      <c r="R142" s="367" t="s">
        <v>694</v>
      </c>
      <c r="S142" s="367">
        <v>3364107</v>
      </c>
      <c r="T142" s="483">
        <v>586.79999999999995</v>
      </c>
      <c r="U142" s="470"/>
      <c r="V142" s="483">
        <v>0</v>
      </c>
      <c r="W142" s="470"/>
      <c r="X142" s="470"/>
      <c r="Y142" s="370">
        <f t="shared" si="3"/>
        <v>0</v>
      </c>
      <c r="Z142" s="371">
        <v>2</v>
      </c>
    </row>
    <row r="143" spans="1:26" x14ac:dyDescent="0.25">
      <c r="A143" s="481">
        <v>42208</v>
      </c>
      <c r="B143" s="470"/>
      <c r="C143" s="368">
        <v>42208</v>
      </c>
      <c r="F143" s="482" t="s">
        <v>915</v>
      </c>
      <c r="G143" s="470"/>
      <c r="H143" s="369" t="s">
        <v>659</v>
      </c>
      <c r="I143" s="369" t="s">
        <v>1051</v>
      </c>
      <c r="J143" s="367" t="s">
        <v>1052</v>
      </c>
      <c r="K143" s="482" t="s">
        <v>1053</v>
      </c>
      <c r="L143" s="470"/>
      <c r="M143" s="470"/>
      <c r="N143" s="369" t="s">
        <v>655</v>
      </c>
      <c r="O143" s="369" t="s">
        <v>753</v>
      </c>
      <c r="P143" s="369" t="s">
        <v>655</v>
      </c>
      <c r="Q143" s="369" t="s">
        <v>753</v>
      </c>
      <c r="R143" s="367" t="s">
        <v>1054</v>
      </c>
      <c r="S143" s="367">
        <v>3368226</v>
      </c>
      <c r="T143" s="483">
        <v>586.79999999999995</v>
      </c>
      <c r="U143" s="470"/>
      <c r="V143" s="483">
        <v>0</v>
      </c>
      <c r="W143" s="470"/>
      <c r="X143" s="470"/>
      <c r="Y143" s="370">
        <f t="shared" si="3"/>
        <v>0</v>
      </c>
      <c r="Z143" s="371"/>
    </row>
    <row r="144" spans="1:26" x14ac:dyDescent="0.25">
      <c r="A144" s="481">
        <v>42209</v>
      </c>
      <c r="B144" s="470"/>
      <c r="C144" s="368">
        <v>42209</v>
      </c>
      <c r="F144" s="482" t="s">
        <v>705</v>
      </c>
      <c r="G144" s="470"/>
      <c r="H144" s="369" t="s">
        <v>659</v>
      </c>
      <c r="I144" s="369" t="s">
        <v>1055</v>
      </c>
      <c r="J144" s="367" t="s">
        <v>1056</v>
      </c>
      <c r="K144" s="482" t="s">
        <v>1057</v>
      </c>
      <c r="L144" s="470"/>
      <c r="M144" s="470"/>
      <c r="N144" s="369" t="s">
        <v>655</v>
      </c>
      <c r="O144" s="369" t="s">
        <v>655</v>
      </c>
      <c r="P144" s="369" t="s">
        <v>655</v>
      </c>
      <c r="Q144" s="369" t="s">
        <v>655</v>
      </c>
      <c r="R144" s="367" t="s">
        <v>1058</v>
      </c>
      <c r="S144" s="367">
        <v>3368249</v>
      </c>
      <c r="T144" s="483">
        <v>586.79999999999995</v>
      </c>
      <c r="U144" s="470"/>
      <c r="V144" s="483">
        <v>415.34</v>
      </c>
      <c r="W144" s="470"/>
      <c r="X144" s="470"/>
      <c r="Y144" s="370">
        <f t="shared" si="3"/>
        <v>415.34</v>
      </c>
      <c r="Z144" s="371"/>
    </row>
    <row r="145" spans="1:26" x14ac:dyDescent="0.25">
      <c r="A145" s="481">
        <v>42209</v>
      </c>
      <c r="B145" s="470"/>
      <c r="C145" s="368">
        <v>42209</v>
      </c>
      <c r="F145" s="482" t="s">
        <v>673</v>
      </c>
      <c r="G145" s="470"/>
      <c r="H145" s="369" t="s">
        <v>659</v>
      </c>
      <c r="I145" s="369" t="s">
        <v>1059</v>
      </c>
      <c r="J145" s="367" t="s">
        <v>1060</v>
      </c>
      <c r="K145" s="482" t="s">
        <v>979</v>
      </c>
      <c r="L145" s="470"/>
      <c r="M145" s="470"/>
      <c r="N145" s="369" t="s">
        <v>655</v>
      </c>
      <c r="O145" s="369" t="s">
        <v>753</v>
      </c>
      <c r="P145" s="369" t="s">
        <v>655</v>
      </c>
      <c r="Q145" s="369" t="s">
        <v>655</v>
      </c>
      <c r="R145" s="367" t="s">
        <v>1061</v>
      </c>
      <c r="S145" s="367">
        <v>3376535</v>
      </c>
      <c r="T145" s="483">
        <v>586.79999999999995</v>
      </c>
      <c r="U145" s="470"/>
      <c r="V145" s="483">
        <v>1084.9100000000001</v>
      </c>
      <c r="W145" s="470"/>
      <c r="X145" s="470"/>
      <c r="Y145" s="370">
        <f t="shared" si="3"/>
        <v>1084.9100000000001</v>
      </c>
      <c r="Z145" s="371">
        <v>2</v>
      </c>
    </row>
    <row r="146" spans="1:26" x14ac:dyDescent="0.25">
      <c r="A146" s="481">
        <v>42209</v>
      </c>
      <c r="B146" s="470"/>
      <c r="C146" s="368">
        <v>42209</v>
      </c>
      <c r="F146" s="482" t="s">
        <v>684</v>
      </c>
      <c r="G146" s="470"/>
      <c r="H146" s="369" t="s">
        <v>659</v>
      </c>
      <c r="I146" s="369" t="s">
        <v>991</v>
      </c>
      <c r="J146" s="367" t="s">
        <v>992</v>
      </c>
      <c r="K146" s="482" t="s">
        <v>993</v>
      </c>
      <c r="L146" s="470"/>
      <c r="M146" s="470"/>
      <c r="N146" s="369" t="s">
        <v>655</v>
      </c>
      <c r="O146" s="369" t="s">
        <v>655</v>
      </c>
      <c r="P146" s="369" t="s">
        <v>655</v>
      </c>
      <c r="Q146" s="369" t="s">
        <v>655</v>
      </c>
      <c r="R146" s="367" t="s">
        <v>1062</v>
      </c>
      <c r="S146" s="367">
        <v>3369611</v>
      </c>
      <c r="T146" s="483">
        <v>586.79999999999995</v>
      </c>
      <c r="U146" s="470"/>
      <c r="V146" s="483">
        <v>282.72000000000003</v>
      </c>
      <c r="W146" s="470"/>
      <c r="X146" s="470"/>
      <c r="Y146" s="370">
        <f t="shared" si="3"/>
        <v>282.72000000000003</v>
      </c>
      <c r="Z146" s="371"/>
    </row>
    <row r="147" spans="1:26" x14ac:dyDescent="0.25">
      <c r="A147" s="481">
        <v>42210</v>
      </c>
      <c r="B147" s="470"/>
      <c r="C147" s="368">
        <v>42211</v>
      </c>
      <c r="F147" s="482" t="s">
        <v>673</v>
      </c>
      <c r="G147" s="470"/>
      <c r="H147" s="369" t="s">
        <v>659</v>
      </c>
      <c r="I147" s="369" t="s">
        <v>691</v>
      </c>
      <c r="J147" s="367" t="s">
        <v>692</v>
      </c>
      <c r="K147" s="482" t="s">
        <v>693</v>
      </c>
      <c r="L147" s="470"/>
      <c r="M147" s="470"/>
      <c r="N147" s="369" t="s">
        <v>655</v>
      </c>
      <c r="O147" s="369" t="s">
        <v>655</v>
      </c>
      <c r="P147" s="369" t="s">
        <v>655</v>
      </c>
      <c r="Q147" s="369" t="s">
        <v>655</v>
      </c>
      <c r="R147" s="367" t="s">
        <v>1063</v>
      </c>
      <c r="S147" s="367">
        <v>3375744</v>
      </c>
      <c r="T147" s="483">
        <v>586.79999999999995</v>
      </c>
      <c r="U147" s="470"/>
      <c r="V147" s="483">
        <v>907.19</v>
      </c>
      <c r="W147" s="470"/>
      <c r="X147" s="470"/>
      <c r="Y147" s="370">
        <f t="shared" si="3"/>
        <v>907.19</v>
      </c>
      <c r="Z147" s="371">
        <v>1</v>
      </c>
    </row>
    <row r="148" spans="1:26" x14ac:dyDescent="0.25">
      <c r="A148" s="481">
        <v>42210</v>
      </c>
      <c r="B148" s="470"/>
      <c r="C148" s="368">
        <v>42210</v>
      </c>
      <c r="F148" s="482" t="s">
        <v>899</v>
      </c>
      <c r="G148" s="470"/>
      <c r="H148" s="369" t="s">
        <v>659</v>
      </c>
      <c r="I148" s="369" t="s">
        <v>1064</v>
      </c>
      <c r="J148" s="367" t="s">
        <v>1065</v>
      </c>
      <c r="K148" s="482" t="s">
        <v>1066</v>
      </c>
      <c r="L148" s="470"/>
      <c r="M148" s="470"/>
      <c r="N148" s="369" t="s">
        <v>655</v>
      </c>
      <c r="O148" s="369" t="s">
        <v>753</v>
      </c>
      <c r="P148" s="369" t="s">
        <v>655</v>
      </c>
      <c r="Q148" s="369" t="s">
        <v>753</v>
      </c>
      <c r="R148" s="367" t="s">
        <v>1067</v>
      </c>
      <c r="S148" s="367">
        <v>3382313</v>
      </c>
      <c r="T148" s="483">
        <v>586.79999999999995</v>
      </c>
      <c r="U148" s="470"/>
      <c r="V148" s="483">
        <v>0</v>
      </c>
      <c r="W148" s="470"/>
      <c r="X148" s="470"/>
      <c r="Y148" s="370">
        <f t="shared" si="3"/>
        <v>0</v>
      </c>
      <c r="Z148" s="371"/>
    </row>
    <row r="149" spans="1:26" x14ac:dyDescent="0.25">
      <c r="A149" s="481">
        <v>42211</v>
      </c>
      <c r="B149" s="470"/>
      <c r="C149" s="368">
        <v>42211</v>
      </c>
      <c r="F149" s="482" t="s">
        <v>899</v>
      </c>
      <c r="G149" s="470"/>
      <c r="H149" s="369" t="s">
        <v>659</v>
      </c>
      <c r="I149" s="369" t="s">
        <v>1068</v>
      </c>
      <c r="J149" s="367" t="s">
        <v>1069</v>
      </c>
      <c r="K149" s="482" t="s">
        <v>1070</v>
      </c>
      <c r="L149" s="470"/>
      <c r="M149" s="470"/>
      <c r="N149" s="369" t="s">
        <v>655</v>
      </c>
      <c r="O149" s="369" t="s">
        <v>753</v>
      </c>
      <c r="P149" s="369" t="s">
        <v>655</v>
      </c>
      <c r="Q149" s="369" t="s">
        <v>753</v>
      </c>
      <c r="R149" s="367" t="s">
        <v>1071</v>
      </c>
      <c r="S149" s="367">
        <v>3376478</v>
      </c>
      <c r="T149" s="483">
        <v>586.79999999999995</v>
      </c>
      <c r="U149" s="470"/>
      <c r="V149" s="483">
        <v>0</v>
      </c>
      <c r="W149" s="470"/>
      <c r="X149" s="470"/>
      <c r="Y149" s="370">
        <f t="shared" si="3"/>
        <v>0</v>
      </c>
      <c r="Z149" s="371"/>
    </row>
    <row r="150" spans="1:26" x14ac:dyDescent="0.25">
      <c r="A150" s="481">
        <v>42212</v>
      </c>
      <c r="B150" s="470"/>
      <c r="C150" s="368">
        <v>42212</v>
      </c>
      <c r="F150" s="482" t="s">
        <v>673</v>
      </c>
      <c r="G150" s="470"/>
      <c r="H150" s="369" t="s">
        <v>659</v>
      </c>
      <c r="I150" s="369" t="s">
        <v>691</v>
      </c>
      <c r="J150" s="367" t="s">
        <v>692</v>
      </c>
      <c r="K150" s="482" t="s">
        <v>693</v>
      </c>
      <c r="L150" s="470"/>
      <c r="M150" s="470"/>
      <c r="N150" s="369" t="s">
        <v>655</v>
      </c>
      <c r="O150" s="369" t="s">
        <v>655</v>
      </c>
      <c r="P150" s="369" t="s">
        <v>655</v>
      </c>
      <c r="Q150" s="369" t="s">
        <v>655</v>
      </c>
      <c r="R150" s="367" t="s">
        <v>1072</v>
      </c>
      <c r="S150" s="367">
        <v>4151671</v>
      </c>
      <c r="T150" s="483">
        <v>586.79999999999995</v>
      </c>
      <c r="U150" s="470"/>
      <c r="V150" s="483">
        <v>549.24</v>
      </c>
      <c r="W150" s="470"/>
      <c r="X150" s="470"/>
      <c r="Y150" s="370">
        <f t="shared" si="3"/>
        <v>549.24</v>
      </c>
      <c r="Z150" s="371"/>
    </row>
    <row r="151" spans="1:26" x14ac:dyDescent="0.25">
      <c r="A151" s="481">
        <v>42213</v>
      </c>
      <c r="B151" s="470"/>
      <c r="C151" s="368">
        <v>42213</v>
      </c>
      <c r="F151" s="482" t="s">
        <v>720</v>
      </c>
      <c r="G151" s="470"/>
      <c r="H151" s="369" t="s">
        <v>659</v>
      </c>
      <c r="I151" s="369" t="s">
        <v>1073</v>
      </c>
      <c r="J151" s="367" t="s">
        <v>1074</v>
      </c>
      <c r="K151" s="482" t="s">
        <v>993</v>
      </c>
      <c r="L151" s="470"/>
      <c r="M151" s="470"/>
      <c r="N151" s="369" t="s">
        <v>655</v>
      </c>
      <c r="O151" s="369" t="s">
        <v>753</v>
      </c>
      <c r="P151" s="369" t="s">
        <v>655</v>
      </c>
      <c r="Q151" s="369" t="s">
        <v>753</v>
      </c>
      <c r="R151" s="367" t="s">
        <v>1075</v>
      </c>
      <c r="S151" s="367">
        <v>3388047</v>
      </c>
      <c r="T151" s="483">
        <v>586.79999999999995</v>
      </c>
      <c r="U151" s="470"/>
      <c r="V151" s="483">
        <v>0</v>
      </c>
      <c r="W151" s="470"/>
      <c r="X151" s="470"/>
      <c r="Y151" s="370">
        <f t="shared" si="3"/>
        <v>0</v>
      </c>
      <c r="Z151" s="371"/>
    </row>
    <row r="152" spans="1:26" x14ac:dyDescent="0.25">
      <c r="A152" s="481">
        <v>42214</v>
      </c>
      <c r="B152" s="470"/>
      <c r="C152" s="368">
        <v>42214</v>
      </c>
      <c r="F152" s="482" t="s">
        <v>673</v>
      </c>
      <c r="G152" s="470"/>
      <c r="H152" s="369" t="s">
        <v>659</v>
      </c>
      <c r="I152" s="369" t="s">
        <v>1076</v>
      </c>
      <c r="J152" s="367" t="s">
        <v>1077</v>
      </c>
      <c r="K152" s="482" t="s">
        <v>1078</v>
      </c>
      <c r="L152" s="470"/>
      <c r="M152" s="470"/>
      <c r="N152" s="369" t="s">
        <v>655</v>
      </c>
      <c r="O152" s="369" t="s">
        <v>753</v>
      </c>
      <c r="P152" s="369" t="s">
        <v>655</v>
      </c>
      <c r="Q152" s="369" t="s">
        <v>655</v>
      </c>
      <c r="R152" s="367" t="s">
        <v>1079</v>
      </c>
      <c r="S152" s="367">
        <v>3397926</v>
      </c>
      <c r="T152" s="483">
        <v>586.79999999999995</v>
      </c>
      <c r="U152" s="470"/>
      <c r="V152" s="483">
        <v>1046.22</v>
      </c>
      <c r="W152" s="470"/>
      <c r="X152" s="470"/>
      <c r="Y152" s="370">
        <f t="shared" si="3"/>
        <v>1046.22</v>
      </c>
      <c r="Z152" s="371"/>
    </row>
    <row r="153" spans="1:26" x14ac:dyDescent="0.25">
      <c r="A153" s="481">
        <v>42215</v>
      </c>
      <c r="B153" s="470"/>
      <c r="C153" s="368">
        <v>42215</v>
      </c>
      <c r="F153" s="482" t="s">
        <v>1080</v>
      </c>
      <c r="G153" s="470"/>
      <c r="H153" s="369" t="s">
        <v>659</v>
      </c>
      <c r="I153" s="369" t="s">
        <v>1081</v>
      </c>
      <c r="J153" s="367" t="s">
        <v>1082</v>
      </c>
      <c r="K153" s="482" t="s">
        <v>816</v>
      </c>
      <c r="L153" s="470"/>
      <c r="M153" s="470"/>
      <c r="N153" s="369" t="s">
        <v>655</v>
      </c>
      <c r="O153" s="369" t="s">
        <v>753</v>
      </c>
      <c r="P153" s="369" t="s">
        <v>655</v>
      </c>
      <c r="Q153" s="369" t="s">
        <v>655</v>
      </c>
      <c r="R153" s="367" t="s">
        <v>1083</v>
      </c>
      <c r="S153" s="367">
        <v>3393902</v>
      </c>
      <c r="T153" s="483">
        <v>586.79999999999995</v>
      </c>
      <c r="U153" s="470"/>
      <c r="V153" s="483">
        <v>488.89</v>
      </c>
      <c r="W153" s="470"/>
      <c r="X153" s="470"/>
      <c r="Y153" s="370">
        <f t="shared" si="3"/>
        <v>488.89</v>
      </c>
      <c r="Z153" s="371"/>
    </row>
    <row r="154" spans="1:26" x14ac:dyDescent="0.25">
      <c r="A154" s="481">
        <v>42215</v>
      </c>
      <c r="B154" s="470"/>
      <c r="C154" s="368">
        <v>42215</v>
      </c>
      <c r="F154" s="482" t="s">
        <v>695</v>
      </c>
      <c r="G154" s="470"/>
      <c r="H154" s="369" t="s">
        <v>659</v>
      </c>
      <c r="I154" s="369" t="s">
        <v>691</v>
      </c>
      <c r="J154" s="367" t="s">
        <v>692</v>
      </c>
      <c r="K154" s="482" t="s">
        <v>693</v>
      </c>
      <c r="L154" s="470"/>
      <c r="M154" s="470"/>
      <c r="N154" s="369" t="s">
        <v>655</v>
      </c>
      <c r="O154" s="369" t="s">
        <v>655</v>
      </c>
      <c r="P154" s="369" t="s">
        <v>655</v>
      </c>
      <c r="Q154" s="369" t="s">
        <v>655</v>
      </c>
      <c r="R154" s="367" t="s">
        <v>696</v>
      </c>
      <c r="S154" s="367">
        <v>3398201</v>
      </c>
      <c r="T154" s="483">
        <v>586.79999999999995</v>
      </c>
      <c r="U154" s="470"/>
      <c r="V154" s="483">
        <v>410.13</v>
      </c>
      <c r="W154" s="470"/>
      <c r="X154" s="470"/>
      <c r="Y154" s="370">
        <f t="shared" si="3"/>
        <v>410.13</v>
      </c>
      <c r="Z154" s="371"/>
    </row>
    <row r="155" spans="1:26" x14ac:dyDescent="0.25">
      <c r="A155" s="481">
        <v>42215</v>
      </c>
      <c r="B155" s="470"/>
      <c r="C155" s="368">
        <v>42215</v>
      </c>
      <c r="F155" s="482" t="s">
        <v>673</v>
      </c>
      <c r="G155" s="470"/>
      <c r="H155" s="369" t="s">
        <v>659</v>
      </c>
      <c r="I155" s="369" t="s">
        <v>1084</v>
      </c>
      <c r="J155" s="367" t="s">
        <v>1065</v>
      </c>
      <c r="K155" s="482" t="s">
        <v>1085</v>
      </c>
      <c r="L155" s="470"/>
      <c r="M155" s="470"/>
      <c r="N155" s="369" t="s">
        <v>655</v>
      </c>
      <c r="O155" s="369" t="s">
        <v>753</v>
      </c>
      <c r="P155" s="369" t="s">
        <v>655</v>
      </c>
      <c r="Q155" s="369" t="s">
        <v>753</v>
      </c>
      <c r="R155" s="367" t="s">
        <v>1086</v>
      </c>
      <c r="S155" s="367">
        <v>3419131</v>
      </c>
      <c r="T155" s="483">
        <v>586.79999999999995</v>
      </c>
      <c r="U155" s="470"/>
      <c r="V155" s="483">
        <v>0</v>
      </c>
      <c r="W155" s="470"/>
      <c r="X155" s="470"/>
      <c r="Y155" s="370">
        <f t="shared" si="3"/>
        <v>0</v>
      </c>
      <c r="Z155" s="371"/>
    </row>
    <row r="156" spans="1:26" x14ac:dyDescent="0.25">
      <c r="A156" s="481">
        <v>42215</v>
      </c>
      <c r="B156" s="470"/>
      <c r="C156" s="368">
        <v>42215</v>
      </c>
      <c r="F156" s="482" t="s">
        <v>673</v>
      </c>
      <c r="G156" s="470"/>
      <c r="H156" s="369" t="s">
        <v>659</v>
      </c>
      <c r="I156" s="369" t="s">
        <v>1087</v>
      </c>
      <c r="J156" s="367" t="s">
        <v>1088</v>
      </c>
      <c r="K156" s="482" t="s">
        <v>1089</v>
      </c>
      <c r="L156" s="470"/>
      <c r="M156" s="470"/>
      <c r="N156" s="369" t="s">
        <v>655</v>
      </c>
      <c r="O156" s="369" t="s">
        <v>753</v>
      </c>
      <c r="P156" s="369" t="s">
        <v>655</v>
      </c>
      <c r="Q156" s="369" t="s">
        <v>655</v>
      </c>
      <c r="R156" s="367" t="s">
        <v>1090</v>
      </c>
      <c r="S156" s="367">
        <v>3396795</v>
      </c>
      <c r="T156" s="483">
        <v>586.79999999999995</v>
      </c>
      <c r="U156" s="470"/>
      <c r="V156" s="483">
        <v>311.22000000000003</v>
      </c>
      <c r="W156" s="470"/>
      <c r="X156" s="470"/>
      <c r="Y156" s="370">
        <f t="shared" si="3"/>
        <v>311.22000000000003</v>
      </c>
      <c r="Z156" s="371"/>
    </row>
    <row r="157" spans="1:26" x14ac:dyDescent="0.25">
      <c r="A157" s="481">
        <v>42216</v>
      </c>
      <c r="B157" s="470"/>
      <c r="C157" s="368">
        <v>42216</v>
      </c>
      <c r="F157" s="482" t="s">
        <v>673</v>
      </c>
      <c r="G157" s="470"/>
      <c r="H157" s="369" t="s">
        <v>659</v>
      </c>
      <c r="I157" s="369" t="s">
        <v>1091</v>
      </c>
      <c r="J157" s="367" t="s">
        <v>1092</v>
      </c>
      <c r="K157" s="482" t="s">
        <v>1093</v>
      </c>
      <c r="L157" s="470"/>
      <c r="M157" s="470"/>
      <c r="N157" s="369" t="s">
        <v>655</v>
      </c>
      <c r="O157" s="369" t="s">
        <v>655</v>
      </c>
      <c r="P157" s="369" t="s">
        <v>655</v>
      </c>
      <c r="Q157" s="369" t="s">
        <v>655</v>
      </c>
      <c r="R157" s="367" t="s">
        <v>1094</v>
      </c>
      <c r="S157" s="367">
        <v>3414752</v>
      </c>
      <c r="T157" s="483">
        <v>586.79999999999995</v>
      </c>
      <c r="U157" s="470"/>
      <c r="V157" s="483">
        <v>0</v>
      </c>
      <c r="W157" s="470"/>
      <c r="X157" s="470"/>
      <c r="Y157" s="370">
        <f t="shared" si="3"/>
        <v>0</v>
      </c>
      <c r="Z157" s="371">
        <v>64</v>
      </c>
    </row>
    <row r="158" spans="1:26" x14ac:dyDescent="0.25">
      <c r="A158" s="481">
        <v>42217</v>
      </c>
      <c r="B158" s="470"/>
      <c r="C158" s="368">
        <v>42218</v>
      </c>
      <c r="F158" s="482" t="s">
        <v>924</v>
      </c>
      <c r="G158" s="470"/>
      <c r="H158" s="369" t="s">
        <v>659</v>
      </c>
      <c r="I158" s="369" t="s">
        <v>1095</v>
      </c>
      <c r="J158" s="367" t="s">
        <v>1096</v>
      </c>
      <c r="K158" s="482" t="s">
        <v>1097</v>
      </c>
      <c r="L158" s="470"/>
      <c r="M158" s="470"/>
      <c r="N158" s="369" t="s">
        <v>655</v>
      </c>
      <c r="O158" s="369" t="s">
        <v>655</v>
      </c>
      <c r="P158" s="369" t="s">
        <v>655</v>
      </c>
      <c r="Q158" s="369" t="s">
        <v>655</v>
      </c>
      <c r="R158" s="367" t="s">
        <v>1098</v>
      </c>
      <c r="S158" s="367">
        <v>3414808</v>
      </c>
      <c r="T158" s="483">
        <v>586.79999999999995</v>
      </c>
      <c r="U158" s="470"/>
      <c r="V158" s="483">
        <v>0</v>
      </c>
      <c r="W158" s="470"/>
      <c r="X158" s="470"/>
      <c r="Y158" s="370">
        <f t="shared" si="3"/>
        <v>0</v>
      </c>
      <c r="Z158" s="371"/>
    </row>
    <row r="159" spans="1:26" x14ac:dyDescent="0.25">
      <c r="A159" s="481">
        <v>42218</v>
      </c>
      <c r="B159" s="470"/>
      <c r="C159" s="368">
        <v>42219</v>
      </c>
      <c r="F159" s="482" t="s">
        <v>1099</v>
      </c>
      <c r="G159" s="470"/>
      <c r="H159" s="369" t="s">
        <v>659</v>
      </c>
      <c r="I159" s="369" t="s">
        <v>1100</v>
      </c>
      <c r="J159" s="367" t="s">
        <v>1101</v>
      </c>
      <c r="K159" s="482" t="s">
        <v>1102</v>
      </c>
      <c r="L159" s="470"/>
      <c r="M159" s="470"/>
      <c r="N159" s="369" t="s">
        <v>655</v>
      </c>
      <c r="O159" s="369" t="s">
        <v>655</v>
      </c>
      <c r="P159" s="369" t="s">
        <v>655</v>
      </c>
      <c r="Q159" s="369" t="s">
        <v>655</v>
      </c>
      <c r="R159" s="367" t="s">
        <v>1103</v>
      </c>
      <c r="S159" s="367">
        <v>3409806</v>
      </c>
      <c r="T159" s="483">
        <v>586.79999999999995</v>
      </c>
      <c r="U159" s="470"/>
      <c r="V159" s="483">
        <v>8.2899999999999991</v>
      </c>
      <c r="W159" s="470"/>
      <c r="X159" s="470"/>
      <c r="Y159" s="370">
        <f t="shared" si="3"/>
        <v>8.2899999999999991</v>
      </c>
      <c r="Z159" s="371"/>
    </row>
    <row r="160" spans="1:26" x14ac:dyDescent="0.25">
      <c r="A160" s="481">
        <v>42218</v>
      </c>
      <c r="B160" s="470"/>
      <c r="C160" s="368">
        <v>42218</v>
      </c>
      <c r="F160" s="482" t="s">
        <v>673</v>
      </c>
      <c r="G160" s="470"/>
      <c r="H160" s="369" t="s">
        <v>659</v>
      </c>
      <c r="I160" s="369" t="s">
        <v>1104</v>
      </c>
      <c r="J160" s="367" t="s">
        <v>1105</v>
      </c>
      <c r="K160" s="482" t="s">
        <v>1106</v>
      </c>
      <c r="L160" s="470"/>
      <c r="M160" s="470"/>
      <c r="N160" s="369" t="s">
        <v>655</v>
      </c>
      <c r="O160" s="369" t="s">
        <v>655</v>
      </c>
      <c r="P160" s="369" t="s">
        <v>655</v>
      </c>
      <c r="Q160" s="369" t="s">
        <v>655</v>
      </c>
      <c r="R160" s="367" t="s">
        <v>1107</v>
      </c>
      <c r="S160" s="367">
        <v>3413596</v>
      </c>
      <c r="T160" s="483">
        <v>586.79999999999995</v>
      </c>
      <c r="U160" s="470"/>
      <c r="V160" s="483">
        <v>552.32000000000005</v>
      </c>
      <c r="W160" s="470"/>
      <c r="X160" s="470"/>
      <c r="Y160" s="370">
        <f t="shared" si="3"/>
        <v>552.32000000000005</v>
      </c>
      <c r="Z160" s="371">
        <v>2</v>
      </c>
    </row>
    <row r="161" spans="1:26" x14ac:dyDescent="0.25">
      <c r="A161" s="481">
        <v>42220</v>
      </c>
      <c r="B161" s="470"/>
      <c r="C161" s="368">
        <v>42220</v>
      </c>
      <c r="F161" s="482" t="s">
        <v>899</v>
      </c>
      <c r="G161" s="470"/>
      <c r="H161" s="369" t="s">
        <v>659</v>
      </c>
      <c r="I161" s="369" t="s">
        <v>1108</v>
      </c>
      <c r="J161" s="367" t="s">
        <v>1109</v>
      </c>
      <c r="K161" s="482" t="s">
        <v>893</v>
      </c>
      <c r="L161" s="470"/>
      <c r="M161" s="470"/>
      <c r="N161" s="369" t="s">
        <v>655</v>
      </c>
      <c r="O161" s="369" t="s">
        <v>753</v>
      </c>
      <c r="P161" s="369" t="s">
        <v>655</v>
      </c>
      <c r="Q161" s="369" t="s">
        <v>753</v>
      </c>
      <c r="R161" s="367" t="s">
        <v>1110</v>
      </c>
      <c r="S161" s="367">
        <v>3464958</v>
      </c>
      <c r="T161" s="483">
        <v>586.79999999999995</v>
      </c>
      <c r="U161" s="470"/>
      <c r="V161" s="483">
        <v>0</v>
      </c>
      <c r="W161" s="470"/>
      <c r="X161" s="470"/>
      <c r="Y161" s="370">
        <f t="shared" si="3"/>
        <v>0</v>
      </c>
      <c r="Z161" s="371"/>
    </row>
    <row r="162" spans="1:26" x14ac:dyDescent="0.25">
      <c r="A162" s="481">
        <v>42222</v>
      </c>
      <c r="B162" s="470"/>
      <c r="C162" s="368">
        <v>42232</v>
      </c>
      <c r="F162" s="482" t="s">
        <v>673</v>
      </c>
      <c r="G162" s="470"/>
      <c r="H162" s="369" t="s">
        <v>659</v>
      </c>
      <c r="I162" s="369" t="s">
        <v>1111</v>
      </c>
      <c r="J162" s="367" t="s">
        <v>1112</v>
      </c>
      <c r="K162" s="482" t="s">
        <v>667</v>
      </c>
      <c r="L162" s="470"/>
      <c r="M162" s="470"/>
      <c r="N162" s="369" t="s">
        <v>655</v>
      </c>
      <c r="O162" s="369" t="s">
        <v>753</v>
      </c>
      <c r="P162" s="369" t="s">
        <v>655</v>
      </c>
      <c r="Q162" s="369" t="s">
        <v>753</v>
      </c>
      <c r="R162" s="367" t="s">
        <v>1113</v>
      </c>
      <c r="S162" s="367">
        <v>3464826</v>
      </c>
      <c r="T162" s="483">
        <v>586.79999999999995</v>
      </c>
      <c r="U162" s="470"/>
      <c r="V162" s="483">
        <v>0</v>
      </c>
      <c r="W162" s="470"/>
      <c r="X162" s="470"/>
      <c r="Y162" s="370">
        <f t="shared" si="3"/>
        <v>0</v>
      </c>
      <c r="Z162" s="371"/>
    </row>
    <row r="163" spans="1:26" x14ac:dyDescent="0.25">
      <c r="A163" s="481">
        <v>42223</v>
      </c>
      <c r="B163" s="470"/>
      <c r="C163" s="368">
        <v>42223</v>
      </c>
      <c r="F163" s="482" t="s">
        <v>673</v>
      </c>
      <c r="G163" s="470"/>
      <c r="H163" s="369" t="s">
        <v>659</v>
      </c>
      <c r="I163" s="369" t="s">
        <v>1114</v>
      </c>
      <c r="J163" s="367" t="s">
        <v>1115</v>
      </c>
      <c r="K163" s="482" t="s">
        <v>1116</v>
      </c>
      <c r="L163" s="470"/>
      <c r="M163" s="470"/>
      <c r="N163" s="369" t="s">
        <v>655</v>
      </c>
      <c r="O163" s="369" t="s">
        <v>753</v>
      </c>
      <c r="P163" s="369" t="s">
        <v>655</v>
      </c>
      <c r="Q163" s="369" t="s">
        <v>753</v>
      </c>
      <c r="R163" s="367" t="s">
        <v>1117</v>
      </c>
      <c r="S163" s="367">
        <v>3464865</v>
      </c>
      <c r="T163" s="483">
        <v>586.79999999999995</v>
      </c>
      <c r="U163" s="470"/>
      <c r="V163" s="483">
        <v>0</v>
      </c>
      <c r="W163" s="470"/>
      <c r="X163" s="470"/>
      <c r="Y163" s="370">
        <f t="shared" si="3"/>
        <v>0</v>
      </c>
      <c r="Z163" s="371">
        <v>18</v>
      </c>
    </row>
    <row r="164" spans="1:26" x14ac:dyDescent="0.25">
      <c r="A164" s="481">
        <v>42224</v>
      </c>
      <c r="B164" s="470"/>
      <c r="C164" s="368">
        <v>42224</v>
      </c>
      <c r="F164" s="482" t="s">
        <v>673</v>
      </c>
      <c r="G164" s="470"/>
      <c r="H164" s="369" t="s">
        <v>659</v>
      </c>
      <c r="I164" s="369" t="s">
        <v>1118</v>
      </c>
      <c r="J164" s="367" t="s">
        <v>1119</v>
      </c>
      <c r="K164" s="482" t="s">
        <v>1120</v>
      </c>
      <c r="L164" s="470"/>
      <c r="M164" s="470"/>
      <c r="N164" s="369" t="s">
        <v>655</v>
      </c>
      <c r="O164" s="369" t="s">
        <v>655</v>
      </c>
      <c r="P164" s="369" t="s">
        <v>655</v>
      </c>
      <c r="Q164" s="369" t="s">
        <v>655</v>
      </c>
      <c r="R164" s="367" t="s">
        <v>1121</v>
      </c>
      <c r="S164" s="367">
        <v>3464885</v>
      </c>
      <c r="T164" s="483">
        <v>586.79999999999995</v>
      </c>
      <c r="U164" s="470"/>
      <c r="V164" s="483">
        <v>220.53</v>
      </c>
      <c r="W164" s="470"/>
      <c r="X164" s="470"/>
      <c r="Y164" s="370">
        <f t="shared" si="3"/>
        <v>220.53</v>
      </c>
      <c r="Z164" s="371">
        <v>1</v>
      </c>
    </row>
    <row r="165" spans="1:26" x14ac:dyDescent="0.25">
      <c r="A165" s="481">
        <v>42226</v>
      </c>
      <c r="B165" s="470"/>
      <c r="C165" s="368">
        <v>42226</v>
      </c>
      <c r="F165" s="482" t="s">
        <v>673</v>
      </c>
      <c r="G165" s="470"/>
      <c r="H165" s="369" t="s">
        <v>659</v>
      </c>
      <c r="I165" s="369" t="s">
        <v>1122</v>
      </c>
      <c r="J165" s="367" t="s">
        <v>1123</v>
      </c>
      <c r="K165" s="482" t="s">
        <v>1124</v>
      </c>
      <c r="L165" s="470"/>
      <c r="M165" s="470"/>
      <c r="N165" s="369" t="s">
        <v>655</v>
      </c>
      <c r="O165" s="369" t="s">
        <v>753</v>
      </c>
      <c r="P165" s="369" t="s">
        <v>655</v>
      </c>
      <c r="Q165" s="369" t="s">
        <v>753</v>
      </c>
      <c r="R165" s="367" t="s">
        <v>1125</v>
      </c>
      <c r="S165" s="367">
        <v>3471167</v>
      </c>
      <c r="T165" s="483">
        <v>586.79999999999995</v>
      </c>
      <c r="U165" s="470"/>
      <c r="V165" s="483">
        <v>0</v>
      </c>
      <c r="W165" s="470"/>
      <c r="X165" s="470"/>
      <c r="Y165" s="370">
        <f t="shared" si="3"/>
        <v>0</v>
      </c>
      <c r="Z165" s="371"/>
    </row>
    <row r="166" spans="1:26" x14ac:dyDescent="0.25">
      <c r="A166" s="481">
        <v>42228</v>
      </c>
      <c r="B166" s="470"/>
      <c r="C166" s="368">
        <v>42228</v>
      </c>
      <c r="F166" s="482" t="s">
        <v>899</v>
      </c>
      <c r="G166" s="470"/>
      <c r="H166" s="369" t="s">
        <v>659</v>
      </c>
      <c r="I166" s="369" t="s">
        <v>1126</v>
      </c>
      <c r="J166" s="367" t="s">
        <v>1127</v>
      </c>
      <c r="K166" s="482" t="s">
        <v>1128</v>
      </c>
      <c r="L166" s="470"/>
      <c r="M166" s="470"/>
      <c r="N166" s="369" t="s">
        <v>655</v>
      </c>
      <c r="O166" s="369" t="s">
        <v>753</v>
      </c>
      <c r="P166" s="369" t="s">
        <v>655</v>
      </c>
      <c r="Q166" s="369" t="s">
        <v>753</v>
      </c>
      <c r="R166" s="367" t="s">
        <v>1129</v>
      </c>
      <c r="S166" s="367">
        <v>3471119</v>
      </c>
      <c r="T166" s="483">
        <v>586.79999999999995</v>
      </c>
      <c r="U166" s="470"/>
      <c r="V166" s="483">
        <v>0</v>
      </c>
      <c r="W166" s="470"/>
      <c r="X166" s="470"/>
      <c r="Y166" s="370">
        <f t="shared" si="3"/>
        <v>0</v>
      </c>
      <c r="Z166" s="371"/>
    </row>
    <row r="167" spans="1:26" x14ac:dyDescent="0.25">
      <c r="A167" s="481">
        <v>42230</v>
      </c>
      <c r="B167" s="470"/>
      <c r="C167" s="368">
        <v>42236</v>
      </c>
      <c r="F167" s="482" t="s">
        <v>697</v>
      </c>
      <c r="G167" s="470"/>
      <c r="H167" s="369" t="s">
        <v>659</v>
      </c>
      <c r="I167" s="369" t="s">
        <v>674</v>
      </c>
      <c r="J167" s="367" t="s">
        <v>675</v>
      </c>
      <c r="K167" s="482" t="s">
        <v>676</v>
      </c>
      <c r="L167" s="470"/>
      <c r="M167" s="470"/>
      <c r="N167" s="369" t="s">
        <v>655</v>
      </c>
      <c r="O167" s="369" t="s">
        <v>655</v>
      </c>
      <c r="P167" s="369" t="s">
        <v>655</v>
      </c>
      <c r="Q167" s="369" t="s">
        <v>655</v>
      </c>
      <c r="R167" s="367" t="s">
        <v>698</v>
      </c>
      <c r="S167" s="367">
        <v>3470816</v>
      </c>
      <c r="T167" s="483">
        <v>586.79999999999995</v>
      </c>
      <c r="U167" s="470"/>
      <c r="V167" s="483">
        <v>0</v>
      </c>
      <c r="W167" s="470"/>
      <c r="X167" s="470"/>
      <c r="Y167" s="370">
        <f t="shared" si="3"/>
        <v>0</v>
      </c>
      <c r="Z167" s="371"/>
    </row>
    <row r="168" spans="1:26" x14ac:dyDescent="0.25">
      <c r="A168" s="481">
        <v>42230</v>
      </c>
      <c r="B168" s="470"/>
      <c r="C168" s="368">
        <v>42230</v>
      </c>
      <c r="F168" s="482" t="s">
        <v>673</v>
      </c>
      <c r="G168" s="470"/>
      <c r="H168" s="369" t="s">
        <v>659</v>
      </c>
      <c r="I168" s="369" t="s">
        <v>1130</v>
      </c>
      <c r="J168" s="367" t="s">
        <v>799</v>
      </c>
      <c r="K168" s="482" t="s">
        <v>918</v>
      </c>
      <c r="L168" s="470"/>
      <c r="M168" s="470"/>
      <c r="N168" s="369" t="s">
        <v>655</v>
      </c>
      <c r="O168" s="369" t="s">
        <v>753</v>
      </c>
      <c r="P168" s="369" t="s">
        <v>655</v>
      </c>
      <c r="Q168" s="369" t="s">
        <v>753</v>
      </c>
      <c r="R168" s="367" t="s">
        <v>1131</v>
      </c>
      <c r="S168" s="367">
        <v>3484326</v>
      </c>
      <c r="T168" s="483">
        <v>586.79999999999995</v>
      </c>
      <c r="U168" s="470"/>
      <c r="V168" s="483">
        <v>0</v>
      </c>
      <c r="W168" s="470"/>
      <c r="X168" s="470"/>
      <c r="Y168" s="370">
        <f t="shared" si="3"/>
        <v>0</v>
      </c>
      <c r="Z168" s="371"/>
    </row>
    <row r="169" spans="1:26" x14ac:dyDescent="0.25">
      <c r="A169" s="481">
        <v>42231</v>
      </c>
      <c r="B169" s="470"/>
      <c r="C169" s="368">
        <v>42231</v>
      </c>
      <c r="F169" s="482" t="s">
        <v>673</v>
      </c>
      <c r="G169" s="470"/>
      <c r="H169" s="369" t="s">
        <v>659</v>
      </c>
      <c r="I169" s="369" t="s">
        <v>1132</v>
      </c>
      <c r="J169" s="367" t="s">
        <v>1020</v>
      </c>
      <c r="K169" s="482" t="s">
        <v>944</v>
      </c>
      <c r="L169" s="470"/>
      <c r="M169" s="470"/>
      <c r="N169" s="369" t="s">
        <v>655</v>
      </c>
      <c r="O169" s="369" t="s">
        <v>753</v>
      </c>
      <c r="P169" s="369" t="s">
        <v>655</v>
      </c>
      <c r="Q169" s="369" t="s">
        <v>753</v>
      </c>
      <c r="R169" s="367" t="s">
        <v>1133</v>
      </c>
      <c r="S169" s="367">
        <v>3486753</v>
      </c>
      <c r="T169" s="483">
        <v>586.79999999999995</v>
      </c>
      <c r="U169" s="470"/>
      <c r="V169" s="483">
        <v>0</v>
      </c>
      <c r="W169" s="470"/>
      <c r="X169" s="470"/>
      <c r="Y169" s="370">
        <f t="shared" si="3"/>
        <v>0</v>
      </c>
      <c r="Z169" s="371"/>
    </row>
    <row r="170" spans="1:26" x14ac:dyDescent="0.25">
      <c r="A170" s="481">
        <v>42231</v>
      </c>
      <c r="B170" s="470"/>
      <c r="C170" s="368">
        <v>42231</v>
      </c>
      <c r="F170" s="482" t="s">
        <v>673</v>
      </c>
      <c r="G170" s="470"/>
      <c r="H170" s="369" t="s">
        <v>659</v>
      </c>
      <c r="I170" s="369" t="s">
        <v>1134</v>
      </c>
      <c r="J170" s="367" t="s">
        <v>1135</v>
      </c>
      <c r="K170" s="482" t="s">
        <v>1136</v>
      </c>
      <c r="L170" s="470"/>
      <c r="M170" s="470"/>
      <c r="N170" s="369" t="s">
        <v>655</v>
      </c>
      <c r="O170" s="369" t="s">
        <v>655</v>
      </c>
      <c r="P170" s="369" t="s">
        <v>655</v>
      </c>
      <c r="Q170" s="369" t="s">
        <v>655</v>
      </c>
      <c r="R170" s="367" t="s">
        <v>1137</v>
      </c>
      <c r="S170" s="367">
        <v>3484333</v>
      </c>
      <c r="T170" s="483">
        <v>586.79999999999995</v>
      </c>
      <c r="U170" s="470"/>
      <c r="V170" s="483">
        <v>0</v>
      </c>
      <c r="W170" s="470"/>
      <c r="X170" s="470"/>
      <c r="Y170" s="370">
        <f t="shared" si="3"/>
        <v>0</v>
      </c>
      <c r="Z170" s="371">
        <v>8</v>
      </c>
    </row>
    <row r="171" spans="1:26" ht="22.5" x14ac:dyDescent="0.25">
      <c r="A171" s="481">
        <v>42232</v>
      </c>
      <c r="B171" s="470"/>
      <c r="C171" s="368">
        <v>42232</v>
      </c>
      <c r="F171" s="482" t="s">
        <v>673</v>
      </c>
      <c r="G171" s="470"/>
      <c r="H171" s="369" t="s">
        <v>659</v>
      </c>
      <c r="I171" s="369" t="s">
        <v>1138</v>
      </c>
      <c r="J171" s="367" t="s">
        <v>1139</v>
      </c>
      <c r="K171" s="482" t="s">
        <v>1140</v>
      </c>
      <c r="L171" s="470"/>
      <c r="M171" s="470"/>
      <c r="N171" s="369" t="s">
        <v>655</v>
      </c>
      <c r="O171" s="369" t="s">
        <v>655</v>
      </c>
      <c r="P171" s="369" t="s">
        <v>655</v>
      </c>
      <c r="Q171" s="369" t="s">
        <v>655</v>
      </c>
      <c r="R171" s="367" t="s">
        <v>1141</v>
      </c>
      <c r="S171" s="367">
        <v>3484313</v>
      </c>
      <c r="T171" s="483">
        <v>586.79999999999995</v>
      </c>
      <c r="U171" s="470"/>
      <c r="V171" s="483">
        <v>1778.32</v>
      </c>
      <c r="W171" s="470"/>
      <c r="X171" s="470"/>
      <c r="Y171" s="370">
        <f t="shared" si="3"/>
        <v>1778.32</v>
      </c>
      <c r="Z171" s="371"/>
    </row>
    <row r="172" spans="1:26" x14ac:dyDescent="0.25">
      <c r="A172" s="481">
        <v>42234</v>
      </c>
      <c r="B172" s="470"/>
      <c r="C172" s="368">
        <v>42235</v>
      </c>
      <c r="F172" s="482" t="s">
        <v>673</v>
      </c>
      <c r="G172" s="470"/>
      <c r="H172" s="369" t="s">
        <v>659</v>
      </c>
      <c r="I172" s="369" t="s">
        <v>1142</v>
      </c>
      <c r="J172" s="367" t="s">
        <v>1143</v>
      </c>
      <c r="K172" s="482" t="s">
        <v>1144</v>
      </c>
      <c r="L172" s="470"/>
      <c r="M172" s="470"/>
      <c r="N172" s="369" t="s">
        <v>655</v>
      </c>
      <c r="O172" s="369" t="s">
        <v>753</v>
      </c>
      <c r="P172" s="369" t="s">
        <v>655</v>
      </c>
      <c r="Q172" s="369" t="s">
        <v>753</v>
      </c>
      <c r="R172" s="367" t="s">
        <v>1145</v>
      </c>
      <c r="S172" s="367">
        <v>3494335</v>
      </c>
      <c r="T172" s="483">
        <v>586.79999999999995</v>
      </c>
      <c r="U172" s="470"/>
      <c r="V172" s="483">
        <v>0</v>
      </c>
      <c r="W172" s="470"/>
      <c r="X172" s="470"/>
      <c r="Y172" s="370">
        <f t="shared" si="3"/>
        <v>0</v>
      </c>
      <c r="Z172" s="371"/>
    </row>
    <row r="173" spans="1:26" x14ac:dyDescent="0.25">
      <c r="A173" s="481">
        <v>42235</v>
      </c>
      <c r="B173" s="470"/>
      <c r="C173" s="368">
        <v>42236</v>
      </c>
      <c r="F173" s="482" t="s">
        <v>673</v>
      </c>
      <c r="G173" s="470"/>
      <c r="H173" s="369" t="s">
        <v>659</v>
      </c>
      <c r="I173" s="369" t="s">
        <v>991</v>
      </c>
      <c r="J173" s="367" t="s">
        <v>992</v>
      </c>
      <c r="K173" s="482" t="s">
        <v>993</v>
      </c>
      <c r="L173" s="470"/>
      <c r="M173" s="470"/>
      <c r="N173" s="369" t="s">
        <v>655</v>
      </c>
      <c r="O173" s="369" t="s">
        <v>655</v>
      </c>
      <c r="P173" s="369" t="s">
        <v>655</v>
      </c>
      <c r="Q173" s="369" t="s">
        <v>655</v>
      </c>
      <c r="R173" s="367" t="s">
        <v>1146</v>
      </c>
      <c r="S173" s="367">
        <v>3499465</v>
      </c>
      <c r="T173" s="483">
        <v>586.79999999999995</v>
      </c>
      <c r="U173" s="470"/>
      <c r="V173" s="483">
        <v>330.97</v>
      </c>
      <c r="W173" s="470"/>
      <c r="X173" s="470"/>
      <c r="Y173" s="370">
        <f t="shared" si="3"/>
        <v>330.97</v>
      </c>
      <c r="Z173" s="371"/>
    </row>
    <row r="174" spans="1:26" x14ac:dyDescent="0.25">
      <c r="A174" s="481">
        <v>42236</v>
      </c>
      <c r="B174" s="470"/>
      <c r="C174" s="368">
        <v>42236</v>
      </c>
      <c r="F174" s="482" t="s">
        <v>673</v>
      </c>
      <c r="G174" s="470"/>
      <c r="H174" s="369" t="s">
        <v>659</v>
      </c>
      <c r="I174" s="369" t="s">
        <v>1147</v>
      </c>
      <c r="J174" s="367" t="s">
        <v>1148</v>
      </c>
      <c r="K174" s="482" t="s">
        <v>1149</v>
      </c>
      <c r="L174" s="470"/>
      <c r="M174" s="470"/>
      <c r="N174" s="369" t="s">
        <v>655</v>
      </c>
      <c r="O174" s="369" t="s">
        <v>655</v>
      </c>
      <c r="P174" s="369" t="s">
        <v>655</v>
      </c>
      <c r="Q174" s="369" t="s">
        <v>655</v>
      </c>
      <c r="R174" s="367" t="s">
        <v>1150</v>
      </c>
      <c r="S174" s="367">
        <v>3505903</v>
      </c>
      <c r="T174" s="483">
        <v>586.79999999999995</v>
      </c>
      <c r="U174" s="470"/>
      <c r="V174" s="483">
        <v>849.77</v>
      </c>
      <c r="W174" s="470"/>
      <c r="X174" s="470"/>
      <c r="Y174" s="370">
        <f t="shared" si="3"/>
        <v>849.77</v>
      </c>
      <c r="Z174" s="371"/>
    </row>
    <row r="175" spans="1:26" x14ac:dyDescent="0.25">
      <c r="A175" s="481">
        <v>42237</v>
      </c>
      <c r="B175" s="470"/>
      <c r="C175" s="368">
        <v>42237</v>
      </c>
      <c r="F175" s="482" t="s">
        <v>699</v>
      </c>
      <c r="G175" s="470"/>
      <c r="H175" s="369" t="s">
        <v>659</v>
      </c>
      <c r="I175" s="369" t="s">
        <v>700</v>
      </c>
      <c r="J175" s="367" t="s">
        <v>701</v>
      </c>
      <c r="K175" s="482" t="s">
        <v>702</v>
      </c>
      <c r="L175" s="470"/>
      <c r="M175" s="470"/>
      <c r="N175" s="369" t="s">
        <v>655</v>
      </c>
      <c r="O175" s="369" t="s">
        <v>655</v>
      </c>
      <c r="P175" s="369" t="s">
        <v>655</v>
      </c>
      <c r="Q175" s="369" t="s">
        <v>655</v>
      </c>
      <c r="R175" s="367" t="s">
        <v>703</v>
      </c>
      <c r="S175" s="367">
        <v>3508843</v>
      </c>
      <c r="T175" s="483">
        <v>586.79999999999995</v>
      </c>
      <c r="U175" s="470"/>
      <c r="V175" s="483">
        <v>1307.78</v>
      </c>
      <c r="W175" s="470"/>
      <c r="X175" s="470"/>
      <c r="Y175" s="370">
        <f t="shared" si="3"/>
        <v>1307.78</v>
      </c>
      <c r="Z175" s="371"/>
    </row>
    <row r="176" spans="1:26" ht="22.5" x14ac:dyDescent="0.25">
      <c r="A176" s="481">
        <v>42239</v>
      </c>
      <c r="B176" s="470"/>
      <c r="C176" s="368">
        <v>42240</v>
      </c>
      <c r="F176" s="482" t="s">
        <v>777</v>
      </c>
      <c r="G176" s="470"/>
      <c r="H176" s="369" t="s">
        <v>659</v>
      </c>
      <c r="I176" s="369" t="s">
        <v>1151</v>
      </c>
      <c r="J176" s="367" t="s">
        <v>1152</v>
      </c>
      <c r="K176" s="482" t="s">
        <v>1153</v>
      </c>
      <c r="L176" s="470"/>
      <c r="M176" s="470"/>
      <c r="N176" s="369" t="s">
        <v>655</v>
      </c>
      <c r="O176" s="369" t="s">
        <v>753</v>
      </c>
      <c r="P176" s="369" t="s">
        <v>655</v>
      </c>
      <c r="Q176" s="369" t="s">
        <v>753</v>
      </c>
      <c r="R176" s="367" t="s">
        <v>1154</v>
      </c>
      <c r="S176" s="367">
        <v>3524373</v>
      </c>
      <c r="T176" s="483">
        <v>586.79999999999995</v>
      </c>
      <c r="U176" s="470"/>
      <c r="V176" s="483">
        <v>0</v>
      </c>
      <c r="W176" s="470"/>
      <c r="X176" s="470"/>
      <c r="Y176" s="370">
        <f t="shared" si="3"/>
        <v>0</v>
      </c>
      <c r="Z176" s="371"/>
    </row>
    <row r="177" spans="1:26" ht="22.5" x14ac:dyDescent="0.25">
      <c r="A177" s="481">
        <v>42239</v>
      </c>
      <c r="B177" s="470"/>
      <c r="C177" s="368">
        <v>42239</v>
      </c>
      <c r="F177" s="482" t="s">
        <v>697</v>
      </c>
      <c r="G177" s="470"/>
      <c r="H177" s="369" t="s">
        <v>659</v>
      </c>
      <c r="I177" s="369" t="s">
        <v>1155</v>
      </c>
      <c r="J177" s="367" t="s">
        <v>1156</v>
      </c>
      <c r="K177" s="482" t="s">
        <v>1157</v>
      </c>
      <c r="L177" s="470"/>
      <c r="M177" s="470"/>
      <c r="N177" s="369" t="s">
        <v>655</v>
      </c>
      <c r="O177" s="369" t="s">
        <v>753</v>
      </c>
      <c r="P177" s="369" t="s">
        <v>655</v>
      </c>
      <c r="Q177" s="369" t="s">
        <v>753</v>
      </c>
      <c r="R177" s="367" t="s">
        <v>1158</v>
      </c>
      <c r="S177" s="367">
        <v>3524398</v>
      </c>
      <c r="T177" s="483">
        <v>586.79999999999995</v>
      </c>
      <c r="U177" s="470"/>
      <c r="V177" s="483">
        <v>0</v>
      </c>
      <c r="W177" s="470"/>
      <c r="X177" s="470"/>
      <c r="Y177" s="370">
        <f t="shared" si="3"/>
        <v>0</v>
      </c>
      <c r="Z177" s="371"/>
    </row>
    <row r="178" spans="1:26" x14ac:dyDescent="0.25">
      <c r="A178" s="481">
        <v>42244</v>
      </c>
      <c r="B178" s="470"/>
      <c r="C178" s="368">
        <v>42244</v>
      </c>
      <c r="F178" s="482" t="s">
        <v>684</v>
      </c>
      <c r="G178" s="470"/>
      <c r="H178" s="369" t="s">
        <v>659</v>
      </c>
      <c r="I178" s="369" t="s">
        <v>1159</v>
      </c>
      <c r="J178" s="367" t="s">
        <v>1115</v>
      </c>
      <c r="K178" s="482" t="s">
        <v>1160</v>
      </c>
      <c r="L178" s="470"/>
      <c r="M178" s="470"/>
      <c r="N178" s="369" t="s">
        <v>655</v>
      </c>
      <c r="O178" s="369" t="s">
        <v>655</v>
      </c>
      <c r="P178" s="369" t="s">
        <v>655</v>
      </c>
      <c r="Q178" s="369" t="s">
        <v>655</v>
      </c>
      <c r="R178" s="367" t="s">
        <v>1161</v>
      </c>
      <c r="S178" s="367">
        <v>3555366</v>
      </c>
      <c r="T178" s="483">
        <v>586.79999999999995</v>
      </c>
      <c r="U178" s="470"/>
      <c r="V178" s="483">
        <v>1164.92</v>
      </c>
      <c r="W178" s="470"/>
      <c r="X178" s="470"/>
      <c r="Y178" s="370">
        <f t="shared" si="3"/>
        <v>1164.92</v>
      </c>
      <c r="Z178" s="371">
        <v>5</v>
      </c>
    </row>
    <row r="179" spans="1:26" x14ac:dyDescent="0.25">
      <c r="A179" s="481">
        <v>42246</v>
      </c>
      <c r="B179" s="470"/>
      <c r="C179" s="368">
        <v>42246</v>
      </c>
      <c r="F179" s="482" t="s">
        <v>697</v>
      </c>
      <c r="G179" s="470"/>
      <c r="H179" s="369" t="s">
        <v>659</v>
      </c>
      <c r="I179" s="369" t="s">
        <v>1162</v>
      </c>
      <c r="J179" s="367" t="s">
        <v>1163</v>
      </c>
      <c r="K179" s="482" t="s">
        <v>1164</v>
      </c>
      <c r="L179" s="470"/>
      <c r="M179" s="470"/>
      <c r="N179" s="369" t="s">
        <v>655</v>
      </c>
      <c r="O179" s="369" t="s">
        <v>655</v>
      </c>
      <c r="P179" s="369" t="s">
        <v>655</v>
      </c>
      <c r="Q179" s="369" t="s">
        <v>655</v>
      </c>
      <c r="R179" s="367" t="s">
        <v>1165</v>
      </c>
      <c r="S179" s="367">
        <v>3550077</v>
      </c>
      <c r="T179" s="483">
        <v>586.79999999999995</v>
      </c>
      <c r="U179" s="470"/>
      <c r="V179" s="483">
        <v>-59.93</v>
      </c>
      <c r="W179" s="470"/>
      <c r="X179" s="470"/>
      <c r="Y179" s="370">
        <f t="shared" si="3"/>
        <v>-59.93</v>
      </c>
      <c r="Z179" s="371">
        <v>26</v>
      </c>
    </row>
    <row r="180" spans="1:26" x14ac:dyDescent="0.25">
      <c r="A180" s="481">
        <v>42247</v>
      </c>
      <c r="B180" s="470"/>
      <c r="C180" s="368">
        <v>42247</v>
      </c>
      <c r="F180" s="482" t="s">
        <v>673</v>
      </c>
      <c r="G180" s="470"/>
      <c r="H180" s="369" t="s">
        <v>659</v>
      </c>
      <c r="I180" s="369" t="s">
        <v>1166</v>
      </c>
      <c r="J180" s="367" t="s">
        <v>1148</v>
      </c>
      <c r="K180" s="482" t="s">
        <v>1167</v>
      </c>
      <c r="L180" s="470"/>
      <c r="M180" s="470"/>
      <c r="N180" s="369" t="s">
        <v>655</v>
      </c>
      <c r="O180" s="369" t="s">
        <v>655</v>
      </c>
      <c r="P180" s="369" t="s">
        <v>655</v>
      </c>
      <c r="Q180" s="369" t="s">
        <v>753</v>
      </c>
      <c r="R180" s="367" t="s">
        <v>1168</v>
      </c>
      <c r="S180" s="367">
        <v>3561047</v>
      </c>
      <c r="T180" s="483">
        <v>586.79999999999995</v>
      </c>
      <c r="U180" s="470"/>
      <c r="V180" s="483">
        <v>0</v>
      </c>
      <c r="W180" s="470"/>
      <c r="X180" s="470"/>
      <c r="Y180" s="370">
        <f t="shared" si="3"/>
        <v>0</v>
      </c>
      <c r="Z180" s="371"/>
    </row>
    <row r="181" spans="1:26" x14ac:dyDescent="0.25">
      <c r="A181" s="481">
        <v>42247</v>
      </c>
      <c r="B181" s="470"/>
      <c r="C181" s="368">
        <v>42247</v>
      </c>
      <c r="F181" s="482" t="s">
        <v>673</v>
      </c>
      <c r="G181" s="470"/>
      <c r="H181" s="369" t="s">
        <v>659</v>
      </c>
      <c r="I181" s="369" t="s">
        <v>1169</v>
      </c>
      <c r="J181" s="367" t="s">
        <v>1170</v>
      </c>
      <c r="K181" s="482" t="s">
        <v>1160</v>
      </c>
      <c r="L181" s="470"/>
      <c r="M181" s="470"/>
      <c r="N181" s="369" t="s">
        <v>655</v>
      </c>
      <c r="O181" s="369" t="s">
        <v>753</v>
      </c>
      <c r="P181" s="369" t="s">
        <v>655</v>
      </c>
      <c r="Q181" s="369" t="s">
        <v>655</v>
      </c>
      <c r="R181" s="367" t="s">
        <v>1171</v>
      </c>
      <c r="S181" s="367">
        <v>3590994</v>
      </c>
      <c r="T181" s="483">
        <v>586.79999999999995</v>
      </c>
      <c r="U181" s="470"/>
      <c r="V181" s="483">
        <v>216.18</v>
      </c>
      <c r="W181" s="470"/>
      <c r="X181" s="470"/>
      <c r="Y181" s="370">
        <f t="shared" si="3"/>
        <v>216.18</v>
      </c>
      <c r="Z181" s="371"/>
    </row>
    <row r="182" spans="1:26" x14ac:dyDescent="0.25">
      <c r="A182" s="481">
        <v>42247</v>
      </c>
      <c r="B182" s="470"/>
      <c r="C182" s="368">
        <v>42247</v>
      </c>
      <c r="F182" s="482" t="s">
        <v>673</v>
      </c>
      <c r="G182" s="470"/>
      <c r="H182" s="369" t="s">
        <v>659</v>
      </c>
      <c r="I182" s="369" t="s">
        <v>1172</v>
      </c>
      <c r="J182" s="367" t="s">
        <v>1173</v>
      </c>
      <c r="K182" s="482" t="s">
        <v>1174</v>
      </c>
      <c r="L182" s="470"/>
      <c r="M182" s="470"/>
      <c r="N182" s="369" t="s">
        <v>655</v>
      </c>
      <c r="O182" s="369" t="s">
        <v>753</v>
      </c>
      <c r="P182" s="369" t="s">
        <v>655</v>
      </c>
      <c r="Q182" s="369" t="s">
        <v>655</v>
      </c>
      <c r="R182" s="367" t="s">
        <v>1175</v>
      </c>
      <c r="S182" s="367">
        <v>3552991</v>
      </c>
      <c r="T182" s="483">
        <v>586.79999999999995</v>
      </c>
      <c r="U182" s="470"/>
      <c r="V182" s="483">
        <v>1141.8399999999999</v>
      </c>
      <c r="W182" s="470"/>
      <c r="X182" s="470"/>
      <c r="Y182" s="370">
        <f t="shared" si="3"/>
        <v>1141.8399999999999</v>
      </c>
      <c r="Z182" s="371">
        <v>4</v>
      </c>
    </row>
    <row r="183" spans="1:26" x14ac:dyDescent="0.25">
      <c r="A183" s="481">
        <v>42247</v>
      </c>
      <c r="B183" s="470"/>
      <c r="C183" s="368">
        <v>42248</v>
      </c>
      <c r="F183" s="482" t="s">
        <v>697</v>
      </c>
      <c r="G183" s="470"/>
      <c r="H183" s="369" t="s">
        <v>659</v>
      </c>
      <c r="I183" s="369" t="s">
        <v>1176</v>
      </c>
      <c r="J183" s="367" t="s">
        <v>1177</v>
      </c>
      <c r="K183" s="482" t="s">
        <v>1178</v>
      </c>
      <c r="L183" s="470"/>
      <c r="M183" s="470"/>
      <c r="N183" s="369" t="s">
        <v>655</v>
      </c>
      <c r="O183" s="369" t="s">
        <v>655</v>
      </c>
      <c r="P183" s="369" t="s">
        <v>655</v>
      </c>
      <c r="Q183" s="369" t="s">
        <v>753</v>
      </c>
      <c r="R183" s="367" t="s">
        <v>1179</v>
      </c>
      <c r="S183" s="367">
        <v>3561111</v>
      </c>
      <c r="T183" s="483">
        <v>586.79999999999995</v>
      </c>
      <c r="U183" s="470"/>
      <c r="V183" s="483">
        <v>0</v>
      </c>
      <c r="W183" s="470"/>
      <c r="X183" s="470"/>
      <c r="Y183" s="370">
        <f t="shared" si="3"/>
        <v>0</v>
      </c>
      <c r="Z183" s="371"/>
    </row>
    <row r="184" spans="1:26" x14ac:dyDescent="0.25">
      <c r="A184" s="481">
        <v>42248</v>
      </c>
      <c r="B184" s="470"/>
      <c r="C184" s="368">
        <v>42248</v>
      </c>
      <c r="F184" s="482" t="s">
        <v>673</v>
      </c>
      <c r="G184" s="470"/>
      <c r="H184" s="369" t="s">
        <v>659</v>
      </c>
      <c r="I184" s="369" t="s">
        <v>1180</v>
      </c>
      <c r="J184" s="367" t="s">
        <v>1181</v>
      </c>
      <c r="K184" s="482" t="s">
        <v>1182</v>
      </c>
      <c r="L184" s="470"/>
      <c r="M184" s="470"/>
      <c r="N184" s="369" t="s">
        <v>655</v>
      </c>
      <c r="O184" s="369" t="s">
        <v>655</v>
      </c>
      <c r="P184" s="369" t="s">
        <v>655</v>
      </c>
      <c r="Q184" s="369" t="s">
        <v>655</v>
      </c>
      <c r="R184" s="367" t="s">
        <v>1183</v>
      </c>
      <c r="S184" s="367">
        <v>3566354</v>
      </c>
      <c r="T184" s="483">
        <v>586.79999999999995</v>
      </c>
      <c r="U184" s="470"/>
      <c r="V184" s="483">
        <v>220.53</v>
      </c>
      <c r="W184" s="470"/>
      <c r="X184" s="470"/>
      <c r="Y184" s="370">
        <f t="shared" si="3"/>
        <v>220.53</v>
      </c>
      <c r="Z184" s="371"/>
    </row>
    <row r="185" spans="1:26" x14ac:dyDescent="0.25">
      <c r="A185" s="481">
        <v>42249</v>
      </c>
      <c r="B185" s="470"/>
      <c r="C185" s="368">
        <v>42249</v>
      </c>
      <c r="F185" s="482" t="s">
        <v>740</v>
      </c>
      <c r="G185" s="470"/>
      <c r="H185" s="369" t="s">
        <v>659</v>
      </c>
      <c r="I185" s="369" t="s">
        <v>1184</v>
      </c>
      <c r="J185" s="367" t="s">
        <v>1185</v>
      </c>
      <c r="K185" s="482" t="s">
        <v>1124</v>
      </c>
      <c r="L185" s="470"/>
      <c r="M185" s="470"/>
      <c r="N185" s="369" t="s">
        <v>655</v>
      </c>
      <c r="O185" s="369" t="s">
        <v>753</v>
      </c>
      <c r="P185" s="369" t="s">
        <v>655</v>
      </c>
      <c r="Q185" s="369" t="s">
        <v>753</v>
      </c>
      <c r="R185" s="367" t="s">
        <v>1186</v>
      </c>
      <c r="S185" s="367">
        <v>3569389</v>
      </c>
      <c r="T185" s="483">
        <v>586.79999999999995</v>
      </c>
      <c r="U185" s="470"/>
      <c r="V185" s="483">
        <v>0</v>
      </c>
      <c r="W185" s="470"/>
      <c r="X185" s="470"/>
      <c r="Y185" s="370">
        <f t="shared" si="3"/>
        <v>0</v>
      </c>
      <c r="Z185" s="371"/>
    </row>
    <row r="186" spans="1:26" x14ac:dyDescent="0.25">
      <c r="A186" s="481">
        <v>42251</v>
      </c>
      <c r="B186" s="470"/>
      <c r="C186" s="368">
        <v>42251</v>
      </c>
      <c r="F186" s="482" t="s">
        <v>678</v>
      </c>
      <c r="G186" s="470"/>
      <c r="H186" s="369" t="s">
        <v>659</v>
      </c>
      <c r="I186" s="369" t="s">
        <v>1184</v>
      </c>
      <c r="J186" s="367" t="s">
        <v>1185</v>
      </c>
      <c r="K186" s="482" t="s">
        <v>1124</v>
      </c>
      <c r="L186" s="470"/>
      <c r="M186" s="470"/>
      <c r="N186" s="369" t="s">
        <v>655</v>
      </c>
      <c r="O186" s="369" t="s">
        <v>655</v>
      </c>
      <c r="P186" s="369" t="s">
        <v>655</v>
      </c>
      <c r="Q186" s="369" t="s">
        <v>655</v>
      </c>
      <c r="R186" s="367" t="s">
        <v>1187</v>
      </c>
      <c r="S186" s="367">
        <v>3578441</v>
      </c>
      <c r="T186" s="483">
        <v>586.79999999999995</v>
      </c>
      <c r="U186" s="470"/>
      <c r="V186" s="483">
        <v>1174.81</v>
      </c>
      <c r="W186" s="470"/>
      <c r="X186" s="470"/>
      <c r="Y186" s="370">
        <f t="shared" si="3"/>
        <v>1174.81</v>
      </c>
      <c r="Z186" s="371"/>
    </row>
    <row r="187" spans="1:26" x14ac:dyDescent="0.25">
      <c r="A187" s="481">
        <v>42252</v>
      </c>
      <c r="B187" s="470"/>
      <c r="C187" s="368">
        <v>42252</v>
      </c>
      <c r="F187" s="482" t="s">
        <v>684</v>
      </c>
      <c r="G187" s="470"/>
      <c r="H187" s="369" t="s">
        <v>659</v>
      </c>
      <c r="I187" s="369" t="s">
        <v>1188</v>
      </c>
      <c r="J187" s="367" t="s">
        <v>1189</v>
      </c>
      <c r="K187" s="482" t="s">
        <v>1190</v>
      </c>
      <c r="L187" s="470"/>
      <c r="M187" s="470"/>
      <c r="N187" s="369" t="s">
        <v>655</v>
      </c>
      <c r="O187" s="369" t="s">
        <v>753</v>
      </c>
      <c r="P187" s="369" t="s">
        <v>655</v>
      </c>
      <c r="Q187" s="369" t="s">
        <v>753</v>
      </c>
      <c r="R187" s="367" t="s">
        <v>1191</v>
      </c>
      <c r="S187" s="367">
        <v>3591449</v>
      </c>
      <c r="T187" s="483">
        <v>586.79999999999995</v>
      </c>
      <c r="U187" s="470"/>
      <c r="V187" s="483">
        <v>0</v>
      </c>
      <c r="W187" s="470"/>
      <c r="X187" s="470"/>
      <c r="Y187" s="370">
        <f t="shared" si="3"/>
        <v>0</v>
      </c>
      <c r="Z187" s="371"/>
    </row>
    <row r="188" spans="1:26" x14ac:dyDescent="0.25">
      <c r="A188" s="481">
        <v>42252</v>
      </c>
      <c r="B188" s="470"/>
      <c r="C188" s="368">
        <v>42252</v>
      </c>
      <c r="F188" s="482" t="s">
        <v>673</v>
      </c>
      <c r="G188" s="470"/>
      <c r="H188" s="369" t="s">
        <v>659</v>
      </c>
      <c r="I188" s="369" t="s">
        <v>1192</v>
      </c>
      <c r="J188" s="367" t="s">
        <v>1193</v>
      </c>
      <c r="K188" s="482" t="s">
        <v>1194</v>
      </c>
      <c r="L188" s="470"/>
      <c r="M188" s="470"/>
      <c r="N188" s="369" t="s">
        <v>655</v>
      </c>
      <c r="O188" s="369" t="s">
        <v>753</v>
      </c>
      <c r="P188" s="369" t="s">
        <v>655</v>
      </c>
      <c r="Q188" s="369" t="s">
        <v>753</v>
      </c>
      <c r="R188" s="367" t="s">
        <v>1195</v>
      </c>
      <c r="S188" s="367">
        <v>3591498</v>
      </c>
      <c r="T188" s="483">
        <v>586.79999999999995</v>
      </c>
      <c r="U188" s="470"/>
      <c r="V188" s="483">
        <v>0</v>
      </c>
      <c r="W188" s="470"/>
      <c r="X188" s="470"/>
      <c r="Y188" s="370">
        <f t="shared" si="3"/>
        <v>0</v>
      </c>
      <c r="Z188" s="371">
        <v>3</v>
      </c>
    </row>
    <row r="189" spans="1:26" x14ac:dyDescent="0.25">
      <c r="A189" s="481">
        <v>42253</v>
      </c>
      <c r="B189" s="470"/>
      <c r="C189" s="368">
        <v>42253</v>
      </c>
      <c r="F189" s="482" t="s">
        <v>740</v>
      </c>
      <c r="G189" s="470"/>
      <c r="H189" s="369" t="s">
        <v>659</v>
      </c>
      <c r="I189" s="369" t="s">
        <v>1196</v>
      </c>
      <c r="J189" s="367" t="s">
        <v>1197</v>
      </c>
      <c r="K189" s="482" t="s">
        <v>1198</v>
      </c>
      <c r="L189" s="470"/>
      <c r="M189" s="470"/>
      <c r="N189" s="369" t="s">
        <v>655</v>
      </c>
      <c r="O189" s="369" t="s">
        <v>753</v>
      </c>
      <c r="P189" s="369" t="s">
        <v>655</v>
      </c>
      <c r="Q189" s="369" t="s">
        <v>655</v>
      </c>
      <c r="R189" s="367" t="s">
        <v>1199</v>
      </c>
      <c r="S189" s="367">
        <v>3585088</v>
      </c>
      <c r="T189" s="483">
        <v>586.79999999999995</v>
      </c>
      <c r="U189" s="470"/>
      <c r="V189" s="483">
        <v>250.89</v>
      </c>
      <c r="W189" s="470"/>
      <c r="X189" s="470"/>
      <c r="Y189" s="370">
        <f t="shared" si="3"/>
        <v>250.89</v>
      </c>
      <c r="Z189" s="371"/>
    </row>
    <row r="190" spans="1:26" x14ac:dyDescent="0.25">
      <c r="A190" s="481">
        <v>42253</v>
      </c>
      <c r="B190" s="470"/>
      <c r="C190" s="368">
        <v>42253</v>
      </c>
      <c r="F190" s="482" t="s">
        <v>673</v>
      </c>
      <c r="G190" s="470"/>
      <c r="H190" s="369" t="s">
        <v>659</v>
      </c>
      <c r="I190" s="369" t="s">
        <v>1200</v>
      </c>
      <c r="J190" s="367" t="s">
        <v>1201</v>
      </c>
      <c r="K190" s="482" t="s">
        <v>816</v>
      </c>
      <c r="L190" s="470"/>
      <c r="M190" s="470"/>
      <c r="N190" s="369" t="s">
        <v>655</v>
      </c>
      <c r="O190" s="369" t="s">
        <v>753</v>
      </c>
      <c r="P190" s="369" t="s">
        <v>655</v>
      </c>
      <c r="Q190" s="369" t="s">
        <v>655</v>
      </c>
      <c r="R190" s="367" t="s">
        <v>1202</v>
      </c>
      <c r="S190" s="367">
        <v>3585082</v>
      </c>
      <c r="T190" s="483">
        <v>586.79999999999995</v>
      </c>
      <c r="U190" s="470"/>
      <c r="V190" s="483">
        <v>305.3</v>
      </c>
      <c r="W190" s="470"/>
      <c r="X190" s="470"/>
      <c r="Y190" s="370">
        <f t="shared" si="3"/>
        <v>305.3</v>
      </c>
      <c r="Z190" s="371">
        <v>1</v>
      </c>
    </row>
    <row r="191" spans="1:26" x14ac:dyDescent="0.25">
      <c r="A191" s="481">
        <v>42253</v>
      </c>
      <c r="B191" s="470"/>
      <c r="C191" s="368">
        <v>42253</v>
      </c>
      <c r="F191" s="482" t="s">
        <v>740</v>
      </c>
      <c r="G191" s="470"/>
      <c r="H191" s="369" t="s">
        <v>659</v>
      </c>
      <c r="I191" s="369" t="s">
        <v>1203</v>
      </c>
      <c r="J191" s="367" t="s">
        <v>1088</v>
      </c>
      <c r="K191" s="482" t="s">
        <v>681</v>
      </c>
      <c r="L191" s="470"/>
      <c r="M191" s="470"/>
      <c r="N191" s="369" t="s">
        <v>655</v>
      </c>
      <c r="O191" s="369" t="s">
        <v>753</v>
      </c>
      <c r="P191" s="369" t="s">
        <v>655</v>
      </c>
      <c r="Q191" s="369" t="s">
        <v>655</v>
      </c>
      <c r="R191" s="367" t="s">
        <v>1204</v>
      </c>
      <c r="S191" s="367">
        <v>3585091</v>
      </c>
      <c r="T191" s="483">
        <v>586.79999999999995</v>
      </c>
      <c r="U191" s="470"/>
      <c r="V191" s="483">
        <v>166.12</v>
      </c>
      <c r="W191" s="470"/>
      <c r="X191" s="470"/>
      <c r="Y191" s="370">
        <f t="shared" si="3"/>
        <v>166.12</v>
      </c>
      <c r="Z191" s="371"/>
    </row>
    <row r="192" spans="1:26" x14ac:dyDescent="0.25">
      <c r="A192" s="481">
        <v>42254</v>
      </c>
      <c r="B192" s="470"/>
      <c r="C192" s="368">
        <v>42261</v>
      </c>
      <c r="F192" s="482" t="s">
        <v>678</v>
      </c>
      <c r="G192" s="470"/>
      <c r="H192" s="369" t="s">
        <v>659</v>
      </c>
      <c r="I192" s="369" t="s">
        <v>674</v>
      </c>
      <c r="J192" s="367" t="s">
        <v>675</v>
      </c>
      <c r="K192" s="482" t="s">
        <v>676</v>
      </c>
      <c r="L192" s="470"/>
      <c r="M192" s="470"/>
      <c r="N192" s="369" t="s">
        <v>655</v>
      </c>
      <c r="O192" s="369" t="s">
        <v>655</v>
      </c>
      <c r="P192" s="369" t="s">
        <v>655</v>
      </c>
      <c r="Q192" s="369" t="s">
        <v>655</v>
      </c>
      <c r="R192" s="367" t="s">
        <v>704</v>
      </c>
      <c r="S192" s="367">
        <v>3588397</v>
      </c>
      <c r="T192" s="483">
        <v>586.79999999999995</v>
      </c>
      <c r="U192" s="470"/>
      <c r="V192" s="483">
        <v>0</v>
      </c>
      <c r="W192" s="470"/>
      <c r="X192" s="470"/>
      <c r="Y192" s="370">
        <f t="shared" si="3"/>
        <v>0</v>
      </c>
      <c r="Z192" s="371">
        <v>1</v>
      </c>
    </row>
    <row r="193" spans="1:26" x14ac:dyDescent="0.25">
      <c r="A193" s="481">
        <v>42256</v>
      </c>
      <c r="B193" s="470"/>
      <c r="C193" s="368">
        <v>42256</v>
      </c>
      <c r="F193" s="482" t="s">
        <v>673</v>
      </c>
      <c r="G193" s="470"/>
      <c r="H193" s="369" t="s">
        <v>659</v>
      </c>
      <c r="I193" s="369" t="s">
        <v>1205</v>
      </c>
      <c r="J193" s="367" t="s">
        <v>1206</v>
      </c>
      <c r="K193" s="482" t="s">
        <v>1207</v>
      </c>
      <c r="L193" s="470"/>
      <c r="M193" s="470"/>
      <c r="N193" s="369" t="s">
        <v>655</v>
      </c>
      <c r="O193" s="369" t="s">
        <v>753</v>
      </c>
      <c r="P193" s="369" t="s">
        <v>655</v>
      </c>
      <c r="Q193" s="369" t="s">
        <v>753</v>
      </c>
      <c r="R193" s="367" t="s">
        <v>1208</v>
      </c>
      <c r="S193" s="367">
        <v>3627457</v>
      </c>
      <c r="T193" s="483">
        <v>586.79999999999995</v>
      </c>
      <c r="U193" s="470"/>
      <c r="V193" s="483">
        <v>0</v>
      </c>
      <c r="W193" s="470"/>
      <c r="X193" s="470"/>
      <c r="Y193" s="370">
        <f t="shared" si="3"/>
        <v>0</v>
      </c>
      <c r="Z193" s="371"/>
    </row>
    <row r="194" spans="1:26" x14ac:dyDescent="0.25">
      <c r="A194" s="481">
        <v>42256</v>
      </c>
      <c r="B194" s="470"/>
      <c r="C194" s="368">
        <v>42256</v>
      </c>
      <c r="F194" s="482" t="s">
        <v>684</v>
      </c>
      <c r="G194" s="470"/>
      <c r="H194" s="369" t="s">
        <v>659</v>
      </c>
      <c r="I194" s="369" t="s">
        <v>1209</v>
      </c>
      <c r="J194" s="367" t="s">
        <v>1173</v>
      </c>
      <c r="K194" s="482" t="s">
        <v>1210</v>
      </c>
      <c r="L194" s="470"/>
      <c r="M194" s="470"/>
      <c r="N194" s="369" t="s">
        <v>655</v>
      </c>
      <c r="O194" s="369" t="s">
        <v>655</v>
      </c>
      <c r="P194" s="369" t="s">
        <v>655</v>
      </c>
      <c r="Q194" s="369" t="s">
        <v>655</v>
      </c>
      <c r="R194" s="367" t="s">
        <v>1211</v>
      </c>
      <c r="S194" s="367">
        <v>3950179</v>
      </c>
      <c r="T194" s="483">
        <v>586.79999999999995</v>
      </c>
      <c r="U194" s="470"/>
      <c r="V194" s="483">
        <v>1030.27</v>
      </c>
      <c r="W194" s="470"/>
      <c r="X194" s="470"/>
      <c r="Y194" s="370">
        <f t="shared" ref="Y194:Y257" si="4">V194</f>
        <v>1030.27</v>
      </c>
      <c r="Z194" s="371"/>
    </row>
    <row r="195" spans="1:26" x14ac:dyDescent="0.25">
      <c r="A195" s="481">
        <v>42256</v>
      </c>
      <c r="B195" s="470"/>
      <c r="C195" s="368">
        <v>42256</v>
      </c>
      <c r="F195" s="482" t="s">
        <v>720</v>
      </c>
      <c r="G195" s="470"/>
      <c r="H195" s="369" t="s">
        <v>659</v>
      </c>
      <c r="I195" s="369" t="s">
        <v>1212</v>
      </c>
      <c r="J195" s="367" t="s">
        <v>1173</v>
      </c>
      <c r="K195" s="482" t="s">
        <v>1213</v>
      </c>
      <c r="L195" s="470"/>
      <c r="M195" s="470"/>
      <c r="N195" s="369" t="s">
        <v>655</v>
      </c>
      <c r="O195" s="369" t="s">
        <v>753</v>
      </c>
      <c r="P195" s="369" t="s">
        <v>655</v>
      </c>
      <c r="Q195" s="369" t="s">
        <v>655</v>
      </c>
      <c r="R195" s="367" t="s">
        <v>1214</v>
      </c>
      <c r="S195" s="367">
        <v>3627352</v>
      </c>
      <c r="T195" s="483">
        <v>586.79999999999995</v>
      </c>
      <c r="U195" s="470"/>
      <c r="V195" s="483">
        <v>0</v>
      </c>
      <c r="W195" s="470"/>
      <c r="X195" s="470"/>
      <c r="Y195" s="370">
        <f t="shared" si="4"/>
        <v>0</v>
      </c>
      <c r="Z195" s="371"/>
    </row>
    <row r="196" spans="1:26" x14ac:dyDescent="0.25">
      <c r="A196" s="481">
        <v>42258</v>
      </c>
      <c r="B196" s="470"/>
      <c r="C196" s="368">
        <v>42258</v>
      </c>
      <c r="F196" s="482" t="s">
        <v>777</v>
      </c>
      <c r="G196" s="470"/>
      <c r="H196" s="369" t="s">
        <v>659</v>
      </c>
      <c r="I196" s="369" t="s">
        <v>1215</v>
      </c>
      <c r="J196" s="367" t="s">
        <v>1216</v>
      </c>
      <c r="K196" s="482" t="s">
        <v>1217</v>
      </c>
      <c r="L196" s="470"/>
      <c r="M196" s="470"/>
      <c r="N196" s="369" t="s">
        <v>655</v>
      </c>
      <c r="O196" s="369" t="s">
        <v>753</v>
      </c>
      <c r="P196" s="369" t="s">
        <v>655</v>
      </c>
      <c r="Q196" s="369" t="s">
        <v>753</v>
      </c>
      <c r="R196" s="367" t="s">
        <v>1218</v>
      </c>
      <c r="S196" s="367">
        <v>3627389</v>
      </c>
      <c r="T196" s="483">
        <v>586.79999999999995</v>
      </c>
      <c r="U196" s="470"/>
      <c r="V196" s="483">
        <v>0</v>
      </c>
      <c r="W196" s="470"/>
      <c r="X196" s="470"/>
      <c r="Y196" s="370">
        <f t="shared" si="4"/>
        <v>0</v>
      </c>
      <c r="Z196" s="371"/>
    </row>
    <row r="197" spans="1:26" x14ac:dyDescent="0.25">
      <c r="A197" s="481">
        <v>42260</v>
      </c>
      <c r="B197" s="470"/>
      <c r="C197" s="368">
        <v>42260</v>
      </c>
      <c r="F197" s="482" t="s">
        <v>673</v>
      </c>
      <c r="G197" s="470"/>
      <c r="H197" s="369" t="s">
        <v>659</v>
      </c>
      <c r="I197" s="369" t="s">
        <v>1219</v>
      </c>
      <c r="J197" s="367" t="s">
        <v>1220</v>
      </c>
      <c r="K197" s="482" t="s">
        <v>1221</v>
      </c>
      <c r="L197" s="470"/>
      <c r="M197" s="470"/>
      <c r="N197" s="369" t="s">
        <v>655</v>
      </c>
      <c r="O197" s="369" t="s">
        <v>753</v>
      </c>
      <c r="P197" s="369" t="s">
        <v>655</v>
      </c>
      <c r="Q197" s="369" t="s">
        <v>655</v>
      </c>
      <c r="R197" s="367" t="s">
        <v>1222</v>
      </c>
      <c r="S197" s="367">
        <v>3621672</v>
      </c>
      <c r="T197" s="483">
        <v>586.79999999999995</v>
      </c>
      <c r="U197" s="470"/>
      <c r="V197" s="483">
        <v>758.12</v>
      </c>
      <c r="W197" s="470"/>
      <c r="X197" s="470"/>
      <c r="Y197" s="370">
        <f t="shared" si="4"/>
        <v>758.12</v>
      </c>
      <c r="Z197" s="371"/>
    </row>
    <row r="198" spans="1:26" x14ac:dyDescent="0.25">
      <c r="A198" s="481">
        <v>42260</v>
      </c>
      <c r="B198" s="470"/>
      <c r="C198" s="368">
        <v>42260</v>
      </c>
      <c r="F198" s="482" t="s">
        <v>673</v>
      </c>
      <c r="G198" s="470"/>
      <c r="H198" s="369" t="s">
        <v>659</v>
      </c>
      <c r="I198" s="369" t="s">
        <v>1209</v>
      </c>
      <c r="J198" s="367" t="s">
        <v>1173</v>
      </c>
      <c r="K198" s="482" t="s">
        <v>1210</v>
      </c>
      <c r="L198" s="470"/>
      <c r="M198" s="470"/>
      <c r="N198" s="369" t="s">
        <v>655</v>
      </c>
      <c r="O198" s="369" t="s">
        <v>655</v>
      </c>
      <c r="P198" s="369" t="s">
        <v>655</v>
      </c>
      <c r="Q198" s="369" t="s">
        <v>655</v>
      </c>
      <c r="R198" s="367" t="s">
        <v>1223</v>
      </c>
      <c r="S198" s="367">
        <v>3617753</v>
      </c>
      <c r="T198" s="483">
        <v>586.79999999999995</v>
      </c>
      <c r="U198" s="470"/>
      <c r="V198" s="483">
        <v>957.38</v>
      </c>
      <c r="W198" s="470"/>
      <c r="X198" s="470"/>
      <c r="Y198" s="370">
        <f t="shared" si="4"/>
        <v>957.38</v>
      </c>
      <c r="Z198" s="371"/>
    </row>
    <row r="199" spans="1:26" x14ac:dyDescent="0.25">
      <c r="A199" s="481">
        <v>42260</v>
      </c>
      <c r="B199" s="470"/>
      <c r="C199" s="368">
        <v>42260</v>
      </c>
      <c r="F199" s="482" t="s">
        <v>673</v>
      </c>
      <c r="G199" s="470"/>
      <c r="H199" s="369" t="s">
        <v>659</v>
      </c>
      <c r="I199" s="369" t="s">
        <v>1224</v>
      </c>
      <c r="J199" s="367" t="s">
        <v>1225</v>
      </c>
      <c r="K199" s="482" t="s">
        <v>1226</v>
      </c>
      <c r="L199" s="470"/>
      <c r="M199" s="470"/>
      <c r="N199" s="369" t="s">
        <v>655</v>
      </c>
      <c r="O199" s="369" t="s">
        <v>753</v>
      </c>
      <c r="P199" s="369" t="s">
        <v>655</v>
      </c>
      <c r="Q199" s="369" t="s">
        <v>655</v>
      </c>
      <c r="R199" s="367" t="s">
        <v>1227</v>
      </c>
      <c r="S199" s="367">
        <v>3627406</v>
      </c>
      <c r="T199" s="483">
        <v>586.79999999999995</v>
      </c>
      <c r="U199" s="470"/>
      <c r="V199" s="483">
        <v>103.89</v>
      </c>
      <c r="W199" s="470"/>
      <c r="X199" s="470"/>
      <c r="Y199" s="370">
        <f t="shared" si="4"/>
        <v>103.89</v>
      </c>
      <c r="Z199" s="371"/>
    </row>
    <row r="200" spans="1:26" x14ac:dyDescent="0.25">
      <c r="A200" s="481">
        <v>42261</v>
      </c>
      <c r="B200" s="470"/>
      <c r="C200" s="368">
        <v>42261</v>
      </c>
      <c r="F200" s="482" t="s">
        <v>740</v>
      </c>
      <c r="G200" s="470"/>
      <c r="H200" s="369" t="s">
        <v>659</v>
      </c>
      <c r="I200" s="369" t="s">
        <v>1228</v>
      </c>
      <c r="J200" s="367" t="s">
        <v>1229</v>
      </c>
      <c r="K200" s="482" t="s">
        <v>743</v>
      </c>
      <c r="L200" s="470"/>
      <c r="M200" s="470"/>
      <c r="N200" s="369" t="s">
        <v>655</v>
      </c>
      <c r="O200" s="369" t="s">
        <v>753</v>
      </c>
      <c r="P200" s="369" t="s">
        <v>655</v>
      </c>
      <c r="Q200" s="369" t="s">
        <v>753</v>
      </c>
      <c r="R200" s="367" t="s">
        <v>1230</v>
      </c>
      <c r="S200" s="367">
        <v>3622499</v>
      </c>
      <c r="T200" s="483">
        <v>586.79999999999995</v>
      </c>
      <c r="U200" s="470"/>
      <c r="V200" s="483">
        <v>911.02</v>
      </c>
      <c r="W200" s="470"/>
      <c r="X200" s="470"/>
      <c r="Y200" s="370">
        <f t="shared" si="4"/>
        <v>911.02</v>
      </c>
      <c r="Z200" s="371"/>
    </row>
    <row r="201" spans="1:26" x14ac:dyDescent="0.25">
      <c r="A201" s="481">
        <v>42262</v>
      </c>
      <c r="B201" s="470"/>
      <c r="C201" s="368">
        <v>42263</v>
      </c>
      <c r="F201" s="482" t="s">
        <v>1231</v>
      </c>
      <c r="G201" s="470"/>
      <c r="H201" s="369" t="s">
        <v>659</v>
      </c>
      <c r="I201" s="369" t="s">
        <v>1184</v>
      </c>
      <c r="J201" s="367" t="s">
        <v>1185</v>
      </c>
      <c r="K201" s="482" t="s">
        <v>1124</v>
      </c>
      <c r="L201" s="470"/>
      <c r="M201" s="470"/>
      <c r="N201" s="369" t="s">
        <v>655</v>
      </c>
      <c r="O201" s="369" t="s">
        <v>655</v>
      </c>
      <c r="P201" s="369" t="s">
        <v>655</v>
      </c>
      <c r="Q201" s="369" t="s">
        <v>655</v>
      </c>
      <c r="R201" s="367" t="s">
        <v>1232</v>
      </c>
      <c r="S201" s="367">
        <v>3632750</v>
      </c>
      <c r="T201" s="483">
        <v>586.79999999999995</v>
      </c>
      <c r="U201" s="470"/>
      <c r="V201" s="483">
        <v>0</v>
      </c>
      <c r="W201" s="470"/>
      <c r="X201" s="470"/>
      <c r="Y201" s="370">
        <f t="shared" si="4"/>
        <v>0</v>
      </c>
      <c r="Z201" s="371"/>
    </row>
    <row r="202" spans="1:26" x14ac:dyDescent="0.25">
      <c r="A202" s="481">
        <v>42262</v>
      </c>
      <c r="B202" s="470"/>
      <c r="C202" s="368">
        <v>42262</v>
      </c>
      <c r="F202" s="482" t="s">
        <v>705</v>
      </c>
      <c r="G202" s="470"/>
      <c r="H202" s="369" t="s">
        <v>659</v>
      </c>
      <c r="I202" s="369" t="s">
        <v>691</v>
      </c>
      <c r="J202" s="367" t="s">
        <v>692</v>
      </c>
      <c r="K202" s="482" t="s">
        <v>693</v>
      </c>
      <c r="L202" s="470"/>
      <c r="M202" s="470"/>
      <c r="N202" s="369" t="s">
        <v>655</v>
      </c>
      <c r="O202" s="369" t="s">
        <v>655</v>
      </c>
      <c r="P202" s="369" t="s">
        <v>655</v>
      </c>
      <c r="Q202" s="369" t="s">
        <v>655</v>
      </c>
      <c r="R202" s="367" t="s">
        <v>706</v>
      </c>
      <c r="S202" s="367">
        <v>3629629</v>
      </c>
      <c r="T202" s="483">
        <v>586.79999999999995</v>
      </c>
      <c r="U202" s="470"/>
      <c r="V202" s="483">
        <v>1122.27</v>
      </c>
      <c r="W202" s="470"/>
      <c r="X202" s="470"/>
      <c r="Y202" s="370">
        <f t="shared" si="4"/>
        <v>1122.27</v>
      </c>
      <c r="Z202" s="371">
        <v>1</v>
      </c>
    </row>
    <row r="203" spans="1:26" x14ac:dyDescent="0.25">
      <c r="A203" s="481">
        <v>42262</v>
      </c>
      <c r="B203" s="470"/>
      <c r="C203" s="368">
        <v>42262</v>
      </c>
      <c r="F203" s="482" t="s">
        <v>915</v>
      </c>
      <c r="G203" s="470"/>
      <c r="H203" s="369" t="s">
        <v>659</v>
      </c>
      <c r="I203" s="369" t="s">
        <v>1233</v>
      </c>
      <c r="J203" s="367" t="s">
        <v>1234</v>
      </c>
      <c r="K203" s="482" t="s">
        <v>1235</v>
      </c>
      <c r="L203" s="470"/>
      <c r="M203" s="470"/>
      <c r="N203" s="369" t="s">
        <v>655</v>
      </c>
      <c r="O203" s="369" t="s">
        <v>753</v>
      </c>
      <c r="P203" s="369" t="s">
        <v>655</v>
      </c>
      <c r="Q203" s="369" t="s">
        <v>753</v>
      </c>
      <c r="R203" s="367" t="s">
        <v>1236</v>
      </c>
      <c r="S203" s="367">
        <v>3634848</v>
      </c>
      <c r="T203" s="483">
        <v>586.79999999999995</v>
      </c>
      <c r="U203" s="470"/>
      <c r="V203" s="483">
        <v>0</v>
      </c>
      <c r="W203" s="470"/>
      <c r="X203" s="470"/>
      <c r="Y203" s="370">
        <f t="shared" si="4"/>
        <v>0</v>
      </c>
      <c r="Z203" s="371"/>
    </row>
    <row r="204" spans="1:26" x14ac:dyDescent="0.25">
      <c r="A204" s="481">
        <v>42263</v>
      </c>
      <c r="B204" s="470"/>
      <c r="C204" s="368">
        <v>42263</v>
      </c>
      <c r="F204" s="482" t="s">
        <v>673</v>
      </c>
      <c r="G204" s="470"/>
      <c r="H204" s="369" t="s">
        <v>659</v>
      </c>
      <c r="I204" s="369" t="s">
        <v>1237</v>
      </c>
      <c r="J204" s="367" t="s">
        <v>1238</v>
      </c>
      <c r="K204" s="482" t="s">
        <v>1239</v>
      </c>
      <c r="L204" s="470"/>
      <c r="M204" s="470"/>
      <c r="N204" s="369" t="s">
        <v>655</v>
      </c>
      <c r="O204" s="369" t="s">
        <v>753</v>
      </c>
      <c r="P204" s="369" t="s">
        <v>655</v>
      </c>
      <c r="Q204" s="369" t="s">
        <v>655</v>
      </c>
      <c r="R204" s="367" t="s">
        <v>1240</v>
      </c>
      <c r="S204" s="367">
        <v>3632681</v>
      </c>
      <c r="T204" s="483">
        <v>586.79999999999995</v>
      </c>
      <c r="U204" s="470"/>
      <c r="V204" s="483">
        <v>305.3</v>
      </c>
      <c r="W204" s="470"/>
      <c r="X204" s="470"/>
      <c r="Y204" s="370">
        <f t="shared" si="4"/>
        <v>305.3</v>
      </c>
      <c r="Z204" s="371"/>
    </row>
    <row r="205" spans="1:26" x14ac:dyDescent="0.25">
      <c r="A205" s="481">
        <v>42265</v>
      </c>
      <c r="B205" s="470"/>
      <c r="C205" s="368">
        <v>42265</v>
      </c>
      <c r="F205" s="482" t="s">
        <v>707</v>
      </c>
      <c r="G205" s="470"/>
      <c r="H205" s="369" t="s">
        <v>659</v>
      </c>
      <c r="I205" s="369" t="s">
        <v>691</v>
      </c>
      <c r="J205" s="367" t="s">
        <v>692</v>
      </c>
      <c r="K205" s="482" t="s">
        <v>693</v>
      </c>
      <c r="L205" s="470"/>
      <c r="M205" s="470"/>
      <c r="N205" s="369" t="s">
        <v>655</v>
      </c>
      <c r="O205" s="369" t="s">
        <v>655</v>
      </c>
      <c r="P205" s="369" t="s">
        <v>655</v>
      </c>
      <c r="Q205" s="369" t="s">
        <v>655</v>
      </c>
      <c r="R205" s="367" t="s">
        <v>708</v>
      </c>
      <c r="S205" s="367">
        <v>3650129</v>
      </c>
      <c r="T205" s="483">
        <v>586.79999999999995</v>
      </c>
      <c r="U205" s="470"/>
      <c r="V205" s="483">
        <v>462.98</v>
      </c>
      <c r="W205" s="470"/>
      <c r="X205" s="470"/>
      <c r="Y205" s="370">
        <f t="shared" si="4"/>
        <v>462.98</v>
      </c>
      <c r="Z205" s="371">
        <v>6</v>
      </c>
    </row>
    <row r="206" spans="1:26" x14ac:dyDescent="0.25">
      <c r="A206" s="481">
        <v>42265</v>
      </c>
      <c r="B206" s="470"/>
      <c r="C206" s="368">
        <v>42265</v>
      </c>
      <c r="F206" s="482" t="s">
        <v>673</v>
      </c>
      <c r="G206" s="470"/>
      <c r="H206" s="369" t="s">
        <v>659</v>
      </c>
      <c r="I206" s="369" t="s">
        <v>1241</v>
      </c>
      <c r="J206" s="367" t="s">
        <v>1242</v>
      </c>
      <c r="K206" s="482" t="s">
        <v>997</v>
      </c>
      <c r="L206" s="470"/>
      <c r="M206" s="470"/>
      <c r="N206" s="369" t="s">
        <v>655</v>
      </c>
      <c r="O206" s="369" t="s">
        <v>753</v>
      </c>
      <c r="P206" s="369" t="s">
        <v>655</v>
      </c>
      <c r="Q206" s="369" t="s">
        <v>655</v>
      </c>
      <c r="R206" s="367" t="s">
        <v>1243</v>
      </c>
      <c r="S206" s="367">
        <v>3662155</v>
      </c>
      <c r="T206" s="483">
        <v>586.79999999999995</v>
      </c>
      <c r="U206" s="470"/>
      <c r="V206" s="483">
        <v>220.53</v>
      </c>
      <c r="W206" s="470"/>
      <c r="X206" s="470"/>
      <c r="Y206" s="370">
        <f t="shared" si="4"/>
        <v>220.53</v>
      </c>
      <c r="Z206" s="371"/>
    </row>
    <row r="207" spans="1:26" x14ac:dyDescent="0.25">
      <c r="A207" s="481">
        <v>42266</v>
      </c>
      <c r="B207" s="470"/>
      <c r="C207" s="368">
        <v>42266</v>
      </c>
      <c r="F207" s="482" t="s">
        <v>673</v>
      </c>
      <c r="G207" s="470"/>
      <c r="H207" s="369" t="s">
        <v>659</v>
      </c>
      <c r="I207" s="369" t="s">
        <v>1244</v>
      </c>
      <c r="J207" s="367" t="s">
        <v>1245</v>
      </c>
      <c r="K207" s="482" t="s">
        <v>1246</v>
      </c>
      <c r="L207" s="470"/>
      <c r="M207" s="470"/>
      <c r="N207" s="369" t="s">
        <v>655</v>
      </c>
      <c r="O207" s="369" t="s">
        <v>753</v>
      </c>
      <c r="P207" s="369" t="s">
        <v>655</v>
      </c>
      <c r="Q207" s="369" t="s">
        <v>655</v>
      </c>
      <c r="R207" s="367" t="s">
        <v>1247</v>
      </c>
      <c r="S207" s="367">
        <v>3662095</v>
      </c>
      <c r="T207" s="483">
        <v>586.79999999999995</v>
      </c>
      <c r="U207" s="470"/>
      <c r="V207" s="483">
        <v>103.89</v>
      </c>
      <c r="W207" s="470"/>
      <c r="X207" s="470"/>
      <c r="Y207" s="370">
        <f t="shared" si="4"/>
        <v>103.89</v>
      </c>
      <c r="Z207" s="371"/>
    </row>
    <row r="208" spans="1:26" x14ac:dyDescent="0.25">
      <c r="A208" s="481">
        <v>42266</v>
      </c>
      <c r="B208" s="470"/>
      <c r="C208" s="368">
        <v>42267</v>
      </c>
      <c r="F208" s="482" t="s">
        <v>740</v>
      </c>
      <c r="G208" s="470"/>
      <c r="H208" s="369" t="s">
        <v>659</v>
      </c>
      <c r="I208" s="369" t="s">
        <v>1248</v>
      </c>
      <c r="J208" s="367" t="s">
        <v>1249</v>
      </c>
      <c r="K208" s="482" t="s">
        <v>1250</v>
      </c>
      <c r="L208" s="470"/>
      <c r="M208" s="470"/>
      <c r="N208" s="369" t="s">
        <v>655</v>
      </c>
      <c r="O208" s="369" t="s">
        <v>753</v>
      </c>
      <c r="P208" s="369" t="s">
        <v>655</v>
      </c>
      <c r="Q208" s="369" t="s">
        <v>753</v>
      </c>
      <c r="R208" s="367" t="s">
        <v>1251</v>
      </c>
      <c r="S208" s="367">
        <v>3652166</v>
      </c>
      <c r="T208" s="483">
        <v>586.79999999999995</v>
      </c>
      <c r="U208" s="470"/>
      <c r="V208" s="483">
        <v>0</v>
      </c>
      <c r="W208" s="470"/>
      <c r="X208" s="470"/>
      <c r="Y208" s="370">
        <f t="shared" si="4"/>
        <v>0</v>
      </c>
      <c r="Z208" s="371">
        <v>2</v>
      </c>
    </row>
    <row r="209" spans="1:26" x14ac:dyDescent="0.25">
      <c r="A209" s="481">
        <v>42267</v>
      </c>
      <c r="B209" s="470"/>
      <c r="C209" s="368">
        <v>42267</v>
      </c>
      <c r="F209" s="482" t="s">
        <v>740</v>
      </c>
      <c r="G209" s="470"/>
      <c r="H209" s="369" t="s">
        <v>659</v>
      </c>
      <c r="I209" s="369" t="s">
        <v>1252</v>
      </c>
      <c r="J209" s="367" t="s">
        <v>1253</v>
      </c>
      <c r="K209" s="482" t="s">
        <v>1254</v>
      </c>
      <c r="L209" s="470"/>
      <c r="M209" s="470"/>
      <c r="N209" s="369" t="s">
        <v>655</v>
      </c>
      <c r="O209" s="369" t="s">
        <v>753</v>
      </c>
      <c r="P209" s="369" t="s">
        <v>655</v>
      </c>
      <c r="Q209" s="369" t="s">
        <v>655</v>
      </c>
      <c r="R209" s="367" t="s">
        <v>1255</v>
      </c>
      <c r="S209" s="367">
        <v>3652554</v>
      </c>
      <c r="T209" s="483">
        <v>586.79999999999995</v>
      </c>
      <c r="U209" s="470"/>
      <c r="V209" s="483">
        <v>166.12</v>
      </c>
      <c r="W209" s="470"/>
      <c r="X209" s="470"/>
      <c r="Y209" s="370">
        <f t="shared" si="4"/>
        <v>166.12</v>
      </c>
      <c r="Z209" s="371"/>
    </row>
    <row r="210" spans="1:26" x14ac:dyDescent="0.25">
      <c r="A210" s="481">
        <v>42270</v>
      </c>
      <c r="B210" s="470"/>
      <c r="C210" s="368">
        <v>42270</v>
      </c>
      <c r="F210" s="482" t="s">
        <v>673</v>
      </c>
      <c r="G210" s="470"/>
      <c r="H210" s="369" t="s">
        <v>659</v>
      </c>
      <c r="I210" s="369" t="s">
        <v>1256</v>
      </c>
      <c r="J210" s="367" t="s">
        <v>1257</v>
      </c>
      <c r="K210" s="482" t="s">
        <v>1258</v>
      </c>
      <c r="L210" s="470"/>
      <c r="M210" s="470"/>
      <c r="N210" s="369" t="s">
        <v>655</v>
      </c>
      <c r="O210" s="369" t="s">
        <v>753</v>
      </c>
      <c r="P210" s="369" t="s">
        <v>655</v>
      </c>
      <c r="Q210" s="369" t="s">
        <v>655</v>
      </c>
      <c r="R210" s="367" t="s">
        <v>1259</v>
      </c>
      <c r="S210" s="367">
        <v>3672266</v>
      </c>
      <c r="T210" s="483">
        <v>586.79999999999995</v>
      </c>
      <c r="U210" s="470"/>
      <c r="V210" s="483">
        <v>515.57000000000005</v>
      </c>
      <c r="W210" s="470"/>
      <c r="X210" s="470"/>
      <c r="Y210" s="370">
        <f t="shared" si="4"/>
        <v>515.57000000000005</v>
      </c>
      <c r="Z210" s="371">
        <v>4</v>
      </c>
    </row>
    <row r="211" spans="1:26" x14ac:dyDescent="0.25">
      <c r="A211" s="481">
        <v>42270</v>
      </c>
      <c r="B211" s="470"/>
      <c r="C211" s="368">
        <v>42271</v>
      </c>
      <c r="F211" s="482" t="s">
        <v>710</v>
      </c>
      <c r="G211" s="470"/>
      <c r="H211" s="369" t="s">
        <v>659</v>
      </c>
      <c r="I211" s="369" t="s">
        <v>1260</v>
      </c>
      <c r="J211" s="367" t="s">
        <v>1261</v>
      </c>
      <c r="K211" s="482" t="s">
        <v>1262</v>
      </c>
      <c r="L211" s="470"/>
      <c r="M211" s="470"/>
      <c r="N211" s="369" t="s">
        <v>655</v>
      </c>
      <c r="O211" s="369" t="s">
        <v>655</v>
      </c>
      <c r="P211" s="369" t="s">
        <v>655</v>
      </c>
      <c r="Q211" s="369" t="s">
        <v>655</v>
      </c>
      <c r="R211" s="367" t="s">
        <v>1263</v>
      </c>
      <c r="S211" s="367">
        <v>3668333</v>
      </c>
      <c r="T211" s="483">
        <v>586.79999999999995</v>
      </c>
      <c r="U211" s="470"/>
      <c r="V211" s="483">
        <v>0</v>
      </c>
      <c r="W211" s="470"/>
      <c r="X211" s="470"/>
      <c r="Y211" s="370">
        <f t="shared" si="4"/>
        <v>0</v>
      </c>
      <c r="Z211" s="371"/>
    </row>
    <row r="212" spans="1:26" x14ac:dyDescent="0.25">
      <c r="A212" s="481">
        <v>42273</v>
      </c>
      <c r="B212" s="470"/>
      <c r="C212" s="368">
        <v>42276</v>
      </c>
      <c r="F212" s="482" t="s">
        <v>673</v>
      </c>
      <c r="G212" s="470"/>
      <c r="H212" s="369" t="s">
        <v>659</v>
      </c>
      <c r="I212" s="369" t="s">
        <v>674</v>
      </c>
      <c r="J212" s="367" t="s">
        <v>675</v>
      </c>
      <c r="K212" s="482" t="s">
        <v>676</v>
      </c>
      <c r="L212" s="470"/>
      <c r="M212" s="470"/>
      <c r="N212" s="369" t="s">
        <v>655</v>
      </c>
      <c r="O212" s="369" t="s">
        <v>655</v>
      </c>
      <c r="P212" s="369" t="s">
        <v>655</v>
      </c>
      <c r="Q212" s="369" t="s">
        <v>655</v>
      </c>
      <c r="R212" s="367" t="s">
        <v>709</v>
      </c>
      <c r="S212" s="367">
        <v>3688862</v>
      </c>
      <c r="T212" s="483">
        <v>586.79999999999995</v>
      </c>
      <c r="U212" s="470"/>
      <c r="V212" s="483">
        <v>0</v>
      </c>
      <c r="W212" s="470"/>
      <c r="X212" s="470"/>
      <c r="Y212" s="370">
        <f t="shared" si="4"/>
        <v>0</v>
      </c>
      <c r="Z212" s="371">
        <v>5</v>
      </c>
    </row>
    <row r="213" spans="1:26" x14ac:dyDescent="0.25">
      <c r="A213" s="481">
        <v>42273</v>
      </c>
      <c r="B213" s="470"/>
      <c r="C213" s="368">
        <v>42276</v>
      </c>
      <c r="F213" s="482" t="s">
        <v>658</v>
      </c>
      <c r="G213" s="470"/>
      <c r="H213" s="369" t="s">
        <v>659</v>
      </c>
      <c r="I213" s="369" t="s">
        <v>660</v>
      </c>
      <c r="J213" s="367" t="s">
        <v>661</v>
      </c>
      <c r="K213" s="482" t="s">
        <v>662</v>
      </c>
      <c r="L213" s="470"/>
      <c r="M213" s="470"/>
      <c r="N213" s="369" t="s">
        <v>655</v>
      </c>
      <c r="O213" s="369" t="s">
        <v>655</v>
      </c>
      <c r="P213" s="369" t="s">
        <v>655</v>
      </c>
      <c r="Q213" s="369" t="s">
        <v>655</v>
      </c>
      <c r="R213" s="367" t="s">
        <v>663</v>
      </c>
      <c r="S213" s="367">
        <v>3688547</v>
      </c>
      <c r="T213" s="483">
        <v>586.79999999999995</v>
      </c>
      <c r="U213" s="470"/>
      <c r="V213" s="483">
        <v>0</v>
      </c>
      <c r="W213" s="470"/>
      <c r="X213" s="470"/>
      <c r="Y213" s="370">
        <f t="shared" si="4"/>
        <v>0</v>
      </c>
      <c r="Z213" s="371">
        <v>1</v>
      </c>
    </row>
    <row r="214" spans="1:26" x14ac:dyDescent="0.25">
      <c r="A214" s="481">
        <v>42273</v>
      </c>
      <c r="B214" s="470"/>
      <c r="C214" s="368">
        <v>42273</v>
      </c>
      <c r="F214" s="482" t="s">
        <v>777</v>
      </c>
      <c r="G214" s="470"/>
      <c r="H214" s="369" t="s">
        <v>659</v>
      </c>
      <c r="I214" s="369" t="s">
        <v>1264</v>
      </c>
      <c r="J214" s="367" t="s">
        <v>1265</v>
      </c>
      <c r="K214" s="482" t="s">
        <v>1266</v>
      </c>
      <c r="L214" s="470"/>
      <c r="M214" s="470"/>
      <c r="N214" s="369" t="s">
        <v>655</v>
      </c>
      <c r="O214" s="369" t="s">
        <v>753</v>
      </c>
      <c r="P214" s="369" t="s">
        <v>655</v>
      </c>
      <c r="Q214" s="369" t="s">
        <v>753</v>
      </c>
      <c r="R214" s="367" t="s">
        <v>1267</v>
      </c>
      <c r="S214" s="367">
        <v>3694977</v>
      </c>
      <c r="T214" s="483">
        <v>586.79999999999995</v>
      </c>
      <c r="U214" s="470"/>
      <c r="V214" s="483">
        <v>0</v>
      </c>
      <c r="W214" s="470"/>
      <c r="X214" s="470"/>
      <c r="Y214" s="370">
        <f t="shared" si="4"/>
        <v>0</v>
      </c>
      <c r="Z214" s="371"/>
    </row>
    <row r="215" spans="1:26" x14ac:dyDescent="0.25">
      <c r="A215" s="481">
        <v>42273</v>
      </c>
      <c r="B215" s="470"/>
      <c r="C215" s="368">
        <v>42273</v>
      </c>
      <c r="F215" s="482" t="s">
        <v>673</v>
      </c>
      <c r="G215" s="470"/>
      <c r="H215" s="369" t="s">
        <v>659</v>
      </c>
      <c r="I215" s="369" t="s">
        <v>1268</v>
      </c>
      <c r="J215" s="367" t="s">
        <v>1269</v>
      </c>
      <c r="K215" s="482" t="s">
        <v>1270</v>
      </c>
      <c r="L215" s="470"/>
      <c r="M215" s="470"/>
      <c r="N215" s="369" t="s">
        <v>655</v>
      </c>
      <c r="O215" s="369" t="s">
        <v>753</v>
      </c>
      <c r="P215" s="369" t="s">
        <v>655</v>
      </c>
      <c r="Q215" s="369" t="s">
        <v>753</v>
      </c>
      <c r="R215" s="367" t="s">
        <v>1271</v>
      </c>
      <c r="S215" s="367">
        <v>3694952</v>
      </c>
      <c r="T215" s="483">
        <v>586.79999999999995</v>
      </c>
      <c r="U215" s="470"/>
      <c r="V215" s="483">
        <v>0</v>
      </c>
      <c r="W215" s="470"/>
      <c r="X215" s="470"/>
      <c r="Y215" s="370">
        <f t="shared" si="4"/>
        <v>0</v>
      </c>
      <c r="Z215" s="371"/>
    </row>
    <row r="216" spans="1:26" ht="22.5" x14ac:dyDescent="0.25">
      <c r="A216" s="481">
        <v>42274</v>
      </c>
      <c r="B216" s="470"/>
      <c r="C216" s="368">
        <v>42274</v>
      </c>
      <c r="F216" s="482" t="s">
        <v>673</v>
      </c>
      <c r="G216" s="470"/>
      <c r="H216" s="369" t="s">
        <v>659</v>
      </c>
      <c r="I216" s="369" t="s">
        <v>1272</v>
      </c>
      <c r="J216" s="367" t="s">
        <v>1273</v>
      </c>
      <c r="K216" s="482" t="s">
        <v>816</v>
      </c>
      <c r="L216" s="470"/>
      <c r="M216" s="470"/>
      <c r="N216" s="369" t="s">
        <v>655</v>
      </c>
      <c r="O216" s="369" t="s">
        <v>655</v>
      </c>
      <c r="P216" s="369" t="s">
        <v>655</v>
      </c>
      <c r="Q216" s="369" t="s">
        <v>655</v>
      </c>
      <c r="R216" s="367" t="s">
        <v>1274</v>
      </c>
      <c r="S216" s="367">
        <v>3694932</v>
      </c>
      <c r="T216" s="483">
        <v>586.79999999999995</v>
      </c>
      <c r="U216" s="470"/>
      <c r="V216" s="483">
        <v>264.79000000000002</v>
      </c>
      <c r="W216" s="470"/>
      <c r="X216" s="470"/>
      <c r="Y216" s="370">
        <f t="shared" si="4"/>
        <v>264.79000000000002</v>
      </c>
      <c r="Z216" s="371"/>
    </row>
    <row r="217" spans="1:26" x14ac:dyDescent="0.25">
      <c r="A217" s="481">
        <v>42274</v>
      </c>
      <c r="B217" s="470"/>
      <c r="C217" s="368">
        <v>42277</v>
      </c>
      <c r="F217" s="482" t="s">
        <v>710</v>
      </c>
      <c r="G217" s="470"/>
      <c r="H217" s="369" t="s">
        <v>659</v>
      </c>
      <c r="I217" s="369" t="s">
        <v>711</v>
      </c>
      <c r="J217" s="367" t="s">
        <v>712</v>
      </c>
      <c r="K217" s="482" t="s">
        <v>713</v>
      </c>
      <c r="L217" s="470"/>
      <c r="M217" s="470"/>
      <c r="N217" s="369" t="s">
        <v>655</v>
      </c>
      <c r="O217" s="369" t="s">
        <v>655</v>
      </c>
      <c r="P217" s="369" t="s">
        <v>655</v>
      </c>
      <c r="Q217" s="369" t="s">
        <v>655</v>
      </c>
      <c r="R217" s="367" t="s">
        <v>714</v>
      </c>
      <c r="S217" s="367">
        <v>3685974</v>
      </c>
      <c r="T217" s="483">
        <v>586.79999999999995</v>
      </c>
      <c r="U217" s="470"/>
      <c r="V217" s="483">
        <v>0</v>
      </c>
      <c r="W217" s="470"/>
      <c r="X217" s="470"/>
      <c r="Y217" s="370">
        <f t="shared" si="4"/>
        <v>0</v>
      </c>
      <c r="Z217" s="371"/>
    </row>
    <row r="218" spans="1:26" x14ac:dyDescent="0.25">
      <c r="A218" s="481">
        <v>42275</v>
      </c>
      <c r="B218" s="470"/>
      <c r="C218" s="368">
        <v>42275</v>
      </c>
      <c r="F218" s="482" t="s">
        <v>678</v>
      </c>
      <c r="G218" s="470"/>
      <c r="H218" s="369" t="s">
        <v>659</v>
      </c>
      <c r="I218" s="369" t="s">
        <v>1275</v>
      </c>
      <c r="J218" s="367" t="s">
        <v>1276</v>
      </c>
      <c r="K218" s="482" t="s">
        <v>1277</v>
      </c>
      <c r="L218" s="470"/>
      <c r="M218" s="470"/>
      <c r="N218" s="369" t="s">
        <v>655</v>
      </c>
      <c r="O218" s="369" t="s">
        <v>655</v>
      </c>
      <c r="P218" s="369" t="s">
        <v>655</v>
      </c>
      <c r="Q218" s="369" t="s">
        <v>655</v>
      </c>
      <c r="R218" s="367" t="s">
        <v>1278</v>
      </c>
      <c r="S218" s="367">
        <v>3692218</v>
      </c>
      <c r="T218" s="483">
        <v>586.79999999999995</v>
      </c>
      <c r="U218" s="470"/>
      <c r="V218" s="483">
        <v>380.08</v>
      </c>
      <c r="W218" s="470"/>
      <c r="X218" s="470"/>
      <c r="Y218" s="370">
        <f t="shared" si="4"/>
        <v>380.08</v>
      </c>
      <c r="Z218" s="371"/>
    </row>
    <row r="219" spans="1:26" x14ac:dyDescent="0.25">
      <c r="A219" s="481">
        <v>42275</v>
      </c>
      <c r="B219" s="470"/>
      <c r="C219" s="368">
        <v>42276</v>
      </c>
      <c r="F219" s="482" t="s">
        <v>673</v>
      </c>
      <c r="G219" s="470"/>
      <c r="H219" s="369" t="s">
        <v>659</v>
      </c>
      <c r="I219" s="369" t="s">
        <v>1279</v>
      </c>
      <c r="J219" s="367" t="s">
        <v>1280</v>
      </c>
      <c r="K219" s="482" t="s">
        <v>1281</v>
      </c>
      <c r="L219" s="470"/>
      <c r="M219" s="470"/>
      <c r="N219" s="369" t="s">
        <v>655</v>
      </c>
      <c r="O219" s="369" t="s">
        <v>753</v>
      </c>
      <c r="P219" s="369" t="s">
        <v>655</v>
      </c>
      <c r="Q219" s="369" t="s">
        <v>655</v>
      </c>
      <c r="R219" s="367" t="s">
        <v>1282</v>
      </c>
      <c r="S219" s="367">
        <v>3705189</v>
      </c>
      <c r="T219" s="483">
        <v>586.79999999999995</v>
      </c>
      <c r="U219" s="470"/>
      <c r="V219" s="483">
        <v>0</v>
      </c>
      <c r="W219" s="470"/>
      <c r="X219" s="470"/>
      <c r="Y219" s="370">
        <f t="shared" si="4"/>
        <v>0</v>
      </c>
      <c r="Z219" s="371">
        <v>12</v>
      </c>
    </row>
    <row r="220" spans="1:26" x14ac:dyDescent="0.25">
      <c r="A220" s="481">
        <v>42276</v>
      </c>
      <c r="B220" s="470"/>
      <c r="C220" s="368">
        <v>42276</v>
      </c>
      <c r="F220" s="482" t="s">
        <v>673</v>
      </c>
      <c r="G220" s="470"/>
      <c r="H220" s="369" t="s">
        <v>659</v>
      </c>
      <c r="I220" s="369" t="s">
        <v>1283</v>
      </c>
      <c r="J220" s="367" t="s">
        <v>917</v>
      </c>
      <c r="K220" s="482" t="s">
        <v>1284</v>
      </c>
      <c r="L220" s="470"/>
      <c r="M220" s="470"/>
      <c r="N220" s="369" t="s">
        <v>655</v>
      </c>
      <c r="O220" s="369" t="s">
        <v>753</v>
      </c>
      <c r="P220" s="369" t="s">
        <v>655</v>
      </c>
      <c r="Q220" s="369" t="s">
        <v>655</v>
      </c>
      <c r="R220" s="367" t="s">
        <v>1285</v>
      </c>
      <c r="S220" s="367">
        <v>3704878</v>
      </c>
      <c r="T220" s="483">
        <v>586.79999999999995</v>
      </c>
      <c r="U220" s="470"/>
      <c r="V220" s="483">
        <v>976.11</v>
      </c>
      <c r="W220" s="470"/>
      <c r="X220" s="470"/>
      <c r="Y220" s="370">
        <f t="shared" si="4"/>
        <v>976.11</v>
      </c>
      <c r="Z220" s="371">
        <v>2</v>
      </c>
    </row>
    <row r="221" spans="1:26" x14ac:dyDescent="0.25">
      <c r="A221" s="481">
        <v>42276</v>
      </c>
      <c r="B221" s="470"/>
      <c r="C221" s="368">
        <v>42276</v>
      </c>
      <c r="F221" s="482" t="s">
        <v>686</v>
      </c>
      <c r="G221" s="470"/>
      <c r="H221" s="369" t="s">
        <v>659</v>
      </c>
      <c r="I221" s="369" t="s">
        <v>691</v>
      </c>
      <c r="J221" s="367" t="s">
        <v>692</v>
      </c>
      <c r="K221" s="482" t="s">
        <v>693</v>
      </c>
      <c r="L221" s="470"/>
      <c r="M221" s="470"/>
      <c r="N221" s="369" t="s">
        <v>655</v>
      </c>
      <c r="O221" s="369" t="s">
        <v>655</v>
      </c>
      <c r="P221" s="369" t="s">
        <v>655</v>
      </c>
      <c r="Q221" s="369" t="s">
        <v>655</v>
      </c>
      <c r="R221" s="367" t="s">
        <v>715</v>
      </c>
      <c r="S221" s="367">
        <v>3698770</v>
      </c>
      <c r="T221" s="483">
        <v>586.79999999999995</v>
      </c>
      <c r="U221" s="470"/>
      <c r="V221" s="483">
        <v>1161.3399999999999</v>
      </c>
      <c r="W221" s="470"/>
      <c r="X221" s="470"/>
      <c r="Y221" s="370">
        <f t="shared" si="4"/>
        <v>1161.3399999999999</v>
      </c>
      <c r="Z221" s="371">
        <v>1</v>
      </c>
    </row>
    <row r="222" spans="1:26" x14ac:dyDescent="0.25">
      <c r="A222" s="481">
        <v>42276</v>
      </c>
      <c r="B222" s="470"/>
      <c r="C222" s="368">
        <v>42276</v>
      </c>
      <c r="F222" s="482" t="s">
        <v>697</v>
      </c>
      <c r="G222" s="470"/>
      <c r="H222" s="369" t="s">
        <v>659</v>
      </c>
      <c r="I222" s="369" t="s">
        <v>1286</v>
      </c>
      <c r="J222" s="367" t="s">
        <v>1287</v>
      </c>
      <c r="K222" s="482" t="s">
        <v>1288</v>
      </c>
      <c r="L222" s="470"/>
      <c r="M222" s="470"/>
      <c r="N222" s="369" t="s">
        <v>655</v>
      </c>
      <c r="O222" s="369" t="s">
        <v>753</v>
      </c>
      <c r="P222" s="369" t="s">
        <v>655</v>
      </c>
      <c r="Q222" s="369" t="s">
        <v>753</v>
      </c>
      <c r="R222" s="367" t="s">
        <v>1289</v>
      </c>
      <c r="S222" s="367">
        <v>3705068</v>
      </c>
      <c r="T222" s="483">
        <v>586.79999999999995</v>
      </c>
      <c r="U222" s="470"/>
      <c r="V222" s="483">
        <v>0</v>
      </c>
      <c r="W222" s="470"/>
      <c r="X222" s="470"/>
      <c r="Y222" s="370">
        <f t="shared" si="4"/>
        <v>0</v>
      </c>
      <c r="Z222" s="371"/>
    </row>
    <row r="223" spans="1:26" x14ac:dyDescent="0.25">
      <c r="A223" s="481">
        <v>42277</v>
      </c>
      <c r="B223" s="470"/>
      <c r="C223" s="368">
        <v>42278</v>
      </c>
      <c r="F223" s="482" t="s">
        <v>899</v>
      </c>
      <c r="G223" s="470"/>
      <c r="H223" s="369" t="s">
        <v>659</v>
      </c>
      <c r="I223" s="369" t="s">
        <v>1290</v>
      </c>
      <c r="J223" s="367" t="s">
        <v>1291</v>
      </c>
      <c r="K223" s="482" t="s">
        <v>1292</v>
      </c>
      <c r="L223" s="470"/>
      <c r="M223" s="470"/>
      <c r="N223" s="369" t="s">
        <v>655</v>
      </c>
      <c r="O223" s="369" t="s">
        <v>753</v>
      </c>
      <c r="P223" s="369" t="s">
        <v>655</v>
      </c>
      <c r="Q223" s="369" t="s">
        <v>753</v>
      </c>
      <c r="R223" s="367" t="s">
        <v>1293</v>
      </c>
      <c r="S223" s="367">
        <v>3727684</v>
      </c>
      <c r="T223" s="483">
        <v>586.79999999999995</v>
      </c>
      <c r="U223" s="470"/>
      <c r="V223" s="483">
        <v>0</v>
      </c>
      <c r="W223" s="470"/>
      <c r="X223" s="470"/>
      <c r="Y223" s="370">
        <f t="shared" si="4"/>
        <v>0</v>
      </c>
      <c r="Z223" s="371"/>
    </row>
    <row r="224" spans="1:26" x14ac:dyDescent="0.25">
      <c r="A224" s="481">
        <v>42277</v>
      </c>
      <c r="B224" s="470"/>
      <c r="C224" s="368">
        <v>42277</v>
      </c>
      <c r="F224" s="482" t="s">
        <v>1294</v>
      </c>
      <c r="G224" s="470"/>
      <c r="H224" s="369" t="s">
        <v>659</v>
      </c>
      <c r="I224" s="369" t="s">
        <v>1295</v>
      </c>
      <c r="J224" s="367" t="s">
        <v>1296</v>
      </c>
      <c r="K224" s="482" t="s">
        <v>1045</v>
      </c>
      <c r="L224" s="470"/>
      <c r="M224" s="470"/>
      <c r="N224" s="369" t="s">
        <v>655</v>
      </c>
      <c r="O224" s="369" t="s">
        <v>655</v>
      </c>
      <c r="P224" s="369" t="s">
        <v>655</v>
      </c>
      <c r="Q224" s="369" t="s">
        <v>655</v>
      </c>
      <c r="R224" s="367" t="s">
        <v>1297</v>
      </c>
      <c r="S224" s="367">
        <v>3702633</v>
      </c>
      <c r="T224" s="483">
        <v>586.79999999999995</v>
      </c>
      <c r="U224" s="470"/>
      <c r="V224" s="483">
        <v>0</v>
      </c>
      <c r="W224" s="470"/>
      <c r="X224" s="470"/>
      <c r="Y224" s="370">
        <f t="shared" si="4"/>
        <v>0</v>
      </c>
      <c r="Z224" s="371"/>
    </row>
    <row r="225" spans="1:26" x14ac:dyDescent="0.25">
      <c r="A225" s="481">
        <v>42277</v>
      </c>
      <c r="B225" s="470"/>
      <c r="C225" s="368">
        <v>42277</v>
      </c>
      <c r="F225" s="482" t="s">
        <v>684</v>
      </c>
      <c r="G225" s="470"/>
      <c r="H225" s="369" t="s">
        <v>659</v>
      </c>
      <c r="I225" s="369" t="s">
        <v>1298</v>
      </c>
      <c r="J225" s="367" t="s">
        <v>1299</v>
      </c>
      <c r="K225" s="482" t="s">
        <v>1300</v>
      </c>
      <c r="L225" s="470"/>
      <c r="M225" s="470"/>
      <c r="N225" s="369" t="s">
        <v>655</v>
      </c>
      <c r="O225" s="369" t="s">
        <v>655</v>
      </c>
      <c r="P225" s="369" t="s">
        <v>655</v>
      </c>
      <c r="Q225" s="369" t="s">
        <v>655</v>
      </c>
      <c r="R225" s="367" t="s">
        <v>1301</v>
      </c>
      <c r="S225" s="367">
        <v>3968940</v>
      </c>
      <c r="T225" s="483">
        <v>586.79999999999995</v>
      </c>
      <c r="U225" s="470"/>
      <c r="V225" s="483">
        <v>302.69</v>
      </c>
      <c r="W225" s="470"/>
      <c r="X225" s="470"/>
      <c r="Y225" s="370">
        <f t="shared" si="4"/>
        <v>302.69</v>
      </c>
      <c r="Z225" s="371"/>
    </row>
    <row r="226" spans="1:26" x14ac:dyDescent="0.25">
      <c r="A226" s="481">
        <v>42277</v>
      </c>
      <c r="B226" s="470"/>
      <c r="C226" s="368">
        <v>42277</v>
      </c>
      <c r="F226" s="482" t="s">
        <v>740</v>
      </c>
      <c r="G226" s="470"/>
      <c r="H226" s="369" t="s">
        <v>659</v>
      </c>
      <c r="I226" s="369" t="s">
        <v>1302</v>
      </c>
      <c r="J226" s="367" t="s">
        <v>1008</v>
      </c>
      <c r="K226" s="482" t="s">
        <v>1303</v>
      </c>
      <c r="L226" s="470"/>
      <c r="M226" s="470"/>
      <c r="N226" s="369" t="s">
        <v>655</v>
      </c>
      <c r="O226" s="369" t="s">
        <v>753</v>
      </c>
      <c r="P226" s="369" t="s">
        <v>655</v>
      </c>
      <c r="Q226" s="369" t="s">
        <v>655</v>
      </c>
      <c r="R226" s="367" t="s">
        <v>1304</v>
      </c>
      <c r="S226" s="367">
        <v>3703694</v>
      </c>
      <c r="T226" s="483">
        <v>586.79999999999995</v>
      </c>
      <c r="U226" s="470"/>
      <c r="V226" s="483">
        <v>676.41</v>
      </c>
      <c r="W226" s="470"/>
      <c r="X226" s="470"/>
      <c r="Y226" s="370">
        <f t="shared" si="4"/>
        <v>676.41</v>
      </c>
      <c r="Z226" s="371">
        <v>1</v>
      </c>
    </row>
    <row r="227" spans="1:26" x14ac:dyDescent="0.25">
      <c r="A227" s="481">
        <v>42279</v>
      </c>
      <c r="B227" s="470"/>
      <c r="C227" s="368">
        <v>42279</v>
      </c>
      <c r="F227" s="482" t="s">
        <v>678</v>
      </c>
      <c r="G227" s="470"/>
      <c r="H227" s="369" t="s">
        <v>659</v>
      </c>
      <c r="I227" s="369" t="s">
        <v>1305</v>
      </c>
      <c r="J227" s="367" t="s">
        <v>1306</v>
      </c>
      <c r="K227" s="482" t="s">
        <v>1085</v>
      </c>
      <c r="L227" s="470"/>
      <c r="M227" s="470"/>
      <c r="N227" s="369" t="s">
        <v>655</v>
      </c>
      <c r="O227" s="369" t="s">
        <v>655</v>
      </c>
      <c r="P227" s="369" t="s">
        <v>655</v>
      </c>
      <c r="Q227" s="369" t="s">
        <v>655</v>
      </c>
      <c r="R227" s="367" t="s">
        <v>1307</v>
      </c>
      <c r="S227" s="367">
        <v>3718583</v>
      </c>
      <c r="T227" s="483">
        <v>586.79999999999995</v>
      </c>
      <c r="U227" s="470"/>
      <c r="V227" s="483">
        <v>79.62</v>
      </c>
      <c r="W227" s="470"/>
      <c r="X227" s="470"/>
      <c r="Y227" s="370">
        <f t="shared" si="4"/>
        <v>79.62</v>
      </c>
      <c r="Z227" s="371"/>
    </row>
    <row r="228" spans="1:26" x14ac:dyDescent="0.25">
      <c r="A228" s="481">
        <v>42280</v>
      </c>
      <c r="B228" s="470"/>
      <c r="C228" s="368">
        <v>42280</v>
      </c>
      <c r="F228" s="482" t="s">
        <v>673</v>
      </c>
      <c r="G228" s="470"/>
      <c r="H228" s="369" t="s">
        <v>659</v>
      </c>
      <c r="I228" s="369" t="s">
        <v>1308</v>
      </c>
      <c r="J228" s="367" t="s">
        <v>1309</v>
      </c>
      <c r="K228" s="482" t="s">
        <v>1310</v>
      </c>
      <c r="L228" s="470"/>
      <c r="M228" s="470"/>
      <c r="N228" s="369" t="s">
        <v>655</v>
      </c>
      <c r="O228" s="369" t="s">
        <v>655</v>
      </c>
      <c r="P228" s="369" t="s">
        <v>655</v>
      </c>
      <c r="Q228" s="369" t="s">
        <v>655</v>
      </c>
      <c r="R228" s="367" t="s">
        <v>1311</v>
      </c>
      <c r="S228" s="367">
        <v>3727731</v>
      </c>
      <c r="T228" s="483">
        <v>586.79999999999995</v>
      </c>
      <c r="U228" s="470"/>
      <c r="V228" s="483">
        <v>0</v>
      </c>
      <c r="W228" s="470"/>
      <c r="X228" s="470"/>
      <c r="Y228" s="370">
        <f t="shared" si="4"/>
        <v>0</v>
      </c>
      <c r="Z228" s="371">
        <v>5</v>
      </c>
    </row>
    <row r="229" spans="1:26" x14ac:dyDescent="0.25">
      <c r="A229" s="481">
        <v>42280</v>
      </c>
      <c r="B229" s="470"/>
      <c r="C229" s="368">
        <v>42280</v>
      </c>
      <c r="F229" s="482" t="s">
        <v>1312</v>
      </c>
      <c r="G229" s="470"/>
      <c r="H229" s="369" t="s">
        <v>659</v>
      </c>
      <c r="I229" s="369" t="s">
        <v>1313</v>
      </c>
      <c r="J229" s="367" t="s">
        <v>1314</v>
      </c>
      <c r="K229" s="482" t="s">
        <v>1315</v>
      </c>
      <c r="L229" s="470"/>
      <c r="M229" s="470"/>
      <c r="N229" s="369" t="s">
        <v>655</v>
      </c>
      <c r="O229" s="369" t="s">
        <v>655</v>
      </c>
      <c r="P229" s="369" t="s">
        <v>655</v>
      </c>
      <c r="Q229" s="369" t="s">
        <v>655</v>
      </c>
      <c r="R229" s="367" t="s">
        <v>1316</v>
      </c>
      <c r="S229" s="367">
        <v>3722005</v>
      </c>
      <c r="T229" s="483">
        <v>586.79999999999995</v>
      </c>
      <c r="U229" s="470"/>
      <c r="V229" s="483">
        <v>0</v>
      </c>
      <c r="W229" s="470"/>
      <c r="X229" s="470"/>
      <c r="Y229" s="370">
        <f t="shared" si="4"/>
        <v>0</v>
      </c>
      <c r="Z229" s="371"/>
    </row>
    <row r="230" spans="1:26" x14ac:dyDescent="0.25">
      <c r="A230" s="481">
        <v>42280</v>
      </c>
      <c r="B230" s="470"/>
      <c r="C230" s="368">
        <v>42280</v>
      </c>
      <c r="F230" s="482" t="s">
        <v>673</v>
      </c>
      <c r="G230" s="470"/>
      <c r="H230" s="369" t="s">
        <v>659</v>
      </c>
      <c r="I230" s="369" t="s">
        <v>1317</v>
      </c>
      <c r="J230" s="367" t="s">
        <v>1318</v>
      </c>
      <c r="K230" s="482" t="s">
        <v>869</v>
      </c>
      <c r="L230" s="470"/>
      <c r="M230" s="470"/>
      <c r="N230" s="369" t="s">
        <v>655</v>
      </c>
      <c r="O230" s="369" t="s">
        <v>655</v>
      </c>
      <c r="P230" s="369" t="s">
        <v>655</v>
      </c>
      <c r="Q230" s="369" t="s">
        <v>655</v>
      </c>
      <c r="R230" s="367" t="s">
        <v>1319</v>
      </c>
      <c r="S230" s="367">
        <v>3727792</v>
      </c>
      <c r="T230" s="483">
        <v>586.79999999999995</v>
      </c>
      <c r="U230" s="470"/>
      <c r="V230" s="483">
        <v>2374.5</v>
      </c>
      <c r="W230" s="470"/>
      <c r="X230" s="470"/>
      <c r="Y230" s="370">
        <f t="shared" si="4"/>
        <v>2374.5</v>
      </c>
      <c r="Z230" s="371">
        <v>30</v>
      </c>
    </row>
    <row r="231" spans="1:26" x14ac:dyDescent="0.25">
      <c r="A231" s="481">
        <v>42281</v>
      </c>
      <c r="B231" s="470"/>
      <c r="C231" s="368">
        <v>42281</v>
      </c>
      <c r="F231" s="482" t="s">
        <v>716</v>
      </c>
      <c r="G231" s="470"/>
      <c r="H231" s="369" t="s">
        <v>659</v>
      </c>
      <c r="I231" s="369" t="s">
        <v>691</v>
      </c>
      <c r="J231" s="367" t="s">
        <v>692</v>
      </c>
      <c r="K231" s="482" t="s">
        <v>693</v>
      </c>
      <c r="L231" s="470"/>
      <c r="M231" s="470"/>
      <c r="N231" s="369" t="s">
        <v>655</v>
      </c>
      <c r="O231" s="369" t="s">
        <v>655</v>
      </c>
      <c r="P231" s="369" t="s">
        <v>655</v>
      </c>
      <c r="Q231" s="369" t="s">
        <v>655</v>
      </c>
      <c r="R231" s="367" t="s">
        <v>717</v>
      </c>
      <c r="S231" s="367">
        <v>3723395</v>
      </c>
      <c r="T231" s="483">
        <v>586.79999999999995</v>
      </c>
      <c r="U231" s="470"/>
      <c r="V231" s="483">
        <v>1391.43</v>
      </c>
      <c r="W231" s="470"/>
      <c r="X231" s="470"/>
      <c r="Y231" s="370">
        <f t="shared" si="4"/>
        <v>1391.43</v>
      </c>
      <c r="Z231" s="371">
        <v>3</v>
      </c>
    </row>
    <row r="232" spans="1:26" x14ac:dyDescent="0.25">
      <c r="A232" s="481">
        <v>42282</v>
      </c>
      <c r="B232" s="470"/>
      <c r="C232" s="368">
        <v>42286</v>
      </c>
      <c r="F232" s="482" t="s">
        <v>673</v>
      </c>
      <c r="G232" s="470"/>
      <c r="H232" s="369" t="s">
        <v>659</v>
      </c>
      <c r="I232" s="369" t="s">
        <v>1320</v>
      </c>
      <c r="J232" s="367" t="s">
        <v>1321</v>
      </c>
      <c r="K232" s="482" t="s">
        <v>1322</v>
      </c>
      <c r="L232" s="470"/>
      <c r="M232" s="470"/>
      <c r="N232" s="369" t="s">
        <v>655</v>
      </c>
      <c r="O232" s="369" t="s">
        <v>655</v>
      </c>
      <c r="P232" s="369" t="s">
        <v>655</v>
      </c>
      <c r="Q232" s="369" t="s">
        <v>655</v>
      </c>
      <c r="R232" s="367" t="s">
        <v>1323</v>
      </c>
      <c r="S232" s="367">
        <v>3724731</v>
      </c>
      <c r="T232" s="483">
        <v>586.79999999999995</v>
      </c>
      <c r="U232" s="470"/>
      <c r="V232" s="483">
        <v>0</v>
      </c>
      <c r="W232" s="470"/>
      <c r="X232" s="470"/>
      <c r="Y232" s="370">
        <f t="shared" si="4"/>
        <v>0</v>
      </c>
      <c r="Z232" s="371">
        <v>2</v>
      </c>
    </row>
    <row r="233" spans="1:26" x14ac:dyDescent="0.25">
      <c r="A233" s="481">
        <v>42283</v>
      </c>
      <c r="B233" s="470"/>
      <c r="C233" s="368">
        <v>42283</v>
      </c>
      <c r="F233" s="482" t="s">
        <v>673</v>
      </c>
      <c r="G233" s="470"/>
      <c r="H233" s="369" t="s">
        <v>659</v>
      </c>
      <c r="I233" s="369" t="s">
        <v>1324</v>
      </c>
      <c r="J233" s="367" t="s">
        <v>1325</v>
      </c>
      <c r="K233" s="482" t="s">
        <v>693</v>
      </c>
      <c r="L233" s="470"/>
      <c r="M233" s="470"/>
      <c r="N233" s="369" t="s">
        <v>655</v>
      </c>
      <c r="O233" s="369" t="s">
        <v>753</v>
      </c>
      <c r="P233" s="369" t="s">
        <v>655</v>
      </c>
      <c r="Q233" s="369" t="s">
        <v>753</v>
      </c>
      <c r="R233" s="367" t="s">
        <v>1326</v>
      </c>
      <c r="S233" s="367">
        <v>3745547</v>
      </c>
      <c r="T233" s="483">
        <v>586.79999999999995</v>
      </c>
      <c r="U233" s="470"/>
      <c r="V233" s="483">
        <v>0</v>
      </c>
      <c r="W233" s="470"/>
      <c r="X233" s="470"/>
      <c r="Y233" s="370">
        <f t="shared" si="4"/>
        <v>0</v>
      </c>
      <c r="Z233" s="371"/>
    </row>
    <row r="234" spans="1:26" x14ac:dyDescent="0.25">
      <c r="A234" s="481">
        <v>42283</v>
      </c>
      <c r="B234" s="470"/>
      <c r="C234" s="368">
        <v>42284</v>
      </c>
      <c r="F234" s="482" t="s">
        <v>697</v>
      </c>
      <c r="G234" s="470"/>
      <c r="H234" s="369" t="s">
        <v>659</v>
      </c>
      <c r="I234" s="369" t="s">
        <v>1327</v>
      </c>
      <c r="J234" s="367" t="s">
        <v>1328</v>
      </c>
      <c r="K234" s="482" t="s">
        <v>1329</v>
      </c>
      <c r="L234" s="470"/>
      <c r="M234" s="470"/>
      <c r="N234" s="369" t="s">
        <v>655</v>
      </c>
      <c r="O234" s="369" t="s">
        <v>655</v>
      </c>
      <c r="P234" s="369" t="s">
        <v>655</v>
      </c>
      <c r="Q234" s="369" t="s">
        <v>655</v>
      </c>
      <c r="R234" s="367" t="s">
        <v>1330</v>
      </c>
      <c r="S234" s="367">
        <v>3810961</v>
      </c>
      <c r="T234" s="483">
        <v>586.79999999999995</v>
      </c>
      <c r="U234" s="470"/>
      <c r="V234" s="483">
        <v>52.08</v>
      </c>
      <c r="W234" s="470"/>
      <c r="X234" s="470"/>
      <c r="Y234" s="370">
        <f t="shared" si="4"/>
        <v>52.08</v>
      </c>
      <c r="Z234" s="371"/>
    </row>
    <row r="235" spans="1:26" x14ac:dyDescent="0.25">
      <c r="A235" s="481">
        <v>42284</v>
      </c>
      <c r="B235" s="470"/>
      <c r="C235" s="368">
        <v>42285</v>
      </c>
      <c r="F235" s="482" t="s">
        <v>673</v>
      </c>
      <c r="G235" s="470"/>
      <c r="H235" s="369" t="s">
        <v>659</v>
      </c>
      <c r="I235" s="369" t="s">
        <v>1331</v>
      </c>
      <c r="J235" s="367" t="s">
        <v>1332</v>
      </c>
      <c r="K235" s="482" t="s">
        <v>1333</v>
      </c>
      <c r="L235" s="470"/>
      <c r="M235" s="470"/>
      <c r="N235" s="369" t="s">
        <v>655</v>
      </c>
      <c r="O235" s="369" t="s">
        <v>753</v>
      </c>
      <c r="P235" s="369" t="s">
        <v>655</v>
      </c>
      <c r="Q235" s="369" t="s">
        <v>753</v>
      </c>
      <c r="R235" s="367" t="s">
        <v>1334</v>
      </c>
      <c r="S235" s="367">
        <v>3745497</v>
      </c>
      <c r="T235" s="483">
        <v>586.79999999999995</v>
      </c>
      <c r="U235" s="470"/>
      <c r="V235" s="483">
        <v>0</v>
      </c>
      <c r="W235" s="470"/>
      <c r="X235" s="470"/>
      <c r="Y235" s="370">
        <f t="shared" si="4"/>
        <v>0</v>
      </c>
      <c r="Z235" s="371">
        <v>6</v>
      </c>
    </row>
    <row r="236" spans="1:26" x14ac:dyDescent="0.25">
      <c r="A236" s="481">
        <v>42285</v>
      </c>
      <c r="B236" s="470"/>
      <c r="C236" s="368">
        <v>42285</v>
      </c>
      <c r="F236" s="482" t="s">
        <v>673</v>
      </c>
      <c r="G236" s="470"/>
      <c r="H236" s="369" t="s">
        <v>659</v>
      </c>
      <c r="I236" s="369" t="s">
        <v>1335</v>
      </c>
      <c r="J236" s="367" t="s">
        <v>868</v>
      </c>
      <c r="K236" s="482" t="s">
        <v>1336</v>
      </c>
      <c r="L236" s="470"/>
      <c r="M236" s="470"/>
      <c r="N236" s="369" t="s">
        <v>655</v>
      </c>
      <c r="O236" s="369" t="s">
        <v>655</v>
      </c>
      <c r="P236" s="369" t="s">
        <v>655</v>
      </c>
      <c r="Q236" s="369" t="s">
        <v>655</v>
      </c>
      <c r="R236" s="367" t="s">
        <v>1337</v>
      </c>
      <c r="S236" s="367">
        <v>3745520</v>
      </c>
      <c r="T236" s="483">
        <v>586.79999999999995</v>
      </c>
      <c r="U236" s="470"/>
      <c r="V236" s="483">
        <v>206.75</v>
      </c>
      <c r="W236" s="470"/>
      <c r="X236" s="470"/>
      <c r="Y236" s="370">
        <f t="shared" si="4"/>
        <v>206.75</v>
      </c>
      <c r="Z236" s="371">
        <v>1</v>
      </c>
    </row>
    <row r="237" spans="1:26" x14ac:dyDescent="0.25">
      <c r="A237" s="481">
        <v>42286</v>
      </c>
      <c r="B237" s="470"/>
      <c r="C237" s="368">
        <v>42286</v>
      </c>
      <c r="F237" s="482" t="s">
        <v>673</v>
      </c>
      <c r="G237" s="470"/>
      <c r="H237" s="369" t="s">
        <v>659</v>
      </c>
      <c r="I237" s="369" t="s">
        <v>1338</v>
      </c>
      <c r="J237" s="367" t="s">
        <v>1339</v>
      </c>
      <c r="K237" s="482" t="s">
        <v>1340</v>
      </c>
      <c r="L237" s="470"/>
      <c r="M237" s="470"/>
      <c r="N237" s="369" t="s">
        <v>655</v>
      </c>
      <c r="O237" s="369" t="s">
        <v>655</v>
      </c>
      <c r="P237" s="369" t="s">
        <v>655</v>
      </c>
      <c r="Q237" s="369" t="s">
        <v>655</v>
      </c>
      <c r="R237" s="367" t="s">
        <v>1341</v>
      </c>
      <c r="S237" s="367">
        <v>3762452</v>
      </c>
      <c r="T237" s="483">
        <v>586.79999999999995</v>
      </c>
      <c r="U237" s="470"/>
      <c r="V237" s="483">
        <v>513.61</v>
      </c>
      <c r="W237" s="470"/>
      <c r="X237" s="470"/>
      <c r="Y237" s="370">
        <f t="shared" si="4"/>
        <v>513.61</v>
      </c>
      <c r="Z237" s="371">
        <v>1</v>
      </c>
    </row>
    <row r="238" spans="1:26" x14ac:dyDescent="0.25">
      <c r="A238" s="481">
        <v>42286</v>
      </c>
      <c r="B238" s="470"/>
      <c r="C238" s="368">
        <v>42286</v>
      </c>
      <c r="F238" s="482" t="s">
        <v>673</v>
      </c>
      <c r="G238" s="470"/>
      <c r="H238" s="369" t="s">
        <v>659</v>
      </c>
      <c r="I238" s="369" t="s">
        <v>1342</v>
      </c>
      <c r="J238" s="367" t="s">
        <v>1343</v>
      </c>
      <c r="K238" s="482" t="s">
        <v>676</v>
      </c>
      <c r="L238" s="470"/>
      <c r="M238" s="470"/>
      <c r="N238" s="369" t="s">
        <v>655</v>
      </c>
      <c r="O238" s="369" t="s">
        <v>655</v>
      </c>
      <c r="P238" s="369" t="s">
        <v>655</v>
      </c>
      <c r="Q238" s="369" t="s">
        <v>655</v>
      </c>
      <c r="R238" s="367" t="s">
        <v>1344</v>
      </c>
      <c r="S238" s="367">
        <v>3762515</v>
      </c>
      <c r="T238" s="483">
        <v>586.79999999999995</v>
      </c>
      <c r="U238" s="470"/>
      <c r="V238" s="483">
        <v>427.39</v>
      </c>
      <c r="W238" s="470"/>
      <c r="X238" s="470"/>
      <c r="Y238" s="370">
        <f t="shared" si="4"/>
        <v>427.39</v>
      </c>
      <c r="Z238" s="371">
        <v>2</v>
      </c>
    </row>
    <row r="239" spans="1:26" x14ac:dyDescent="0.25">
      <c r="A239" s="481">
        <v>42287</v>
      </c>
      <c r="B239" s="470"/>
      <c r="C239" s="368">
        <v>42287</v>
      </c>
      <c r="F239" s="482" t="s">
        <v>673</v>
      </c>
      <c r="G239" s="470"/>
      <c r="H239" s="369" t="s">
        <v>659</v>
      </c>
      <c r="I239" s="369" t="s">
        <v>1345</v>
      </c>
      <c r="J239" s="367" t="s">
        <v>676</v>
      </c>
      <c r="K239" s="482" t="s">
        <v>1346</v>
      </c>
      <c r="L239" s="470"/>
      <c r="M239" s="470"/>
      <c r="N239" s="369" t="s">
        <v>655</v>
      </c>
      <c r="O239" s="369" t="s">
        <v>753</v>
      </c>
      <c r="P239" s="369" t="s">
        <v>655</v>
      </c>
      <c r="Q239" s="369" t="s">
        <v>753</v>
      </c>
      <c r="R239" s="367" t="s">
        <v>1347</v>
      </c>
      <c r="S239" s="367">
        <v>3762637</v>
      </c>
      <c r="T239" s="483">
        <v>586.79999999999995</v>
      </c>
      <c r="U239" s="470"/>
      <c r="V239" s="483">
        <v>0</v>
      </c>
      <c r="W239" s="470"/>
      <c r="X239" s="470"/>
      <c r="Y239" s="370">
        <f t="shared" si="4"/>
        <v>0</v>
      </c>
      <c r="Z239" s="371"/>
    </row>
    <row r="240" spans="1:26" x14ac:dyDescent="0.25">
      <c r="A240" s="481">
        <v>42287</v>
      </c>
      <c r="B240" s="470"/>
      <c r="C240" s="368">
        <v>42287</v>
      </c>
      <c r="F240" s="482" t="s">
        <v>673</v>
      </c>
      <c r="G240" s="470"/>
      <c r="H240" s="369" t="s">
        <v>659</v>
      </c>
      <c r="I240" s="369" t="s">
        <v>1348</v>
      </c>
      <c r="J240" s="367" t="s">
        <v>1349</v>
      </c>
      <c r="K240" s="482" t="s">
        <v>693</v>
      </c>
      <c r="L240" s="470"/>
      <c r="M240" s="470"/>
      <c r="N240" s="369" t="s">
        <v>655</v>
      </c>
      <c r="O240" s="369" t="s">
        <v>753</v>
      </c>
      <c r="P240" s="369" t="s">
        <v>655</v>
      </c>
      <c r="Q240" s="369" t="s">
        <v>753</v>
      </c>
      <c r="R240" s="367" t="s">
        <v>1350</v>
      </c>
      <c r="S240" s="367">
        <v>3762607</v>
      </c>
      <c r="T240" s="483">
        <v>586.79999999999995</v>
      </c>
      <c r="U240" s="470"/>
      <c r="V240" s="483">
        <v>98.98</v>
      </c>
      <c r="W240" s="470"/>
      <c r="X240" s="470"/>
      <c r="Y240" s="370">
        <f t="shared" si="4"/>
        <v>98.98</v>
      </c>
      <c r="Z240" s="371">
        <v>21</v>
      </c>
    </row>
    <row r="241" spans="1:26" x14ac:dyDescent="0.25">
      <c r="A241" s="481">
        <v>42287</v>
      </c>
      <c r="B241" s="470"/>
      <c r="C241" s="368">
        <v>42287</v>
      </c>
      <c r="F241" s="482" t="s">
        <v>899</v>
      </c>
      <c r="G241" s="470"/>
      <c r="H241" s="369" t="s">
        <v>659</v>
      </c>
      <c r="I241" s="369" t="s">
        <v>1351</v>
      </c>
      <c r="J241" s="367" t="s">
        <v>1352</v>
      </c>
      <c r="K241" s="482" t="s">
        <v>1353</v>
      </c>
      <c r="L241" s="470"/>
      <c r="M241" s="470"/>
      <c r="N241" s="369" t="s">
        <v>655</v>
      </c>
      <c r="O241" s="369" t="s">
        <v>753</v>
      </c>
      <c r="P241" s="369" t="s">
        <v>655</v>
      </c>
      <c r="Q241" s="369" t="s">
        <v>753</v>
      </c>
      <c r="R241" s="367" t="s">
        <v>1354</v>
      </c>
      <c r="S241" s="367">
        <v>3762536</v>
      </c>
      <c r="T241" s="483">
        <v>586.79999999999995</v>
      </c>
      <c r="U241" s="470"/>
      <c r="V241" s="483">
        <v>0</v>
      </c>
      <c r="W241" s="470"/>
      <c r="X241" s="470"/>
      <c r="Y241" s="370">
        <f t="shared" si="4"/>
        <v>0</v>
      </c>
      <c r="Z241" s="371"/>
    </row>
    <row r="242" spans="1:26" x14ac:dyDescent="0.25">
      <c r="A242" s="481">
        <v>42289</v>
      </c>
      <c r="B242" s="470"/>
      <c r="C242" s="368">
        <v>42289</v>
      </c>
      <c r="F242" s="482" t="s">
        <v>678</v>
      </c>
      <c r="G242" s="470"/>
      <c r="H242" s="369" t="s">
        <v>659</v>
      </c>
      <c r="I242" s="369" t="s">
        <v>1355</v>
      </c>
      <c r="J242" s="367" t="s">
        <v>1356</v>
      </c>
      <c r="K242" s="482" t="s">
        <v>1357</v>
      </c>
      <c r="L242" s="470"/>
      <c r="M242" s="470"/>
      <c r="N242" s="369" t="s">
        <v>655</v>
      </c>
      <c r="O242" s="369" t="s">
        <v>655</v>
      </c>
      <c r="P242" s="369" t="s">
        <v>655</v>
      </c>
      <c r="Q242" s="369" t="s">
        <v>655</v>
      </c>
      <c r="R242" s="367" t="s">
        <v>1358</v>
      </c>
      <c r="S242" s="367">
        <v>3765502</v>
      </c>
      <c r="T242" s="483">
        <v>586.79999999999995</v>
      </c>
      <c r="U242" s="470"/>
      <c r="V242" s="483">
        <v>2115.73</v>
      </c>
      <c r="W242" s="470"/>
      <c r="X242" s="470"/>
      <c r="Y242" s="370">
        <f t="shared" si="4"/>
        <v>2115.73</v>
      </c>
      <c r="Z242" s="371">
        <v>1</v>
      </c>
    </row>
    <row r="243" spans="1:26" x14ac:dyDescent="0.25">
      <c r="A243" s="481">
        <v>42289</v>
      </c>
      <c r="B243" s="470"/>
      <c r="C243" s="368">
        <v>42291</v>
      </c>
      <c r="F243" s="482" t="s">
        <v>673</v>
      </c>
      <c r="G243" s="470"/>
      <c r="H243" s="369" t="s">
        <v>659</v>
      </c>
      <c r="I243" s="369" t="s">
        <v>1359</v>
      </c>
      <c r="J243" s="367" t="s">
        <v>1360</v>
      </c>
      <c r="K243" s="482" t="s">
        <v>1361</v>
      </c>
      <c r="L243" s="470"/>
      <c r="M243" s="470"/>
      <c r="N243" s="369" t="s">
        <v>655</v>
      </c>
      <c r="O243" s="369" t="s">
        <v>655</v>
      </c>
      <c r="P243" s="369" t="s">
        <v>655</v>
      </c>
      <c r="Q243" s="369" t="s">
        <v>655</v>
      </c>
      <c r="R243" s="367" t="s">
        <v>1362</v>
      </c>
      <c r="S243" s="367">
        <v>3762464</v>
      </c>
      <c r="T243" s="483">
        <v>586.79999999999995</v>
      </c>
      <c r="U243" s="470"/>
      <c r="V243" s="483">
        <v>0</v>
      </c>
      <c r="W243" s="470"/>
      <c r="X243" s="470"/>
      <c r="Y243" s="370">
        <f t="shared" si="4"/>
        <v>0</v>
      </c>
      <c r="Z243" s="371"/>
    </row>
    <row r="244" spans="1:26" x14ac:dyDescent="0.25">
      <c r="A244" s="481">
        <v>42290</v>
      </c>
      <c r="B244" s="470"/>
      <c r="C244" s="368">
        <v>42290</v>
      </c>
      <c r="F244" s="482" t="s">
        <v>695</v>
      </c>
      <c r="G244" s="470"/>
      <c r="H244" s="369" t="s">
        <v>659</v>
      </c>
      <c r="I244" s="369" t="s">
        <v>1363</v>
      </c>
      <c r="J244" s="367" t="s">
        <v>1364</v>
      </c>
      <c r="K244" s="482" t="s">
        <v>1365</v>
      </c>
      <c r="L244" s="470"/>
      <c r="M244" s="470"/>
      <c r="N244" s="369" t="s">
        <v>655</v>
      </c>
      <c r="O244" s="369" t="s">
        <v>655</v>
      </c>
      <c r="P244" s="369" t="s">
        <v>655</v>
      </c>
      <c r="Q244" s="369" t="s">
        <v>655</v>
      </c>
      <c r="R244" s="367" t="s">
        <v>1366</v>
      </c>
      <c r="S244" s="367">
        <v>3770384</v>
      </c>
      <c r="T244" s="483">
        <v>586.79999999999995</v>
      </c>
      <c r="U244" s="470"/>
      <c r="V244" s="483">
        <v>1562.57</v>
      </c>
      <c r="W244" s="470"/>
      <c r="X244" s="470"/>
      <c r="Y244" s="370">
        <f t="shared" si="4"/>
        <v>1562.57</v>
      </c>
      <c r="Z244" s="371">
        <v>2</v>
      </c>
    </row>
    <row r="245" spans="1:26" x14ac:dyDescent="0.25">
      <c r="A245" s="481">
        <v>42290</v>
      </c>
      <c r="B245" s="470"/>
      <c r="C245" s="368">
        <v>42290</v>
      </c>
      <c r="F245" s="482" t="s">
        <v>673</v>
      </c>
      <c r="G245" s="470"/>
      <c r="H245" s="369" t="s">
        <v>659</v>
      </c>
      <c r="I245" s="369" t="s">
        <v>1367</v>
      </c>
      <c r="J245" s="367" t="s">
        <v>1368</v>
      </c>
      <c r="K245" s="482" t="s">
        <v>1369</v>
      </c>
      <c r="L245" s="470"/>
      <c r="M245" s="470"/>
      <c r="N245" s="369" t="s">
        <v>655</v>
      </c>
      <c r="O245" s="369" t="s">
        <v>753</v>
      </c>
      <c r="P245" s="369" t="s">
        <v>655</v>
      </c>
      <c r="Q245" s="369" t="s">
        <v>753</v>
      </c>
      <c r="R245" s="367" t="s">
        <v>1370</v>
      </c>
      <c r="S245" s="367">
        <v>3774719</v>
      </c>
      <c r="T245" s="483">
        <v>586.79999999999995</v>
      </c>
      <c r="U245" s="470"/>
      <c r="V245" s="483">
        <v>122.66</v>
      </c>
      <c r="W245" s="470"/>
      <c r="X245" s="470"/>
      <c r="Y245" s="370">
        <f t="shared" si="4"/>
        <v>122.66</v>
      </c>
      <c r="Z245" s="371">
        <v>7</v>
      </c>
    </row>
    <row r="246" spans="1:26" x14ac:dyDescent="0.25">
      <c r="A246" s="481">
        <v>42290</v>
      </c>
      <c r="B246" s="470"/>
      <c r="C246" s="368">
        <v>42290</v>
      </c>
      <c r="F246" s="482" t="s">
        <v>697</v>
      </c>
      <c r="G246" s="470"/>
      <c r="H246" s="369" t="s">
        <v>659</v>
      </c>
      <c r="I246" s="369" t="s">
        <v>1371</v>
      </c>
      <c r="J246" s="367" t="s">
        <v>1372</v>
      </c>
      <c r="K246" s="482" t="s">
        <v>1373</v>
      </c>
      <c r="L246" s="470"/>
      <c r="M246" s="470"/>
      <c r="N246" s="369" t="s">
        <v>655</v>
      </c>
      <c r="O246" s="369" t="s">
        <v>753</v>
      </c>
      <c r="P246" s="369" t="s">
        <v>655</v>
      </c>
      <c r="Q246" s="369" t="s">
        <v>753</v>
      </c>
      <c r="R246" s="367" t="s">
        <v>1374</v>
      </c>
      <c r="S246" s="367">
        <v>3768864</v>
      </c>
      <c r="T246" s="483">
        <v>586.79999999999995</v>
      </c>
      <c r="U246" s="470"/>
      <c r="V246" s="483">
        <v>0</v>
      </c>
      <c r="W246" s="470"/>
      <c r="X246" s="470"/>
      <c r="Y246" s="370">
        <f t="shared" si="4"/>
        <v>0</v>
      </c>
      <c r="Z246" s="371"/>
    </row>
    <row r="247" spans="1:26" x14ac:dyDescent="0.25">
      <c r="A247" s="481">
        <v>42291</v>
      </c>
      <c r="B247" s="470"/>
      <c r="C247" s="368">
        <v>42291</v>
      </c>
      <c r="F247" s="482" t="s">
        <v>740</v>
      </c>
      <c r="G247" s="470"/>
      <c r="H247" s="369" t="s">
        <v>659</v>
      </c>
      <c r="I247" s="369" t="s">
        <v>1355</v>
      </c>
      <c r="J247" s="367" t="s">
        <v>1356</v>
      </c>
      <c r="K247" s="482" t="s">
        <v>1357</v>
      </c>
      <c r="L247" s="470"/>
      <c r="M247" s="470"/>
      <c r="N247" s="369" t="s">
        <v>655</v>
      </c>
      <c r="O247" s="369" t="s">
        <v>655</v>
      </c>
      <c r="P247" s="369" t="s">
        <v>655</v>
      </c>
      <c r="Q247" s="369" t="s">
        <v>655</v>
      </c>
      <c r="R247" s="367" t="s">
        <v>1375</v>
      </c>
      <c r="S247" s="367">
        <v>3777267</v>
      </c>
      <c r="T247" s="483">
        <v>586.79999999999995</v>
      </c>
      <c r="U247" s="470"/>
      <c r="V247" s="483">
        <v>1142.8599999999999</v>
      </c>
      <c r="W247" s="470"/>
      <c r="X247" s="470"/>
      <c r="Y247" s="370">
        <f t="shared" si="4"/>
        <v>1142.8599999999999</v>
      </c>
      <c r="Z247" s="371">
        <v>4</v>
      </c>
    </row>
    <row r="248" spans="1:26" x14ac:dyDescent="0.25">
      <c r="A248" s="481">
        <v>42293</v>
      </c>
      <c r="B248" s="470"/>
      <c r="C248" s="368">
        <v>42293</v>
      </c>
      <c r="F248" s="482" t="s">
        <v>673</v>
      </c>
      <c r="G248" s="470"/>
      <c r="H248" s="369" t="s">
        <v>659</v>
      </c>
      <c r="I248" s="369" t="s">
        <v>1376</v>
      </c>
      <c r="J248" s="367" t="s">
        <v>1377</v>
      </c>
      <c r="K248" s="482" t="s">
        <v>1378</v>
      </c>
      <c r="L248" s="470"/>
      <c r="M248" s="470"/>
      <c r="N248" s="369" t="s">
        <v>655</v>
      </c>
      <c r="O248" s="369" t="s">
        <v>655</v>
      </c>
      <c r="P248" s="369" t="s">
        <v>655</v>
      </c>
      <c r="Q248" s="369" t="s">
        <v>655</v>
      </c>
      <c r="R248" s="367" t="s">
        <v>1379</v>
      </c>
      <c r="S248" s="367">
        <v>3797612</v>
      </c>
      <c r="T248" s="483">
        <v>586.79999999999995</v>
      </c>
      <c r="U248" s="470"/>
      <c r="V248" s="483">
        <v>2674.28</v>
      </c>
      <c r="W248" s="470"/>
      <c r="X248" s="470"/>
      <c r="Y248" s="370">
        <f t="shared" si="4"/>
        <v>2674.28</v>
      </c>
      <c r="Z248" s="371">
        <v>3</v>
      </c>
    </row>
    <row r="249" spans="1:26" x14ac:dyDescent="0.25">
      <c r="A249" s="481">
        <v>42294</v>
      </c>
      <c r="B249" s="470"/>
      <c r="C249" s="368">
        <v>42294</v>
      </c>
      <c r="F249" s="482" t="s">
        <v>697</v>
      </c>
      <c r="G249" s="470"/>
      <c r="H249" s="369" t="s">
        <v>659</v>
      </c>
      <c r="I249" s="369" t="s">
        <v>1380</v>
      </c>
      <c r="J249" s="367" t="s">
        <v>1381</v>
      </c>
      <c r="K249" s="482" t="s">
        <v>1382</v>
      </c>
      <c r="L249" s="470"/>
      <c r="M249" s="470"/>
      <c r="N249" s="369" t="s">
        <v>655</v>
      </c>
      <c r="O249" s="369" t="s">
        <v>753</v>
      </c>
      <c r="P249" s="369" t="s">
        <v>655</v>
      </c>
      <c r="Q249" s="369" t="s">
        <v>753</v>
      </c>
      <c r="R249" s="367" t="s">
        <v>1383</v>
      </c>
      <c r="S249" s="367">
        <v>3797574</v>
      </c>
      <c r="T249" s="483">
        <v>586.79999999999995</v>
      </c>
      <c r="U249" s="470"/>
      <c r="V249" s="483">
        <v>0</v>
      </c>
      <c r="W249" s="470"/>
      <c r="X249" s="470"/>
      <c r="Y249" s="370">
        <f t="shared" si="4"/>
        <v>0</v>
      </c>
      <c r="Z249" s="371"/>
    </row>
    <row r="250" spans="1:26" x14ac:dyDescent="0.25">
      <c r="A250" s="481">
        <v>42294</v>
      </c>
      <c r="B250" s="470"/>
      <c r="C250" s="368">
        <v>42294</v>
      </c>
      <c r="F250" s="482" t="s">
        <v>673</v>
      </c>
      <c r="G250" s="470"/>
      <c r="H250" s="369" t="s">
        <v>659</v>
      </c>
      <c r="I250" s="369" t="s">
        <v>1384</v>
      </c>
      <c r="J250" s="367" t="s">
        <v>1385</v>
      </c>
      <c r="K250" s="482" t="s">
        <v>1386</v>
      </c>
      <c r="L250" s="470"/>
      <c r="M250" s="470"/>
      <c r="N250" s="369" t="s">
        <v>655</v>
      </c>
      <c r="O250" s="369" t="s">
        <v>753</v>
      </c>
      <c r="P250" s="369" t="s">
        <v>655</v>
      </c>
      <c r="Q250" s="369" t="s">
        <v>655</v>
      </c>
      <c r="R250" s="367" t="s">
        <v>1387</v>
      </c>
      <c r="S250" s="367">
        <v>3804764</v>
      </c>
      <c r="T250" s="483">
        <v>586.79999999999995</v>
      </c>
      <c r="U250" s="470"/>
      <c r="V250" s="483">
        <v>637.24</v>
      </c>
      <c r="W250" s="470"/>
      <c r="X250" s="470"/>
      <c r="Y250" s="370">
        <f t="shared" si="4"/>
        <v>637.24</v>
      </c>
      <c r="Z250" s="371">
        <v>2</v>
      </c>
    </row>
    <row r="251" spans="1:26" x14ac:dyDescent="0.25">
      <c r="A251" s="481">
        <v>42294</v>
      </c>
      <c r="B251" s="470"/>
      <c r="C251" s="368">
        <v>42294</v>
      </c>
      <c r="F251" s="482" t="s">
        <v>718</v>
      </c>
      <c r="G251" s="470"/>
      <c r="H251" s="369" t="s">
        <v>659</v>
      </c>
      <c r="I251" s="369" t="s">
        <v>691</v>
      </c>
      <c r="J251" s="367" t="s">
        <v>692</v>
      </c>
      <c r="K251" s="482" t="s">
        <v>693</v>
      </c>
      <c r="L251" s="470"/>
      <c r="M251" s="470"/>
      <c r="N251" s="369" t="s">
        <v>655</v>
      </c>
      <c r="O251" s="369" t="s">
        <v>655</v>
      </c>
      <c r="P251" s="369" t="s">
        <v>655</v>
      </c>
      <c r="Q251" s="369" t="s">
        <v>655</v>
      </c>
      <c r="R251" s="367" t="s">
        <v>719</v>
      </c>
      <c r="S251" s="367">
        <v>3792431</v>
      </c>
      <c r="T251" s="483">
        <v>586.79999999999995</v>
      </c>
      <c r="U251" s="470"/>
      <c r="V251" s="483">
        <v>3170.06</v>
      </c>
      <c r="W251" s="470"/>
      <c r="X251" s="470"/>
      <c r="Y251" s="370">
        <f t="shared" si="4"/>
        <v>3170.06</v>
      </c>
      <c r="Z251" s="371">
        <v>3</v>
      </c>
    </row>
    <row r="252" spans="1:26" x14ac:dyDescent="0.25">
      <c r="A252" s="481">
        <v>42294</v>
      </c>
      <c r="B252" s="470"/>
      <c r="C252" s="368">
        <v>42294</v>
      </c>
      <c r="F252" s="482" t="s">
        <v>673</v>
      </c>
      <c r="G252" s="470"/>
      <c r="H252" s="369" t="s">
        <v>659</v>
      </c>
      <c r="I252" s="369" t="s">
        <v>1388</v>
      </c>
      <c r="J252" s="367" t="s">
        <v>1124</v>
      </c>
      <c r="K252" s="482" t="s">
        <v>1389</v>
      </c>
      <c r="L252" s="470"/>
      <c r="M252" s="470"/>
      <c r="N252" s="369" t="s">
        <v>655</v>
      </c>
      <c r="O252" s="369" t="s">
        <v>655</v>
      </c>
      <c r="P252" s="369" t="s">
        <v>655</v>
      </c>
      <c r="Q252" s="369" t="s">
        <v>655</v>
      </c>
      <c r="R252" s="367" t="s">
        <v>1390</v>
      </c>
      <c r="S252" s="367">
        <v>3797479</v>
      </c>
      <c r="T252" s="483">
        <v>586.79999999999995</v>
      </c>
      <c r="U252" s="470"/>
      <c r="V252" s="483">
        <v>407.14</v>
      </c>
      <c r="W252" s="470"/>
      <c r="X252" s="470"/>
      <c r="Y252" s="370">
        <f t="shared" si="4"/>
        <v>407.14</v>
      </c>
      <c r="Z252" s="371">
        <v>1</v>
      </c>
    </row>
    <row r="253" spans="1:26" x14ac:dyDescent="0.25">
      <c r="A253" s="481">
        <v>42295</v>
      </c>
      <c r="B253" s="470"/>
      <c r="C253" s="368">
        <v>42295</v>
      </c>
      <c r="F253" s="482" t="s">
        <v>673</v>
      </c>
      <c r="G253" s="470"/>
      <c r="H253" s="369" t="s">
        <v>659</v>
      </c>
      <c r="I253" s="369" t="s">
        <v>1391</v>
      </c>
      <c r="J253" s="367" t="s">
        <v>835</v>
      </c>
      <c r="K253" s="482" t="s">
        <v>1392</v>
      </c>
      <c r="L253" s="470"/>
      <c r="M253" s="470"/>
      <c r="N253" s="369" t="s">
        <v>655</v>
      </c>
      <c r="O253" s="369" t="s">
        <v>655</v>
      </c>
      <c r="P253" s="369" t="s">
        <v>655</v>
      </c>
      <c r="Q253" s="369" t="s">
        <v>655</v>
      </c>
      <c r="R253" s="367" t="s">
        <v>1393</v>
      </c>
      <c r="S253" s="367">
        <v>3797719</v>
      </c>
      <c r="T253" s="483">
        <v>586.79999999999995</v>
      </c>
      <c r="U253" s="470"/>
      <c r="V253" s="483">
        <v>8010.55</v>
      </c>
      <c r="W253" s="470"/>
      <c r="X253" s="470"/>
      <c r="Y253" s="370">
        <f t="shared" si="4"/>
        <v>8010.55</v>
      </c>
      <c r="Z253" s="371">
        <v>1</v>
      </c>
    </row>
    <row r="254" spans="1:26" x14ac:dyDescent="0.25">
      <c r="A254" s="481">
        <v>42296</v>
      </c>
      <c r="B254" s="470"/>
      <c r="C254" s="368">
        <v>42297</v>
      </c>
      <c r="F254" s="482" t="s">
        <v>686</v>
      </c>
      <c r="G254" s="470"/>
      <c r="H254" s="369" t="s">
        <v>659</v>
      </c>
      <c r="I254" s="369" t="s">
        <v>1394</v>
      </c>
      <c r="J254" s="367" t="s">
        <v>1395</v>
      </c>
      <c r="K254" s="482" t="s">
        <v>1292</v>
      </c>
      <c r="L254" s="470"/>
      <c r="M254" s="470"/>
      <c r="N254" s="369" t="s">
        <v>655</v>
      </c>
      <c r="O254" s="369" t="s">
        <v>655</v>
      </c>
      <c r="P254" s="369" t="s">
        <v>655</v>
      </c>
      <c r="Q254" s="369" t="s">
        <v>655</v>
      </c>
      <c r="R254" s="367" t="s">
        <v>1396</v>
      </c>
      <c r="S254" s="367">
        <v>3803276</v>
      </c>
      <c r="T254" s="483">
        <v>586.79999999999995</v>
      </c>
      <c r="U254" s="470"/>
      <c r="V254" s="483">
        <v>0</v>
      </c>
      <c r="W254" s="470"/>
      <c r="X254" s="470"/>
      <c r="Y254" s="370">
        <f t="shared" si="4"/>
        <v>0</v>
      </c>
      <c r="Z254" s="371">
        <v>12</v>
      </c>
    </row>
    <row r="255" spans="1:26" x14ac:dyDescent="0.25">
      <c r="A255" s="481">
        <v>42296</v>
      </c>
      <c r="B255" s="470"/>
      <c r="C255" s="368">
        <v>42297</v>
      </c>
      <c r="F255" s="482" t="s">
        <v>720</v>
      </c>
      <c r="G255" s="470"/>
      <c r="H255" s="369" t="s">
        <v>659</v>
      </c>
      <c r="I255" s="369" t="s">
        <v>721</v>
      </c>
      <c r="J255" s="367" t="s">
        <v>722</v>
      </c>
      <c r="K255" s="482" t="s">
        <v>723</v>
      </c>
      <c r="L255" s="470"/>
      <c r="M255" s="470"/>
      <c r="N255" s="369" t="s">
        <v>724</v>
      </c>
      <c r="O255" s="369" t="s">
        <v>655</v>
      </c>
      <c r="P255" s="369" t="s">
        <v>655</v>
      </c>
      <c r="Q255" s="369" t="s">
        <v>655</v>
      </c>
      <c r="R255" s="367" t="s">
        <v>725</v>
      </c>
      <c r="S255" s="367">
        <v>3803166</v>
      </c>
      <c r="T255" s="483">
        <v>586.79999999999995</v>
      </c>
      <c r="U255" s="470"/>
      <c r="V255" s="483">
        <v>5664.14</v>
      </c>
      <c r="W255" s="470"/>
      <c r="X255" s="470"/>
      <c r="Y255" s="370">
        <f t="shared" si="4"/>
        <v>5664.14</v>
      </c>
      <c r="Z255" s="371">
        <v>1</v>
      </c>
    </row>
    <row r="256" spans="1:26" x14ac:dyDescent="0.25">
      <c r="A256" s="481">
        <v>42299</v>
      </c>
      <c r="B256" s="470"/>
      <c r="C256" s="368">
        <v>42299</v>
      </c>
      <c r="F256" s="482" t="s">
        <v>673</v>
      </c>
      <c r="G256" s="470"/>
      <c r="H256" s="369" t="s">
        <v>659</v>
      </c>
      <c r="I256" s="369" t="s">
        <v>1397</v>
      </c>
      <c r="J256" s="367" t="s">
        <v>1398</v>
      </c>
      <c r="K256" s="482" t="s">
        <v>1365</v>
      </c>
      <c r="L256" s="470"/>
      <c r="M256" s="470"/>
      <c r="N256" s="369" t="s">
        <v>655</v>
      </c>
      <c r="O256" s="369" t="s">
        <v>753</v>
      </c>
      <c r="P256" s="369" t="s">
        <v>655</v>
      </c>
      <c r="Q256" s="369" t="s">
        <v>655</v>
      </c>
      <c r="R256" s="367" t="s">
        <v>1399</v>
      </c>
      <c r="S256" s="367">
        <v>3817779</v>
      </c>
      <c r="T256" s="483">
        <v>586.79999999999995</v>
      </c>
      <c r="U256" s="470"/>
      <c r="V256" s="483">
        <v>225.68</v>
      </c>
      <c r="W256" s="470"/>
      <c r="X256" s="470"/>
      <c r="Y256" s="370">
        <f t="shared" si="4"/>
        <v>225.68</v>
      </c>
      <c r="Z256" s="371">
        <v>1</v>
      </c>
    </row>
    <row r="257" spans="1:26" x14ac:dyDescent="0.25">
      <c r="A257" s="481">
        <v>42301</v>
      </c>
      <c r="B257" s="470"/>
      <c r="C257" s="368">
        <v>42301</v>
      </c>
      <c r="F257" s="482" t="s">
        <v>673</v>
      </c>
      <c r="G257" s="470"/>
      <c r="H257" s="369" t="s">
        <v>659</v>
      </c>
      <c r="I257" s="369" t="s">
        <v>1400</v>
      </c>
      <c r="J257" s="367" t="s">
        <v>1401</v>
      </c>
      <c r="K257" s="482" t="s">
        <v>1402</v>
      </c>
      <c r="L257" s="470"/>
      <c r="M257" s="470"/>
      <c r="N257" s="369" t="s">
        <v>655</v>
      </c>
      <c r="O257" s="369" t="s">
        <v>753</v>
      </c>
      <c r="P257" s="369" t="s">
        <v>655</v>
      </c>
      <c r="Q257" s="369" t="s">
        <v>655</v>
      </c>
      <c r="R257" s="367" t="s">
        <v>1403</v>
      </c>
      <c r="S257" s="367">
        <v>3836283</v>
      </c>
      <c r="T257" s="483">
        <v>586.79999999999995</v>
      </c>
      <c r="U257" s="470"/>
      <c r="V257" s="483">
        <v>907.59</v>
      </c>
      <c r="W257" s="470"/>
      <c r="X257" s="470"/>
      <c r="Y257" s="370">
        <f t="shared" si="4"/>
        <v>907.59</v>
      </c>
      <c r="Z257" s="371">
        <v>2</v>
      </c>
    </row>
    <row r="258" spans="1:26" x14ac:dyDescent="0.25">
      <c r="A258" s="481">
        <v>42301</v>
      </c>
      <c r="B258" s="470"/>
      <c r="C258" s="368">
        <v>42301</v>
      </c>
      <c r="F258" s="482" t="s">
        <v>673</v>
      </c>
      <c r="G258" s="470"/>
      <c r="H258" s="369" t="s">
        <v>659</v>
      </c>
      <c r="I258" s="369" t="s">
        <v>1404</v>
      </c>
      <c r="J258" s="367" t="s">
        <v>1405</v>
      </c>
      <c r="K258" s="482" t="s">
        <v>1406</v>
      </c>
      <c r="L258" s="470"/>
      <c r="M258" s="470"/>
      <c r="N258" s="369" t="s">
        <v>655</v>
      </c>
      <c r="O258" s="369" t="s">
        <v>655</v>
      </c>
      <c r="P258" s="369" t="s">
        <v>655</v>
      </c>
      <c r="Q258" s="369" t="s">
        <v>655</v>
      </c>
      <c r="R258" s="367" t="s">
        <v>1407</v>
      </c>
      <c r="S258" s="367">
        <v>3836266</v>
      </c>
      <c r="T258" s="483">
        <v>586.79999999999995</v>
      </c>
      <c r="U258" s="470"/>
      <c r="V258" s="483">
        <v>0</v>
      </c>
      <c r="W258" s="470"/>
      <c r="X258" s="470"/>
      <c r="Y258" s="370">
        <f t="shared" ref="Y258:Y321" si="5">V258</f>
        <v>0</v>
      </c>
      <c r="Z258" s="371"/>
    </row>
    <row r="259" spans="1:26" x14ac:dyDescent="0.25">
      <c r="A259" s="481">
        <v>42301</v>
      </c>
      <c r="B259" s="470"/>
      <c r="C259" s="368">
        <v>42301</v>
      </c>
      <c r="F259" s="482" t="s">
        <v>1408</v>
      </c>
      <c r="G259" s="470"/>
      <c r="H259" s="369" t="s">
        <v>659</v>
      </c>
      <c r="I259" s="369" t="s">
        <v>1409</v>
      </c>
      <c r="J259" s="367" t="s">
        <v>1410</v>
      </c>
      <c r="K259" s="482" t="s">
        <v>1411</v>
      </c>
      <c r="L259" s="470"/>
      <c r="M259" s="470"/>
      <c r="N259" s="369" t="s">
        <v>655</v>
      </c>
      <c r="O259" s="369" t="s">
        <v>655</v>
      </c>
      <c r="P259" s="369" t="s">
        <v>655</v>
      </c>
      <c r="Q259" s="369" t="s">
        <v>655</v>
      </c>
      <c r="R259" s="367" t="s">
        <v>1412</v>
      </c>
      <c r="S259" s="367">
        <v>3831721</v>
      </c>
      <c r="T259" s="483">
        <v>586.79999999999995</v>
      </c>
      <c r="U259" s="470"/>
      <c r="V259" s="483">
        <v>1593.91</v>
      </c>
      <c r="W259" s="470"/>
      <c r="X259" s="470"/>
      <c r="Y259" s="370">
        <f t="shared" si="5"/>
        <v>1593.91</v>
      </c>
      <c r="Z259" s="371">
        <v>2</v>
      </c>
    </row>
    <row r="260" spans="1:26" x14ac:dyDescent="0.25">
      <c r="A260" s="481">
        <v>42302</v>
      </c>
      <c r="B260" s="470"/>
      <c r="C260" s="368">
        <v>42303</v>
      </c>
      <c r="F260" s="482" t="s">
        <v>673</v>
      </c>
      <c r="G260" s="470"/>
      <c r="H260" s="369" t="s">
        <v>659</v>
      </c>
      <c r="I260" s="369" t="s">
        <v>1413</v>
      </c>
      <c r="J260" s="367" t="s">
        <v>1414</v>
      </c>
      <c r="K260" s="482" t="s">
        <v>1415</v>
      </c>
      <c r="L260" s="470"/>
      <c r="M260" s="470"/>
      <c r="N260" s="369" t="s">
        <v>655</v>
      </c>
      <c r="O260" s="369" t="s">
        <v>753</v>
      </c>
      <c r="P260" s="369" t="s">
        <v>655</v>
      </c>
      <c r="Q260" s="369" t="s">
        <v>753</v>
      </c>
      <c r="R260" s="367" t="s">
        <v>1416</v>
      </c>
      <c r="S260" s="367">
        <v>3836319</v>
      </c>
      <c r="T260" s="483">
        <v>586.79999999999995</v>
      </c>
      <c r="U260" s="470"/>
      <c r="V260" s="483">
        <v>0</v>
      </c>
      <c r="W260" s="470"/>
      <c r="X260" s="470"/>
      <c r="Y260" s="370">
        <f t="shared" si="5"/>
        <v>0</v>
      </c>
      <c r="Z260" s="371"/>
    </row>
    <row r="261" spans="1:26" x14ac:dyDescent="0.25">
      <c r="A261" s="481">
        <v>42303</v>
      </c>
      <c r="B261" s="470"/>
      <c r="C261" s="368">
        <v>42303</v>
      </c>
      <c r="F261" s="482" t="s">
        <v>777</v>
      </c>
      <c r="G261" s="470"/>
      <c r="H261" s="369" t="s">
        <v>659</v>
      </c>
      <c r="I261" s="369" t="s">
        <v>1417</v>
      </c>
      <c r="J261" s="367" t="s">
        <v>1418</v>
      </c>
      <c r="K261" s="482" t="s">
        <v>861</v>
      </c>
      <c r="L261" s="470"/>
      <c r="M261" s="470"/>
      <c r="N261" s="369" t="s">
        <v>655</v>
      </c>
      <c r="O261" s="369" t="s">
        <v>753</v>
      </c>
      <c r="P261" s="369" t="s">
        <v>655</v>
      </c>
      <c r="Q261" s="369" t="s">
        <v>753</v>
      </c>
      <c r="R261" s="367" t="s">
        <v>1419</v>
      </c>
      <c r="S261" s="367">
        <v>3843747</v>
      </c>
      <c r="T261" s="483">
        <v>586.79999999999995</v>
      </c>
      <c r="U261" s="470"/>
      <c r="V261" s="483">
        <v>0</v>
      </c>
      <c r="W261" s="470"/>
      <c r="X261" s="470"/>
      <c r="Y261" s="370">
        <f t="shared" si="5"/>
        <v>0</v>
      </c>
      <c r="Z261" s="371"/>
    </row>
    <row r="262" spans="1:26" x14ac:dyDescent="0.25">
      <c r="A262" s="481">
        <v>42308</v>
      </c>
      <c r="B262" s="470"/>
      <c r="C262" s="368">
        <v>42308</v>
      </c>
      <c r="F262" s="482" t="s">
        <v>686</v>
      </c>
      <c r="G262" s="470"/>
      <c r="H262" s="369" t="s">
        <v>659</v>
      </c>
      <c r="I262" s="369" t="s">
        <v>1420</v>
      </c>
      <c r="J262" s="367" t="s">
        <v>1421</v>
      </c>
      <c r="K262" s="482" t="s">
        <v>693</v>
      </c>
      <c r="L262" s="470"/>
      <c r="M262" s="470"/>
      <c r="N262" s="369" t="s">
        <v>655</v>
      </c>
      <c r="O262" s="369" t="s">
        <v>655</v>
      </c>
      <c r="P262" s="369" t="s">
        <v>655</v>
      </c>
      <c r="Q262" s="369" t="s">
        <v>655</v>
      </c>
      <c r="R262" s="367" t="s">
        <v>1422</v>
      </c>
      <c r="S262" s="367">
        <v>3871451</v>
      </c>
      <c r="T262" s="483">
        <v>586.79999999999995</v>
      </c>
      <c r="U262" s="470"/>
      <c r="V262" s="483">
        <v>527.69000000000005</v>
      </c>
      <c r="W262" s="470"/>
      <c r="X262" s="470"/>
      <c r="Y262" s="370">
        <f t="shared" si="5"/>
        <v>527.69000000000005</v>
      </c>
      <c r="Z262" s="371">
        <v>1</v>
      </c>
    </row>
    <row r="263" spans="1:26" x14ac:dyDescent="0.25">
      <c r="A263" s="481">
        <v>42309</v>
      </c>
      <c r="B263" s="470"/>
      <c r="C263" s="368">
        <v>42309</v>
      </c>
      <c r="F263" s="482" t="s">
        <v>726</v>
      </c>
      <c r="G263" s="470"/>
      <c r="H263" s="369" t="s">
        <v>659</v>
      </c>
      <c r="I263" s="369" t="s">
        <v>691</v>
      </c>
      <c r="J263" s="367" t="s">
        <v>692</v>
      </c>
      <c r="K263" s="482" t="s">
        <v>693</v>
      </c>
      <c r="L263" s="470"/>
      <c r="M263" s="470"/>
      <c r="N263" s="369" t="s">
        <v>655</v>
      </c>
      <c r="O263" s="369" t="s">
        <v>655</v>
      </c>
      <c r="P263" s="369" t="s">
        <v>655</v>
      </c>
      <c r="Q263" s="369" t="s">
        <v>655</v>
      </c>
      <c r="R263" s="367" t="s">
        <v>727</v>
      </c>
      <c r="S263" s="367">
        <v>3875503</v>
      </c>
      <c r="T263" s="483">
        <v>586.79999999999995</v>
      </c>
      <c r="U263" s="470"/>
      <c r="V263" s="483">
        <v>678.9</v>
      </c>
      <c r="W263" s="470"/>
      <c r="X263" s="470"/>
      <c r="Y263" s="370">
        <f t="shared" si="5"/>
        <v>678.9</v>
      </c>
      <c r="Z263" s="371">
        <v>1</v>
      </c>
    </row>
    <row r="264" spans="1:26" x14ac:dyDescent="0.25">
      <c r="A264" s="481">
        <v>42309</v>
      </c>
      <c r="B264" s="470"/>
      <c r="C264" s="368">
        <v>42309</v>
      </c>
      <c r="F264" s="482" t="s">
        <v>673</v>
      </c>
      <c r="G264" s="470"/>
      <c r="H264" s="369" t="s">
        <v>659</v>
      </c>
      <c r="I264" s="369" t="s">
        <v>1423</v>
      </c>
      <c r="J264" s="367" t="s">
        <v>1258</v>
      </c>
      <c r="K264" s="482" t="s">
        <v>1424</v>
      </c>
      <c r="L264" s="470"/>
      <c r="M264" s="470"/>
      <c r="N264" s="369" t="s">
        <v>655</v>
      </c>
      <c r="O264" s="369" t="s">
        <v>753</v>
      </c>
      <c r="P264" s="369" t="s">
        <v>655</v>
      </c>
      <c r="Q264" s="369" t="s">
        <v>655</v>
      </c>
      <c r="R264" s="367" t="s">
        <v>1425</v>
      </c>
      <c r="S264" s="367">
        <v>3875369</v>
      </c>
      <c r="T264" s="483">
        <v>586.79999999999995</v>
      </c>
      <c r="U264" s="470"/>
      <c r="V264" s="483">
        <v>158.30000000000001</v>
      </c>
      <c r="W264" s="470"/>
      <c r="X264" s="470"/>
      <c r="Y264" s="370">
        <f t="shared" si="5"/>
        <v>158.30000000000001</v>
      </c>
      <c r="Z264" s="371">
        <v>1</v>
      </c>
    </row>
    <row r="265" spans="1:26" ht="22.5" x14ac:dyDescent="0.25">
      <c r="A265" s="481">
        <v>42313</v>
      </c>
      <c r="B265" s="470"/>
      <c r="C265" s="368">
        <v>42314</v>
      </c>
      <c r="F265" s="482" t="s">
        <v>1426</v>
      </c>
      <c r="G265" s="470"/>
      <c r="H265" s="369" t="s">
        <v>659</v>
      </c>
      <c r="I265" s="369" t="s">
        <v>1427</v>
      </c>
      <c r="J265" s="367" t="s">
        <v>1428</v>
      </c>
      <c r="K265" s="482" t="s">
        <v>1429</v>
      </c>
      <c r="L265" s="470"/>
      <c r="M265" s="470"/>
      <c r="N265" s="369" t="s">
        <v>655</v>
      </c>
      <c r="O265" s="369" t="s">
        <v>655</v>
      </c>
      <c r="P265" s="369" t="s">
        <v>655</v>
      </c>
      <c r="Q265" s="369" t="s">
        <v>655</v>
      </c>
      <c r="R265" s="367" t="s">
        <v>1430</v>
      </c>
      <c r="S265" s="367">
        <v>3906017</v>
      </c>
      <c r="T265" s="483">
        <v>586.79999999999995</v>
      </c>
      <c r="U265" s="470"/>
      <c r="V265" s="483">
        <v>0</v>
      </c>
      <c r="W265" s="470"/>
      <c r="X265" s="470"/>
      <c r="Y265" s="370">
        <f t="shared" si="5"/>
        <v>0</v>
      </c>
      <c r="Z265" s="371"/>
    </row>
    <row r="266" spans="1:26" ht="22.5" x14ac:dyDescent="0.25">
      <c r="A266" s="481">
        <v>42314</v>
      </c>
      <c r="B266" s="470"/>
      <c r="C266" s="368">
        <v>42314</v>
      </c>
      <c r="F266" s="482" t="s">
        <v>673</v>
      </c>
      <c r="G266" s="470"/>
      <c r="H266" s="369" t="s">
        <v>659</v>
      </c>
      <c r="I266" s="369" t="s">
        <v>1431</v>
      </c>
      <c r="J266" s="367" t="s">
        <v>1432</v>
      </c>
      <c r="K266" s="482" t="s">
        <v>1433</v>
      </c>
      <c r="L266" s="470"/>
      <c r="M266" s="470"/>
      <c r="N266" s="369" t="s">
        <v>655</v>
      </c>
      <c r="O266" s="369" t="s">
        <v>753</v>
      </c>
      <c r="P266" s="369" t="s">
        <v>655</v>
      </c>
      <c r="Q266" s="369" t="s">
        <v>655</v>
      </c>
      <c r="R266" s="367" t="s">
        <v>1434</v>
      </c>
      <c r="S266" s="367">
        <v>3923151</v>
      </c>
      <c r="T266" s="483">
        <v>586.79999999999995</v>
      </c>
      <c r="U266" s="470"/>
      <c r="V266" s="483">
        <v>2376.0300000000002</v>
      </c>
      <c r="W266" s="470"/>
      <c r="X266" s="470"/>
      <c r="Y266" s="370">
        <f t="shared" si="5"/>
        <v>2376.0300000000002</v>
      </c>
      <c r="Z266" s="371">
        <v>4</v>
      </c>
    </row>
    <row r="267" spans="1:26" x14ac:dyDescent="0.25">
      <c r="A267" s="481">
        <v>42314</v>
      </c>
      <c r="B267" s="470"/>
      <c r="C267" s="368">
        <v>42314</v>
      </c>
      <c r="F267" s="482" t="s">
        <v>673</v>
      </c>
      <c r="G267" s="470"/>
      <c r="H267" s="369" t="s">
        <v>659</v>
      </c>
      <c r="I267" s="369" t="s">
        <v>1435</v>
      </c>
      <c r="J267" s="367" t="s">
        <v>1436</v>
      </c>
      <c r="K267" s="482" t="s">
        <v>1437</v>
      </c>
      <c r="L267" s="470"/>
      <c r="M267" s="470"/>
      <c r="N267" s="369" t="s">
        <v>655</v>
      </c>
      <c r="O267" s="369" t="s">
        <v>753</v>
      </c>
      <c r="P267" s="369" t="s">
        <v>655</v>
      </c>
      <c r="Q267" s="369" t="s">
        <v>753</v>
      </c>
      <c r="R267" s="367" t="s">
        <v>1438</v>
      </c>
      <c r="S267" s="367">
        <v>3923053</v>
      </c>
      <c r="T267" s="483">
        <v>586.79999999999995</v>
      </c>
      <c r="U267" s="470"/>
      <c r="V267" s="483">
        <v>0</v>
      </c>
      <c r="W267" s="470"/>
      <c r="X267" s="470"/>
      <c r="Y267" s="370">
        <f t="shared" si="5"/>
        <v>0</v>
      </c>
      <c r="Z267" s="371">
        <v>2</v>
      </c>
    </row>
    <row r="268" spans="1:26" x14ac:dyDescent="0.25">
      <c r="A268" s="481">
        <v>42314</v>
      </c>
      <c r="B268" s="470"/>
      <c r="C268" s="368">
        <v>42314</v>
      </c>
      <c r="F268" s="482" t="s">
        <v>673</v>
      </c>
      <c r="G268" s="470"/>
      <c r="H268" s="369" t="s">
        <v>659</v>
      </c>
      <c r="I268" s="369" t="s">
        <v>1439</v>
      </c>
      <c r="J268" s="367" t="s">
        <v>1440</v>
      </c>
      <c r="K268" s="482" t="s">
        <v>1441</v>
      </c>
      <c r="L268" s="470"/>
      <c r="M268" s="470"/>
      <c r="N268" s="369" t="s">
        <v>655</v>
      </c>
      <c r="O268" s="369" t="s">
        <v>753</v>
      </c>
      <c r="P268" s="369" t="s">
        <v>655</v>
      </c>
      <c r="Q268" s="369" t="s">
        <v>655</v>
      </c>
      <c r="R268" s="367" t="s">
        <v>1442</v>
      </c>
      <c r="S268" s="367">
        <v>3922913</v>
      </c>
      <c r="T268" s="483">
        <v>586.79999999999995</v>
      </c>
      <c r="U268" s="470"/>
      <c r="V268" s="483">
        <v>216.18</v>
      </c>
      <c r="W268" s="470"/>
      <c r="X268" s="470"/>
      <c r="Y268" s="370">
        <f t="shared" si="5"/>
        <v>216.18</v>
      </c>
      <c r="Z268" s="371">
        <v>1</v>
      </c>
    </row>
    <row r="269" spans="1:26" x14ac:dyDescent="0.25">
      <c r="A269" s="481">
        <v>42315</v>
      </c>
      <c r="B269" s="470"/>
      <c r="C269" s="368">
        <v>42315</v>
      </c>
      <c r="F269" s="482" t="s">
        <v>697</v>
      </c>
      <c r="G269" s="470"/>
      <c r="H269" s="369" t="s">
        <v>659</v>
      </c>
      <c r="I269" s="369" t="s">
        <v>1443</v>
      </c>
      <c r="J269" s="367" t="s">
        <v>1444</v>
      </c>
      <c r="K269" s="482" t="s">
        <v>1445</v>
      </c>
      <c r="L269" s="470"/>
      <c r="M269" s="470"/>
      <c r="N269" s="369" t="s">
        <v>655</v>
      </c>
      <c r="O269" s="369" t="s">
        <v>753</v>
      </c>
      <c r="P269" s="369" t="s">
        <v>655</v>
      </c>
      <c r="Q269" s="369" t="s">
        <v>753</v>
      </c>
      <c r="R269" s="367" t="s">
        <v>1446</v>
      </c>
      <c r="S269" s="367">
        <v>3922976</v>
      </c>
      <c r="T269" s="483">
        <v>586.79999999999995</v>
      </c>
      <c r="U269" s="470"/>
      <c r="V269" s="483">
        <v>0</v>
      </c>
      <c r="W269" s="470"/>
      <c r="X269" s="470"/>
      <c r="Y269" s="370">
        <f t="shared" si="5"/>
        <v>0</v>
      </c>
      <c r="Z269" s="371"/>
    </row>
    <row r="270" spans="1:26" x14ac:dyDescent="0.25">
      <c r="A270" s="481">
        <v>42316</v>
      </c>
      <c r="B270" s="470"/>
      <c r="C270" s="368">
        <v>42316</v>
      </c>
      <c r="F270" s="482" t="s">
        <v>673</v>
      </c>
      <c r="G270" s="470"/>
      <c r="H270" s="369" t="s">
        <v>659</v>
      </c>
      <c r="I270" s="369" t="s">
        <v>1447</v>
      </c>
      <c r="J270" s="367" t="s">
        <v>1448</v>
      </c>
      <c r="K270" s="482" t="s">
        <v>1449</v>
      </c>
      <c r="L270" s="470"/>
      <c r="M270" s="470"/>
      <c r="N270" s="369" t="s">
        <v>655</v>
      </c>
      <c r="O270" s="369" t="s">
        <v>655</v>
      </c>
      <c r="P270" s="369" t="s">
        <v>655</v>
      </c>
      <c r="Q270" s="369" t="s">
        <v>655</v>
      </c>
      <c r="R270" s="367" t="s">
        <v>1450</v>
      </c>
      <c r="S270" s="367">
        <v>3922868</v>
      </c>
      <c r="T270" s="483">
        <v>586.79999999999995</v>
      </c>
      <c r="U270" s="470"/>
      <c r="V270" s="483">
        <v>166.12</v>
      </c>
      <c r="W270" s="470"/>
      <c r="X270" s="470"/>
      <c r="Y270" s="370">
        <f t="shared" si="5"/>
        <v>166.12</v>
      </c>
      <c r="Z270" s="371"/>
    </row>
    <row r="271" spans="1:26" x14ac:dyDescent="0.25">
      <c r="A271" s="481">
        <v>42317</v>
      </c>
      <c r="B271" s="470"/>
      <c r="C271" s="368">
        <v>42318</v>
      </c>
      <c r="F271" s="482" t="s">
        <v>1451</v>
      </c>
      <c r="G271" s="470"/>
      <c r="H271" s="369" t="s">
        <v>659</v>
      </c>
      <c r="I271" s="369" t="s">
        <v>1452</v>
      </c>
      <c r="J271" s="367" t="s">
        <v>1453</v>
      </c>
      <c r="K271" s="482" t="s">
        <v>1454</v>
      </c>
      <c r="L271" s="470"/>
      <c r="M271" s="470"/>
      <c r="N271" s="369" t="s">
        <v>655</v>
      </c>
      <c r="O271" s="369" t="s">
        <v>753</v>
      </c>
      <c r="P271" s="369" t="s">
        <v>655</v>
      </c>
      <c r="Q271" s="369" t="s">
        <v>753</v>
      </c>
      <c r="R271" s="367" t="s">
        <v>1455</v>
      </c>
      <c r="S271" s="367">
        <v>3926430</v>
      </c>
      <c r="T271" s="483">
        <v>586.79999999999995</v>
      </c>
      <c r="U271" s="470"/>
      <c r="V271" s="483">
        <v>0</v>
      </c>
      <c r="W271" s="470"/>
      <c r="X271" s="470"/>
      <c r="Y271" s="370">
        <f t="shared" si="5"/>
        <v>0</v>
      </c>
      <c r="Z271" s="371"/>
    </row>
    <row r="272" spans="1:26" x14ac:dyDescent="0.25">
      <c r="A272" s="481">
        <v>42317</v>
      </c>
      <c r="B272" s="470"/>
      <c r="C272" s="368">
        <v>42317</v>
      </c>
      <c r="F272" s="482" t="s">
        <v>686</v>
      </c>
      <c r="G272" s="470"/>
      <c r="H272" s="369" t="s">
        <v>659</v>
      </c>
      <c r="I272" s="369" t="s">
        <v>1456</v>
      </c>
      <c r="J272" s="367" t="s">
        <v>1457</v>
      </c>
      <c r="K272" s="482" t="s">
        <v>1458</v>
      </c>
      <c r="L272" s="470"/>
      <c r="M272" s="470"/>
      <c r="N272" s="369" t="s">
        <v>655</v>
      </c>
      <c r="O272" s="369" t="s">
        <v>753</v>
      </c>
      <c r="P272" s="369" t="s">
        <v>655</v>
      </c>
      <c r="Q272" s="369" t="s">
        <v>655</v>
      </c>
      <c r="R272" s="367" t="s">
        <v>1459</v>
      </c>
      <c r="S272" s="367">
        <v>3918744</v>
      </c>
      <c r="T272" s="483">
        <v>586.79999999999995</v>
      </c>
      <c r="U272" s="470"/>
      <c r="V272" s="483">
        <v>895.94</v>
      </c>
      <c r="W272" s="470"/>
      <c r="X272" s="470"/>
      <c r="Y272" s="370">
        <f t="shared" si="5"/>
        <v>895.94</v>
      </c>
      <c r="Z272" s="371">
        <v>1</v>
      </c>
    </row>
    <row r="273" spans="1:26" x14ac:dyDescent="0.25">
      <c r="A273" s="481">
        <v>42318</v>
      </c>
      <c r="B273" s="470"/>
      <c r="C273" s="368">
        <v>42319</v>
      </c>
      <c r="F273" s="482" t="s">
        <v>728</v>
      </c>
      <c r="G273" s="470"/>
      <c r="H273" s="369" t="s">
        <v>659</v>
      </c>
      <c r="I273" s="369" t="s">
        <v>729</v>
      </c>
      <c r="J273" s="367" t="s">
        <v>730</v>
      </c>
      <c r="K273" s="482" t="s">
        <v>731</v>
      </c>
      <c r="L273" s="470"/>
      <c r="M273" s="470"/>
      <c r="N273" s="369" t="s">
        <v>655</v>
      </c>
      <c r="O273" s="369" t="s">
        <v>655</v>
      </c>
      <c r="P273" s="369" t="s">
        <v>655</v>
      </c>
      <c r="Q273" s="369" t="s">
        <v>655</v>
      </c>
      <c r="R273" s="367" t="s">
        <v>732</v>
      </c>
      <c r="S273" s="367">
        <v>3931548</v>
      </c>
      <c r="T273" s="483">
        <v>586.79999999999995</v>
      </c>
      <c r="U273" s="470"/>
      <c r="V273" s="483">
        <v>1531.94</v>
      </c>
      <c r="W273" s="470"/>
      <c r="X273" s="470"/>
      <c r="Y273" s="370">
        <f t="shared" si="5"/>
        <v>1531.94</v>
      </c>
      <c r="Z273" s="371">
        <v>4</v>
      </c>
    </row>
    <row r="274" spans="1:26" x14ac:dyDescent="0.25">
      <c r="A274" s="481">
        <v>42318</v>
      </c>
      <c r="B274" s="470"/>
      <c r="C274" s="368">
        <v>42318</v>
      </c>
      <c r="F274" s="482" t="s">
        <v>924</v>
      </c>
      <c r="G274" s="470"/>
      <c r="H274" s="369" t="s">
        <v>659</v>
      </c>
      <c r="I274" s="369" t="s">
        <v>1460</v>
      </c>
      <c r="J274" s="367" t="s">
        <v>1109</v>
      </c>
      <c r="K274" s="482" t="s">
        <v>1461</v>
      </c>
      <c r="L274" s="470"/>
      <c r="M274" s="470"/>
      <c r="N274" s="369" t="s">
        <v>655</v>
      </c>
      <c r="O274" s="369" t="s">
        <v>753</v>
      </c>
      <c r="P274" s="369" t="s">
        <v>655</v>
      </c>
      <c r="Q274" s="369" t="s">
        <v>753</v>
      </c>
      <c r="R274" s="367" t="s">
        <v>1462</v>
      </c>
      <c r="S274" s="367">
        <v>3943108</v>
      </c>
      <c r="T274" s="483">
        <v>586.79999999999995</v>
      </c>
      <c r="U274" s="470"/>
      <c r="V274" s="483">
        <v>0</v>
      </c>
      <c r="W274" s="470"/>
      <c r="X274" s="470"/>
      <c r="Y274" s="370">
        <f t="shared" si="5"/>
        <v>0</v>
      </c>
      <c r="Z274" s="371"/>
    </row>
    <row r="275" spans="1:26" x14ac:dyDescent="0.25">
      <c r="A275" s="481">
        <v>42322</v>
      </c>
      <c r="B275" s="470"/>
      <c r="C275" s="368">
        <v>42322</v>
      </c>
      <c r="F275" s="482" t="s">
        <v>673</v>
      </c>
      <c r="G275" s="470"/>
      <c r="H275" s="369" t="s">
        <v>659</v>
      </c>
      <c r="I275" s="369" t="s">
        <v>1463</v>
      </c>
      <c r="J275" s="367" t="s">
        <v>1464</v>
      </c>
      <c r="K275" s="482" t="s">
        <v>50</v>
      </c>
      <c r="L275" s="470"/>
      <c r="M275" s="470"/>
      <c r="N275" s="369" t="s">
        <v>655</v>
      </c>
      <c r="O275" s="369" t="s">
        <v>753</v>
      </c>
      <c r="P275" s="369" t="s">
        <v>655</v>
      </c>
      <c r="Q275" s="369" t="s">
        <v>753</v>
      </c>
      <c r="R275" s="367" t="s">
        <v>1465</v>
      </c>
      <c r="S275" s="367">
        <v>3969565</v>
      </c>
      <c r="T275" s="483">
        <v>586.79999999999995</v>
      </c>
      <c r="U275" s="470"/>
      <c r="V275" s="483">
        <v>0</v>
      </c>
      <c r="W275" s="470"/>
      <c r="X275" s="470"/>
      <c r="Y275" s="370">
        <f t="shared" si="5"/>
        <v>0</v>
      </c>
      <c r="Z275" s="371"/>
    </row>
    <row r="276" spans="1:26" x14ac:dyDescent="0.25">
      <c r="A276" s="481">
        <v>42323</v>
      </c>
      <c r="B276" s="470"/>
      <c r="C276" s="368">
        <v>42323</v>
      </c>
      <c r="F276" s="482" t="s">
        <v>740</v>
      </c>
      <c r="G276" s="470"/>
      <c r="H276" s="369" t="s">
        <v>659</v>
      </c>
      <c r="I276" s="369" t="s">
        <v>1466</v>
      </c>
      <c r="J276" s="367" t="s">
        <v>1467</v>
      </c>
      <c r="K276" s="482" t="s">
        <v>881</v>
      </c>
      <c r="L276" s="470"/>
      <c r="M276" s="470"/>
      <c r="N276" s="369" t="s">
        <v>655</v>
      </c>
      <c r="O276" s="369" t="s">
        <v>753</v>
      </c>
      <c r="P276" s="369" t="s">
        <v>655</v>
      </c>
      <c r="Q276" s="369" t="s">
        <v>753</v>
      </c>
      <c r="R276" s="367" t="s">
        <v>1468</v>
      </c>
      <c r="S276" s="367">
        <v>3957795</v>
      </c>
      <c r="T276" s="483">
        <v>586.79999999999995</v>
      </c>
      <c r="U276" s="470"/>
      <c r="V276" s="483">
        <v>165.8</v>
      </c>
      <c r="W276" s="470"/>
      <c r="X276" s="470"/>
      <c r="Y276" s="370">
        <f t="shared" si="5"/>
        <v>165.8</v>
      </c>
      <c r="Z276" s="371">
        <v>12</v>
      </c>
    </row>
    <row r="277" spans="1:26" x14ac:dyDescent="0.25">
      <c r="A277" s="481">
        <v>42324</v>
      </c>
      <c r="B277" s="470"/>
      <c r="C277" s="368">
        <v>42325</v>
      </c>
      <c r="F277" s="482" t="s">
        <v>1469</v>
      </c>
      <c r="G277" s="470"/>
      <c r="H277" s="369" t="s">
        <v>659</v>
      </c>
      <c r="I277" s="369" t="s">
        <v>674</v>
      </c>
      <c r="J277" s="367" t="s">
        <v>675</v>
      </c>
      <c r="K277" s="482" t="s">
        <v>676</v>
      </c>
      <c r="L277" s="470"/>
      <c r="M277" s="470"/>
      <c r="N277" s="369" t="s">
        <v>655</v>
      </c>
      <c r="O277" s="369" t="s">
        <v>655</v>
      </c>
      <c r="P277" s="369" t="s">
        <v>655</v>
      </c>
      <c r="Q277" s="369" t="s">
        <v>655</v>
      </c>
      <c r="R277" s="367" t="s">
        <v>1470</v>
      </c>
      <c r="S277" s="367">
        <v>3963847</v>
      </c>
      <c r="T277" s="483">
        <v>586.79999999999995</v>
      </c>
      <c r="U277" s="470"/>
      <c r="V277" s="483">
        <v>0</v>
      </c>
      <c r="W277" s="470"/>
      <c r="X277" s="470"/>
      <c r="Y277" s="370">
        <f t="shared" si="5"/>
        <v>0</v>
      </c>
      <c r="Z277" s="371"/>
    </row>
    <row r="278" spans="1:26" x14ac:dyDescent="0.25">
      <c r="A278" s="481">
        <v>42325</v>
      </c>
      <c r="B278" s="470"/>
      <c r="C278" s="368">
        <v>42325</v>
      </c>
      <c r="F278" s="482" t="s">
        <v>740</v>
      </c>
      <c r="G278" s="470"/>
      <c r="H278" s="369" t="s">
        <v>659</v>
      </c>
      <c r="I278" s="369" t="s">
        <v>1268</v>
      </c>
      <c r="J278" s="367" t="s">
        <v>1269</v>
      </c>
      <c r="K278" s="482" t="s">
        <v>1270</v>
      </c>
      <c r="L278" s="470"/>
      <c r="M278" s="470"/>
      <c r="N278" s="369" t="s">
        <v>655</v>
      </c>
      <c r="O278" s="369" t="s">
        <v>753</v>
      </c>
      <c r="P278" s="369" t="s">
        <v>655</v>
      </c>
      <c r="Q278" s="369" t="s">
        <v>753</v>
      </c>
      <c r="R278" s="367" t="s">
        <v>1471</v>
      </c>
      <c r="S278" s="367">
        <v>3971159</v>
      </c>
      <c r="T278" s="483">
        <v>586.79999999999995</v>
      </c>
      <c r="U278" s="470"/>
      <c r="V278" s="483">
        <v>0</v>
      </c>
      <c r="W278" s="470"/>
      <c r="X278" s="470"/>
      <c r="Y278" s="370">
        <f t="shared" si="5"/>
        <v>0</v>
      </c>
      <c r="Z278" s="371"/>
    </row>
    <row r="279" spans="1:26" x14ac:dyDescent="0.25">
      <c r="A279" s="481">
        <v>42326</v>
      </c>
      <c r="B279" s="470"/>
      <c r="C279" s="368">
        <v>42327</v>
      </c>
      <c r="F279" s="482" t="s">
        <v>673</v>
      </c>
      <c r="G279" s="470"/>
      <c r="H279" s="369" t="s">
        <v>659</v>
      </c>
      <c r="I279" s="369" t="s">
        <v>1472</v>
      </c>
      <c r="J279" s="367" t="s">
        <v>1473</v>
      </c>
      <c r="K279" s="482" t="s">
        <v>931</v>
      </c>
      <c r="L279" s="470"/>
      <c r="M279" s="470"/>
      <c r="N279" s="369" t="s">
        <v>655</v>
      </c>
      <c r="O279" s="369" t="s">
        <v>753</v>
      </c>
      <c r="P279" s="369" t="s">
        <v>655</v>
      </c>
      <c r="Q279" s="369" t="s">
        <v>655</v>
      </c>
      <c r="R279" s="367" t="s">
        <v>1474</v>
      </c>
      <c r="S279" s="367">
        <v>3991450</v>
      </c>
      <c r="T279" s="483">
        <v>586.79999999999995</v>
      </c>
      <c r="U279" s="470"/>
      <c r="V279" s="483">
        <v>0</v>
      </c>
      <c r="W279" s="470"/>
      <c r="X279" s="470"/>
      <c r="Y279" s="370">
        <f t="shared" si="5"/>
        <v>0</v>
      </c>
      <c r="Z279" s="371">
        <v>3</v>
      </c>
    </row>
    <row r="280" spans="1:26" x14ac:dyDescent="0.25">
      <c r="A280" s="481">
        <v>42326</v>
      </c>
      <c r="B280" s="470"/>
      <c r="C280" s="368">
        <v>42326</v>
      </c>
      <c r="F280" s="482" t="s">
        <v>673</v>
      </c>
      <c r="G280" s="470"/>
      <c r="H280" s="369" t="s">
        <v>659</v>
      </c>
      <c r="I280" s="369" t="s">
        <v>1475</v>
      </c>
      <c r="J280" s="367" t="s">
        <v>1476</v>
      </c>
      <c r="K280" s="482" t="s">
        <v>1477</v>
      </c>
      <c r="L280" s="470"/>
      <c r="M280" s="470"/>
      <c r="N280" s="369" t="s">
        <v>655</v>
      </c>
      <c r="O280" s="369" t="s">
        <v>753</v>
      </c>
      <c r="P280" s="369" t="s">
        <v>655</v>
      </c>
      <c r="Q280" s="369" t="s">
        <v>655</v>
      </c>
      <c r="R280" s="367" t="s">
        <v>1478</v>
      </c>
      <c r="S280" s="367">
        <v>3991492</v>
      </c>
      <c r="T280" s="483">
        <v>586.79999999999995</v>
      </c>
      <c r="U280" s="470"/>
      <c r="V280" s="483">
        <v>0</v>
      </c>
      <c r="W280" s="470"/>
      <c r="X280" s="470"/>
      <c r="Y280" s="370">
        <f t="shared" si="5"/>
        <v>0</v>
      </c>
      <c r="Z280" s="371">
        <v>12</v>
      </c>
    </row>
    <row r="281" spans="1:26" x14ac:dyDescent="0.25">
      <c r="A281" s="481">
        <v>42326</v>
      </c>
      <c r="B281" s="470"/>
      <c r="C281" s="368">
        <v>42326</v>
      </c>
      <c r="F281" s="482" t="s">
        <v>678</v>
      </c>
      <c r="G281" s="470"/>
      <c r="H281" s="369" t="s">
        <v>659</v>
      </c>
      <c r="I281" s="369" t="s">
        <v>1479</v>
      </c>
      <c r="J281" s="367" t="s">
        <v>1480</v>
      </c>
      <c r="K281" s="482" t="s">
        <v>1481</v>
      </c>
      <c r="L281" s="470"/>
      <c r="M281" s="470"/>
      <c r="N281" s="369" t="s">
        <v>655</v>
      </c>
      <c r="O281" s="369" t="s">
        <v>655</v>
      </c>
      <c r="P281" s="369" t="s">
        <v>655</v>
      </c>
      <c r="Q281" s="369" t="s">
        <v>655</v>
      </c>
      <c r="R281" s="367" t="s">
        <v>1482</v>
      </c>
      <c r="S281" s="367">
        <v>3979896</v>
      </c>
      <c r="T281" s="483">
        <v>586.79999999999995</v>
      </c>
      <c r="U281" s="470"/>
      <c r="V281" s="483">
        <v>4434.75</v>
      </c>
      <c r="W281" s="470"/>
      <c r="X281" s="470"/>
      <c r="Y281" s="370">
        <f t="shared" si="5"/>
        <v>4434.75</v>
      </c>
      <c r="Z281" s="371">
        <v>2</v>
      </c>
    </row>
    <row r="282" spans="1:26" x14ac:dyDescent="0.25">
      <c r="A282" s="481">
        <v>42327</v>
      </c>
      <c r="B282" s="470"/>
      <c r="C282" s="368">
        <v>42327</v>
      </c>
      <c r="F282" s="482" t="s">
        <v>678</v>
      </c>
      <c r="G282" s="470"/>
      <c r="H282" s="369" t="s">
        <v>659</v>
      </c>
      <c r="I282" s="369" t="s">
        <v>1483</v>
      </c>
      <c r="J282" s="367" t="s">
        <v>1173</v>
      </c>
      <c r="K282" s="482" t="s">
        <v>1484</v>
      </c>
      <c r="L282" s="470"/>
      <c r="M282" s="470"/>
      <c r="N282" s="369" t="s">
        <v>655</v>
      </c>
      <c r="O282" s="369" t="s">
        <v>655</v>
      </c>
      <c r="P282" s="369" t="s">
        <v>655</v>
      </c>
      <c r="Q282" s="369" t="s">
        <v>655</v>
      </c>
      <c r="R282" s="367" t="s">
        <v>1485</v>
      </c>
      <c r="S282" s="367">
        <v>3986289</v>
      </c>
      <c r="T282" s="483">
        <v>586.79999999999995</v>
      </c>
      <c r="U282" s="470"/>
      <c r="V282" s="483">
        <v>2276.9299999999998</v>
      </c>
      <c r="W282" s="470"/>
      <c r="X282" s="470"/>
      <c r="Y282" s="370">
        <f t="shared" si="5"/>
        <v>2276.9299999999998</v>
      </c>
      <c r="Z282" s="371">
        <v>1</v>
      </c>
    </row>
    <row r="283" spans="1:26" x14ac:dyDescent="0.25">
      <c r="A283" s="481">
        <v>42327</v>
      </c>
      <c r="B283" s="470"/>
      <c r="C283" s="368">
        <v>42327</v>
      </c>
      <c r="F283" s="482" t="s">
        <v>673</v>
      </c>
      <c r="G283" s="470"/>
      <c r="H283" s="369" t="s">
        <v>659</v>
      </c>
      <c r="I283" s="369" t="s">
        <v>1486</v>
      </c>
      <c r="J283" s="367" t="s">
        <v>1487</v>
      </c>
      <c r="K283" s="482" t="s">
        <v>693</v>
      </c>
      <c r="L283" s="470"/>
      <c r="M283" s="470"/>
      <c r="N283" s="369" t="s">
        <v>655</v>
      </c>
      <c r="O283" s="369" t="s">
        <v>753</v>
      </c>
      <c r="P283" s="369" t="s">
        <v>655</v>
      </c>
      <c r="Q283" s="369" t="s">
        <v>655</v>
      </c>
      <c r="R283" s="367" t="s">
        <v>1488</v>
      </c>
      <c r="S283" s="367">
        <v>4012640</v>
      </c>
      <c r="T283" s="483">
        <v>586.79999999999995</v>
      </c>
      <c r="U283" s="470"/>
      <c r="V283" s="483">
        <v>0</v>
      </c>
      <c r="W283" s="470"/>
      <c r="X283" s="470"/>
      <c r="Y283" s="370">
        <f t="shared" si="5"/>
        <v>0</v>
      </c>
      <c r="Z283" s="371">
        <v>9</v>
      </c>
    </row>
    <row r="284" spans="1:26" x14ac:dyDescent="0.25">
      <c r="A284" s="481">
        <v>42328</v>
      </c>
      <c r="B284" s="470"/>
      <c r="C284" s="368">
        <v>42328</v>
      </c>
      <c r="F284" s="482" t="s">
        <v>733</v>
      </c>
      <c r="G284" s="470"/>
      <c r="H284" s="369" t="s">
        <v>659</v>
      </c>
      <c r="I284" s="369" t="s">
        <v>691</v>
      </c>
      <c r="J284" s="367" t="s">
        <v>692</v>
      </c>
      <c r="K284" s="482" t="s">
        <v>693</v>
      </c>
      <c r="L284" s="470"/>
      <c r="M284" s="470"/>
      <c r="N284" s="369" t="s">
        <v>655</v>
      </c>
      <c r="O284" s="369" t="s">
        <v>655</v>
      </c>
      <c r="P284" s="369" t="s">
        <v>655</v>
      </c>
      <c r="Q284" s="369" t="s">
        <v>655</v>
      </c>
      <c r="R284" s="367" t="s">
        <v>734</v>
      </c>
      <c r="S284" s="367">
        <v>3989713</v>
      </c>
      <c r="T284" s="483">
        <v>586.79999999999995</v>
      </c>
      <c r="U284" s="470"/>
      <c r="V284" s="483">
        <v>4414.42</v>
      </c>
      <c r="W284" s="470"/>
      <c r="X284" s="470"/>
      <c r="Y284" s="370">
        <f t="shared" si="5"/>
        <v>4414.42</v>
      </c>
      <c r="Z284" s="371">
        <v>3</v>
      </c>
    </row>
    <row r="285" spans="1:26" x14ac:dyDescent="0.25">
      <c r="A285" s="481">
        <v>42329</v>
      </c>
      <c r="B285" s="470"/>
      <c r="C285" s="368">
        <v>42329</v>
      </c>
      <c r="F285" s="482" t="s">
        <v>673</v>
      </c>
      <c r="G285" s="470"/>
      <c r="H285" s="369" t="s">
        <v>659</v>
      </c>
      <c r="I285" s="369" t="s">
        <v>691</v>
      </c>
      <c r="J285" s="367" t="s">
        <v>692</v>
      </c>
      <c r="K285" s="482" t="s">
        <v>693</v>
      </c>
      <c r="L285" s="470"/>
      <c r="M285" s="470"/>
      <c r="N285" s="369" t="s">
        <v>655</v>
      </c>
      <c r="O285" s="369" t="s">
        <v>655</v>
      </c>
      <c r="P285" s="369" t="s">
        <v>655</v>
      </c>
      <c r="Q285" s="369" t="s">
        <v>655</v>
      </c>
      <c r="R285" s="367" t="s">
        <v>1489</v>
      </c>
      <c r="S285" s="367">
        <v>4003828</v>
      </c>
      <c r="T285" s="483">
        <v>586.79999999999995</v>
      </c>
      <c r="U285" s="470"/>
      <c r="V285" s="483">
        <v>8038.25</v>
      </c>
      <c r="W285" s="470"/>
      <c r="X285" s="470"/>
      <c r="Y285" s="370">
        <f t="shared" si="5"/>
        <v>8038.25</v>
      </c>
      <c r="Z285" s="371">
        <v>8</v>
      </c>
    </row>
    <row r="286" spans="1:26" x14ac:dyDescent="0.25">
      <c r="A286" s="481">
        <v>42329</v>
      </c>
      <c r="B286" s="470"/>
      <c r="C286" s="368">
        <v>42330</v>
      </c>
      <c r="F286" s="482" t="s">
        <v>673</v>
      </c>
      <c r="G286" s="470"/>
      <c r="H286" s="369" t="s">
        <v>659</v>
      </c>
      <c r="I286" s="369" t="s">
        <v>1490</v>
      </c>
      <c r="J286" s="367" t="s">
        <v>1491</v>
      </c>
      <c r="K286" s="482" t="s">
        <v>939</v>
      </c>
      <c r="L286" s="470"/>
      <c r="M286" s="470"/>
      <c r="N286" s="369" t="s">
        <v>655</v>
      </c>
      <c r="O286" s="369" t="s">
        <v>655</v>
      </c>
      <c r="P286" s="369" t="s">
        <v>655</v>
      </c>
      <c r="Q286" s="369" t="s">
        <v>655</v>
      </c>
      <c r="R286" s="367" t="s">
        <v>1492</v>
      </c>
      <c r="S286" s="367">
        <v>4008032</v>
      </c>
      <c r="T286" s="483">
        <v>586.79999999999995</v>
      </c>
      <c r="U286" s="470"/>
      <c r="V286" s="483">
        <v>496.98</v>
      </c>
      <c r="W286" s="470"/>
      <c r="X286" s="470"/>
      <c r="Y286" s="370">
        <f t="shared" si="5"/>
        <v>496.98</v>
      </c>
      <c r="Z286" s="371">
        <v>1</v>
      </c>
    </row>
    <row r="287" spans="1:26" x14ac:dyDescent="0.25">
      <c r="A287" s="481">
        <v>42330</v>
      </c>
      <c r="B287" s="470"/>
      <c r="C287" s="368">
        <v>42330</v>
      </c>
      <c r="F287" s="482" t="s">
        <v>1493</v>
      </c>
      <c r="G287" s="470"/>
      <c r="H287" s="369" t="s">
        <v>659</v>
      </c>
      <c r="I287" s="369" t="s">
        <v>691</v>
      </c>
      <c r="J287" s="367" t="s">
        <v>692</v>
      </c>
      <c r="K287" s="482" t="s">
        <v>693</v>
      </c>
      <c r="L287" s="470"/>
      <c r="M287" s="470"/>
      <c r="N287" s="369" t="s">
        <v>655</v>
      </c>
      <c r="O287" s="369" t="s">
        <v>655</v>
      </c>
      <c r="P287" s="369" t="s">
        <v>655</v>
      </c>
      <c r="Q287" s="369" t="s">
        <v>655</v>
      </c>
      <c r="R287" s="367" t="s">
        <v>1494</v>
      </c>
      <c r="S287" s="367">
        <v>4001706</v>
      </c>
      <c r="T287" s="483">
        <v>586.79999999999995</v>
      </c>
      <c r="U287" s="470"/>
      <c r="V287" s="483">
        <v>2978.02</v>
      </c>
      <c r="W287" s="470"/>
      <c r="X287" s="470"/>
      <c r="Y287" s="370">
        <f t="shared" si="5"/>
        <v>2978.02</v>
      </c>
      <c r="Z287" s="371"/>
    </row>
    <row r="288" spans="1:26" ht="22.5" x14ac:dyDescent="0.25">
      <c r="A288" s="481">
        <v>42330</v>
      </c>
      <c r="B288" s="470"/>
      <c r="C288" s="368">
        <v>42330</v>
      </c>
      <c r="F288" s="482" t="s">
        <v>673</v>
      </c>
      <c r="G288" s="470"/>
      <c r="H288" s="369" t="s">
        <v>659</v>
      </c>
      <c r="I288" s="369" t="s">
        <v>1495</v>
      </c>
      <c r="J288" s="367" t="s">
        <v>1496</v>
      </c>
      <c r="K288" s="482" t="s">
        <v>1473</v>
      </c>
      <c r="L288" s="470"/>
      <c r="M288" s="470"/>
      <c r="N288" s="369" t="s">
        <v>655</v>
      </c>
      <c r="O288" s="369" t="s">
        <v>753</v>
      </c>
      <c r="P288" s="369" t="s">
        <v>655</v>
      </c>
      <c r="Q288" s="369" t="s">
        <v>655</v>
      </c>
      <c r="R288" s="367" t="s">
        <v>1497</v>
      </c>
      <c r="S288" s="367">
        <v>4012681</v>
      </c>
      <c r="T288" s="483">
        <v>586.79999999999995</v>
      </c>
      <c r="U288" s="470"/>
      <c r="V288" s="483">
        <v>220.53</v>
      </c>
      <c r="W288" s="470"/>
      <c r="X288" s="470"/>
      <c r="Y288" s="370">
        <f t="shared" si="5"/>
        <v>220.53</v>
      </c>
      <c r="Z288" s="371"/>
    </row>
    <row r="289" spans="1:26" x14ac:dyDescent="0.25">
      <c r="A289" s="481">
        <v>42331</v>
      </c>
      <c r="B289" s="470"/>
      <c r="C289" s="368">
        <v>42332</v>
      </c>
      <c r="F289" s="482" t="s">
        <v>720</v>
      </c>
      <c r="G289" s="470"/>
      <c r="H289" s="369" t="s">
        <v>659</v>
      </c>
      <c r="I289" s="369" t="s">
        <v>1498</v>
      </c>
      <c r="J289" s="367" t="s">
        <v>1499</v>
      </c>
      <c r="K289" s="482" t="s">
        <v>1500</v>
      </c>
      <c r="L289" s="470"/>
      <c r="M289" s="470"/>
      <c r="N289" s="369" t="s">
        <v>655</v>
      </c>
      <c r="O289" s="369" t="s">
        <v>753</v>
      </c>
      <c r="P289" s="369" t="s">
        <v>655</v>
      </c>
      <c r="Q289" s="369" t="s">
        <v>753</v>
      </c>
      <c r="R289" s="367" t="s">
        <v>1501</v>
      </c>
      <c r="S289" s="367">
        <v>4014874</v>
      </c>
      <c r="T289" s="483">
        <v>586.79999999999995</v>
      </c>
      <c r="U289" s="470"/>
      <c r="V289" s="483">
        <v>0</v>
      </c>
      <c r="W289" s="470"/>
      <c r="X289" s="470"/>
      <c r="Y289" s="370">
        <f t="shared" si="5"/>
        <v>0</v>
      </c>
      <c r="Z289" s="371"/>
    </row>
    <row r="290" spans="1:26" x14ac:dyDescent="0.25">
      <c r="A290" s="481">
        <v>42331</v>
      </c>
      <c r="B290" s="470"/>
      <c r="C290" s="368">
        <v>42331</v>
      </c>
      <c r="F290" s="482" t="s">
        <v>673</v>
      </c>
      <c r="G290" s="470"/>
      <c r="H290" s="369" t="s">
        <v>659</v>
      </c>
      <c r="I290" s="369" t="s">
        <v>1502</v>
      </c>
      <c r="J290" s="367" t="s">
        <v>1503</v>
      </c>
      <c r="K290" s="482" t="s">
        <v>1504</v>
      </c>
      <c r="L290" s="470"/>
      <c r="M290" s="470"/>
      <c r="N290" s="369" t="s">
        <v>655</v>
      </c>
      <c r="O290" s="369" t="s">
        <v>753</v>
      </c>
      <c r="P290" s="369" t="s">
        <v>655</v>
      </c>
      <c r="Q290" s="369" t="s">
        <v>655</v>
      </c>
      <c r="R290" s="367" t="s">
        <v>1505</v>
      </c>
      <c r="S290" s="367">
        <v>4012660</v>
      </c>
      <c r="T290" s="483">
        <v>586.79999999999995</v>
      </c>
      <c r="U290" s="470"/>
      <c r="V290" s="483">
        <v>366.46</v>
      </c>
      <c r="W290" s="470"/>
      <c r="X290" s="470"/>
      <c r="Y290" s="370">
        <f t="shared" si="5"/>
        <v>366.46</v>
      </c>
      <c r="Z290" s="371">
        <v>1</v>
      </c>
    </row>
    <row r="291" spans="1:26" x14ac:dyDescent="0.25">
      <c r="A291" s="481">
        <v>42333</v>
      </c>
      <c r="B291" s="470"/>
      <c r="C291" s="368">
        <v>42333</v>
      </c>
      <c r="F291" s="482" t="s">
        <v>1506</v>
      </c>
      <c r="G291" s="470"/>
      <c r="H291" s="369" t="s">
        <v>659</v>
      </c>
      <c r="I291" s="369" t="s">
        <v>1507</v>
      </c>
      <c r="J291" s="367" t="s">
        <v>1508</v>
      </c>
      <c r="K291" s="482" t="s">
        <v>662</v>
      </c>
      <c r="L291" s="470"/>
      <c r="M291" s="470"/>
      <c r="N291" s="369" t="s">
        <v>655</v>
      </c>
      <c r="O291" s="369" t="s">
        <v>753</v>
      </c>
      <c r="P291" s="369" t="s">
        <v>655</v>
      </c>
      <c r="Q291" s="369" t="s">
        <v>753</v>
      </c>
      <c r="R291" s="367" t="s">
        <v>1509</v>
      </c>
      <c r="S291" s="367">
        <v>4046879</v>
      </c>
      <c r="T291" s="483">
        <v>586.79999999999995</v>
      </c>
      <c r="U291" s="470"/>
      <c r="V291" s="483">
        <v>0</v>
      </c>
      <c r="W291" s="470"/>
      <c r="X291" s="470"/>
      <c r="Y291" s="370">
        <f t="shared" si="5"/>
        <v>0</v>
      </c>
      <c r="Z291" s="371"/>
    </row>
    <row r="292" spans="1:26" x14ac:dyDescent="0.25">
      <c r="A292" s="481">
        <v>42333</v>
      </c>
      <c r="B292" s="470"/>
      <c r="C292" s="368">
        <v>42334</v>
      </c>
      <c r="F292" s="482" t="s">
        <v>684</v>
      </c>
      <c r="G292" s="470"/>
      <c r="H292" s="369" t="s">
        <v>659</v>
      </c>
      <c r="I292" s="369" t="s">
        <v>1510</v>
      </c>
      <c r="J292" s="367" t="s">
        <v>1511</v>
      </c>
      <c r="K292" s="482" t="s">
        <v>1512</v>
      </c>
      <c r="L292" s="470"/>
      <c r="M292" s="470"/>
      <c r="N292" s="369" t="s">
        <v>655</v>
      </c>
      <c r="O292" s="369" t="s">
        <v>753</v>
      </c>
      <c r="P292" s="369" t="s">
        <v>655</v>
      </c>
      <c r="Q292" s="369" t="s">
        <v>655</v>
      </c>
      <c r="R292" s="367" t="s">
        <v>1513</v>
      </c>
      <c r="S292" s="367">
        <v>4046995</v>
      </c>
      <c r="T292" s="483">
        <v>586.79999999999995</v>
      </c>
      <c r="U292" s="470"/>
      <c r="V292" s="483">
        <v>55.64</v>
      </c>
      <c r="W292" s="470"/>
      <c r="X292" s="470"/>
      <c r="Y292" s="370">
        <f t="shared" si="5"/>
        <v>55.64</v>
      </c>
      <c r="Z292" s="371">
        <v>7</v>
      </c>
    </row>
    <row r="293" spans="1:26" x14ac:dyDescent="0.25">
      <c r="A293" s="481">
        <v>42333</v>
      </c>
      <c r="B293" s="470"/>
      <c r="C293" s="368">
        <v>42333</v>
      </c>
      <c r="F293" s="482" t="s">
        <v>684</v>
      </c>
      <c r="G293" s="470"/>
      <c r="H293" s="369" t="s">
        <v>659</v>
      </c>
      <c r="I293" s="369" t="s">
        <v>1514</v>
      </c>
      <c r="J293" s="367" t="s">
        <v>835</v>
      </c>
      <c r="K293" s="482" t="s">
        <v>1515</v>
      </c>
      <c r="L293" s="470"/>
      <c r="M293" s="470"/>
      <c r="N293" s="369" t="s">
        <v>655</v>
      </c>
      <c r="O293" s="369" t="s">
        <v>753</v>
      </c>
      <c r="P293" s="369" t="s">
        <v>655</v>
      </c>
      <c r="Q293" s="369" t="s">
        <v>753</v>
      </c>
      <c r="R293" s="367" t="s">
        <v>1516</v>
      </c>
      <c r="S293" s="367">
        <v>4046734</v>
      </c>
      <c r="T293" s="483">
        <v>586.79999999999995</v>
      </c>
      <c r="U293" s="470"/>
      <c r="V293" s="483">
        <v>0</v>
      </c>
      <c r="W293" s="470"/>
      <c r="X293" s="470"/>
      <c r="Y293" s="370">
        <f t="shared" si="5"/>
        <v>0</v>
      </c>
      <c r="Z293" s="371">
        <v>5</v>
      </c>
    </row>
    <row r="294" spans="1:26" x14ac:dyDescent="0.25">
      <c r="A294" s="481">
        <v>42334</v>
      </c>
      <c r="B294" s="470"/>
      <c r="C294" s="368">
        <v>42334</v>
      </c>
      <c r="F294" s="482" t="s">
        <v>684</v>
      </c>
      <c r="G294" s="470"/>
      <c r="H294" s="369" t="s">
        <v>659</v>
      </c>
      <c r="I294" s="369" t="s">
        <v>1517</v>
      </c>
      <c r="J294" s="367" t="s">
        <v>1518</v>
      </c>
      <c r="K294" s="482" t="s">
        <v>676</v>
      </c>
      <c r="L294" s="470"/>
      <c r="M294" s="470"/>
      <c r="N294" s="369" t="s">
        <v>655</v>
      </c>
      <c r="O294" s="369" t="s">
        <v>655</v>
      </c>
      <c r="P294" s="369" t="s">
        <v>655</v>
      </c>
      <c r="Q294" s="369" t="s">
        <v>655</v>
      </c>
      <c r="R294" s="367" t="s">
        <v>1519</v>
      </c>
      <c r="S294" s="367">
        <v>4046579</v>
      </c>
      <c r="T294" s="483">
        <v>586.79999999999995</v>
      </c>
      <c r="U294" s="470"/>
      <c r="V294" s="483">
        <v>1120.25</v>
      </c>
      <c r="W294" s="470"/>
      <c r="X294" s="470"/>
      <c r="Y294" s="370">
        <f t="shared" si="5"/>
        <v>1120.25</v>
      </c>
      <c r="Z294" s="371">
        <v>1</v>
      </c>
    </row>
    <row r="295" spans="1:26" x14ac:dyDescent="0.25">
      <c r="A295" s="481">
        <v>42334</v>
      </c>
      <c r="B295" s="470"/>
      <c r="C295" s="368">
        <v>42334</v>
      </c>
      <c r="F295" s="482" t="s">
        <v>684</v>
      </c>
      <c r="G295" s="470"/>
      <c r="H295" s="369" t="s">
        <v>659</v>
      </c>
      <c r="I295" s="369" t="s">
        <v>1520</v>
      </c>
      <c r="J295" s="367" t="s">
        <v>1521</v>
      </c>
      <c r="K295" s="482" t="s">
        <v>1449</v>
      </c>
      <c r="L295" s="470"/>
      <c r="M295" s="470"/>
      <c r="N295" s="369" t="s">
        <v>655</v>
      </c>
      <c r="O295" s="369" t="s">
        <v>753</v>
      </c>
      <c r="P295" s="369" t="s">
        <v>655</v>
      </c>
      <c r="Q295" s="369" t="s">
        <v>753</v>
      </c>
      <c r="R295" s="367" t="s">
        <v>1522</v>
      </c>
      <c r="S295" s="367">
        <v>4046827</v>
      </c>
      <c r="T295" s="483">
        <v>586.79999999999995</v>
      </c>
      <c r="U295" s="470"/>
      <c r="V295" s="483">
        <v>0</v>
      </c>
      <c r="W295" s="470"/>
      <c r="X295" s="470"/>
      <c r="Y295" s="370">
        <f t="shared" si="5"/>
        <v>0</v>
      </c>
      <c r="Z295" s="371"/>
    </row>
    <row r="296" spans="1:26" x14ac:dyDescent="0.25">
      <c r="A296" s="481">
        <v>42334</v>
      </c>
      <c r="B296" s="470"/>
      <c r="C296" s="368">
        <v>42334</v>
      </c>
      <c r="F296" s="482" t="s">
        <v>697</v>
      </c>
      <c r="G296" s="470"/>
      <c r="H296" s="369" t="s">
        <v>659</v>
      </c>
      <c r="I296" s="369" t="s">
        <v>1523</v>
      </c>
      <c r="J296" s="367" t="s">
        <v>1524</v>
      </c>
      <c r="K296" s="482" t="s">
        <v>1525</v>
      </c>
      <c r="L296" s="470"/>
      <c r="M296" s="470"/>
      <c r="N296" s="369" t="s">
        <v>655</v>
      </c>
      <c r="O296" s="369" t="s">
        <v>655</v>
      </c>
      <c r="P296" s="369" t="s">
        <v>655</v>
      </c>
      <c r="Q296" s="369" t="s">
        <v>655</v>
      </c>
      <c r="R296" s="367" t="s">
        <v>1526</v>
      </c>
      <c r="S296" s="367">
        <v>4046636</v>
      </c>
      <c r="T296" s="483">
        <v>586.79999999999995</v>
      </c>
      <c r="U296" s="470"/>
      <c r="V296" s="483">
        <v>0</v>
      </c>
      <c r="W296" s="470"/>
      <c r="X296" s="470"/>
      <c r="Y296" s="370">
        <f t="shared" si="5"/>
        <v>0</v>
      </c>
      <c r="Z296" s="371"/>
    </row>
    <row r="297" spans="1:26" x14ac:dyDescent="0.25">
      <c r="A297" s="481">
        <v>42334</v>
      </c>
      <c r="B297" s="470"/>
      <c r="C297" s="368">
        <v>42335</v>
      </c>
      <c r="F297" s="482" t="s">
        <v>686</v>
      </c>
      <c r="G297" s="470"/>
      <c r="H297" s="369" t="s">
        <v>659</v>
      </c>
      <c r="I297" s="369" t="s">
        <v>1527</v>
      </c>
      <c r="J297" s="367" t="s">
        <v>1528</v>
      </c>
      <c r="K297" s="482" t="s">
        <v>1529</v>
      </c>
      <c r="L297" s="470"/>
      <c r="M297" s="470"/>
      <c r="N297" s="369" t="s">
        <v>655</v>
      </c>
      <c r="O297" s="369" t="s">
        <v>655</v>
      </c>
      <c r="P297" s="369" t="s">
        <v>655</v>
      </c>
      <c r="Q297" s="369" t="s">
        <v>655</v>
      </c>
      <c r="R297" s="367" t="s">
        <v>1530</v>
      </c>
      <c r="S297" s="367">
        <v>4046464</v>
      </c>
      <c r="T297" s="483">
        <v>586.79999999999995</v>
      </c>
      <c r="U297" s="470"/>
      <c r="V297" s="483">
        <v>1194.1600000000001</v>
      </c>
      <c r="W297" s="470"/>
      <c r="X297" s="470"/>
      <c r="Y297" s="370">
        <f t="shared" si="5"/>
        <v>1194.1600000000001</v>
      </c>
      <c r="Z297" s="371"/>
    </row>
    <row r="298" spans="1:26" x14ac:dyDescent="0.25">
      <c r="A298" s="481">
        <v>42334</v>
      </c>
      <c r="B298" s="470"/>
      <c r="C298" s="368">
        <v>42334</v>
      </c>
      <c r="F298" s="482" t="s">
        <v>684</v>
      </c>
      <c r="G298" s="470"/>
      <c r="H298" s="369" t="s">
        <v>659</v>
      </c>
      <c r="I298" s="369" t="s">
        <v>1531</v>
      </c>
      <c r="J298" s="367" t="s">
        <v>1532</v>
      </c>
      <c r="K298" s="482" t="s">
        <v>1533</v>
      </c>
      <c r="L298" s="470"/>
      <c r="M298" s="470"/>
      <c r="N298" s="369" t="s">
        <v>655</v>
      </c>
      <c r="O298" s="369" t="s">
        <v>753</v>
      </c>
      <c r="P298" s="369" t="s">
        <v>655</v>
      </c>
      <c r="Q298" s="369" t="s">
        <v>655</v>
      </c>
      <c r="R298" s="367" t="s">
        <v>1534</v>
      </c>
      <c r="S298" s="367">
        <v>4046651</v>
      </c>
      <c r="T298" s="483">
        <v>586.79999999999995</v>
      </c>
      <c r="U298" s="470"/>
      <c r="V298" s="483">
        <v>220.53</v>
      </c>
      <c r="W298" s="470"/>
      <c r="X298" s="470"/>
      <c r="Y298" s="370">
        <f t="shared" si="5"/>
        <v>220.53</v>
      </c>
      <c r="Z298" s="371"/>
    </row>
    <row r="299" spans="1:26" x14ac:dyDescent="0.25">
      <c r="A299" s="481">
        <v>42335</v>
      </c>
      <c r="B299" s="470"/>
      <c r="C299" s="368">
        <v>42335</v>
      </c>
      <c r="F299" s="482" t="s">
        <v>697</v>
      </c>
      <c r="G299" s="470"/>
      <c r="H299" s="369" t="s">
        <v>659</v>
      </c>
      <c r="I299" s="369" t="s">
        <v>1535</v>
      </c>
      <c r="J299" s="367" t="s">
        <v>1536</v>
      </c>
      <c r="K299" s="482" t="s">
        <v>1537</v>
      </c>
      <c r="L299" s="470"/>
      <c r="M299" s="470"/>
      <c r="N299" s="369" t="s">
        <v>655</v>
      </c>
      <c r="O299" s="369" t="s">
        <v>753</v>
      </c>
      <c r="P299" s="369" t="s">
        <v>655</v>
      </c>
      <c r="Q299" s="369" t="s">
        <v>753</v>
      </c>
      <c r="R299" s="367" t="s">
        <v>1538</v>
      </c>
      <c r="S299" s="367">
        <v>4046554</v>
      </c>
      <c r="T299" s="483">
        <v>586.79999999999995</v>
      </c>
      <c r="U299" s="470"/>
      <c r="V299" s="483">
        <v>0</v>
      </c>
      <c r="W299" s="470"/>
      <c r="X299" s="470"/>
      <c r="Y299" s="370">
        <f t="shared" si="5"/>
        <v>0</v>
      </c>
      <c r="Z299" s="371"/>
    </row>
    <row r="300" spans="1:26" x14ac:dyDescent="0.25">
      <c r="A300" s="481">
        <v>42336</v>
      </c>
      <c r="B300" s="470"/>
      <c r="C300" s="368">
        <v>42336</v>
      </c>
      <c r="F300" s="482" t="s">
        <v>684</v>
      </c>
      <c r="G300" s="470"/>
      <c r="H300" s="369" t="s">
        <v>659</v>
      </c>
      <c r="I300" s="369" t="s">
        <v>1539</v>
      </c>
      <c r="J300" s="367" t="s">
        <v>1540</v>
      </c>
      <c r="K300" s="482" t="s">
        <v>939</v>
      </c>
      <c r="L300" s="470"/>
      <c r="M300" s="470"/>
      <c r="N300" s="369" t="s">
        <v>655</v>
      </c>
      <c r="O300" s="369" t="s">
        <v>753</v>
      </c>
      <c r="P300" s="369" t="s">
        <v>655</v>
      </c>
      <c r="Q300" s="369" t="s">
        <v>753</v>
      </c>
      <c r="R300" s="367" t="s">
        <v>1541</v>
      </c>
      <c r="S300" s="367">
        <v>4047065</v>
      </c>
      <c r="T300" s="483">
        <v>586.79999999999995</v>
      </c>
      <c r="U300" s="470"/>
      <c r="V300" s="483">
        <v>0</v>
      </c>
      <c r="W300" s="470"/>
      <c r="X300" s="470"/>
      <c r="Y300" s="370">
        <f t="shared" si="5"/>
        <v>0</v>
      </c>
      <c r="Z300" s="371"/>
    </row>
    <row r="301" spans="1:26" x14ac:dyDescent="0.25">
      <c r="A301" s="481">
        <v>42337</v>
      </c>
      <c r="B301" s="470"/>
      <c r="C301" s="368">
        <v>42337</v>
      </c>
      <c r="F301" s="482" t="s">
        <v>684</v>
      </c>
      <c r="G301" s="470"/>
      <c r="H301" s="369" t="s">
        <v>659</v>
      </c>
      <c r="I301" s="369" t="s">
        <v>1542</v>
      </c>
      <c r="J301" s="367" t="s">
        <v>1543</v>
      </c>
      <c r="K301" s="482" t="s">
        <v>1544</v>
      </c>
      <c r="L301" s="470"/>
      <c r="M301" s="470"/>
      <c r="N301" s="369" t="s">
        <v>655</v>
      </c>
      <c r="O301" s="369" t="s">
        <v>753</v>
      </c>
      <c r="P301" s="369" t="s">
        <v>655</v>
      </c>
      <c r="Q301" s="369" t="s">
        <v>655</v>
      </c>
      <c r="R301" s="367" t="s">
        <v>1545</v>
      </c>
      <c r="S301" s="367">
        <v>4047097</v>
      </c>
      <c r="T301" s="483">
        <v>586.79999999999995</v>
      </c>
      <c r="U301" s="470"/>
      <c r="V301" s="483">
        <v>0</v>
      </c>
      <c r="W301" s="470"/>
      <c r="X301" s="470"/>
      <c r="Y301" s="370">
        <f t="shared" si="5"/>
        <v>0</v>
      </c>
      <c r="Z301" s="371">
        <v>42</v>
      </c>
    </row>
    <row r="302" spans="1:26" x14ac:dyDescent="0.25">
      <c r="A302" s="481">
        <v>42337</v>
      </c>
      <c r="B302" s="470"/>
      <c r="C302" s="368">
        <v>42337</v>
      </c>
      <c r="F302" s="482" t="s">
        <v>684</v>
      </c>
      <c r="G302" s="470"/>
      <c r="H302" s="369" t="s">
        <v>659</v>
      </c>
      <c r="I302" s="369" t="s">
        <v>1546</v>
      </c>
      <c r="J302" s="367" t="s">
        <v>1547</v>
      </c>
      <c r="K302" s="482" t="s">
        <v>1548</v>
      </c>
      <c r="L302" s="470"/>
      <c r="M302" s="470"/>
      <c r="N302" s="369" t="s">
        <v>655</v>
      </c>
      <c r="O302" s="369" t="s">
        <v>753</v>
      </c>
      <c r="P302" s="369" t="s">
        <v>655</v>
      </c>
      <c r="Q302" s="369" t="s">
        <v>753</v>
      </c>
      <c r="R302" s="367" t="s">
        <v>1549</v>
      </c>
      <c r="S302" s="367">
        <v>4046897</v>
      </c>
      <c r="T302" s="483">
        <v>586.79999999999995</v>
      </c>
      <c r="U302" s="470"/>
      <c r="V302" s="483">
        <v>105.4</v>
      </c>
      <c r="W302" s="470"/>
      <c r="X302" s="470"/>
      <c r="Y302" s="370">
        <f t="shared" si="5"/>
        <v>105.4</v>
      </c>
      <c r="Z302" s="371">
        <v>4</v>
      </c>
    </row>
    <row r="303" spans="1:26" x14ac:dyDescent="0.25">
      <c r="A303" s="481">
        <v>42338</v>
      </c>
      <c r="B303" s="470"/>
      <c r="C303" s="368">
        <v>42338</v>
      </c>
      <c r="F303" s="482" t="s">
        <v>684</v>
      </c>
      <c r="G303" s="470"/>
      <c r="H303" s="369" t="s">
        <v>659</v>
      </c>
      <c r="I303" s="369" t="s">
        <v>1550</v>
      </c>
      <c r="J303" s="367" t="s">
        <v>1551</v>
      </c>
      <c r="K303" s="482" t="s">
        <v>1552</v>
      </c>
      <c r="L303" s="470"/>
      <c r="M303" s="470"/>
      <c r="N303" s="369" t="s">
        <v>655</v>
      </c>
      <c r="O303" s="369" t="s">
        <v>753</v>
      </c>
      <c r="P303" s="369" t="s">
        <v>655</v>
      </c>
      <c r="Q303" s="369" t="s">
        <v>655</v>
      </c>
      <c r="R303" s="367" t="s">
        <v>1553</v>
      </c>
      <c r="S303" s="367">
        <v>4046692</v>
      </c>
      <c r="T303" s="483">
        <v>586.79999999999995</v>
      </c>
      <c r="U303" s="470"/>
      <c r="V303" s="483">
        <v>153.94999999999999</v>
      </c>
      <c r="W303" s="470"/>
      <c r="X303" s="470"/>
      <c r="Y303" s="370">
        <f t="shared" si="5"/>
        <v>153.94999999999999</v>
      </c>
      <c r="Z303" s="371"/>
    </row>
    <row r="304" spans="1:26" x14ac:dyDescent="0.25">
      <c r="A304" s="481">
        <v>42339</v>
      </c>
      <c r="B304" s="470"/>
      <c r="C304" s="368">
        <v>42339</v>
      </c>
      <c r="F304" s="482" t="s">
        <v>673</v>
      </c>
      <c r="G304" s="470"/>
      <c r="H304" s="369" t="s">
        <v>659</v>
      </c>
      <c r="I304" s="369" t="s">
        <v>1554</v>
      </c>
      <c r="J304" s="367" t="s">
        <v>1555</v>
      </c>
      <c r="K304" s="482" t="s">
        <v>693</v>
      </c>
      <c r="L304" s="470"/>
      <c r="M304" s="470"/>
      <c r="N304" s="369" t="s">
        <v>655</v>
      </c>
      <c r="O304" s="369" t="s">
        <v>753</v>
      </c>
      <c r="P304" s="369" t="s">
        <v>655</v>
      </c>
      <c r="Q304" s="369" t="s">
        <v>655</v>
      </c>
      <c r="R304" s="367" t="s">
        <v>1556</v>
      </c>
      <c r="S304" s="367">
        <v>4055616</v>
      </c>
      <c r="T304" s="483">
        <v>586.79999999999995</v>
      </c>
      <c r="U304" s="470"/>
      <c r="V304" s="483">
        <v>153.94999999999999</v>
      </c>
      <c r="W304" s="470"/>
      <c r="X304" s="470"/>
      <c r="Y304" s="370">
        <f t="shared" si="5"/>
        <v>153.94999999999999</v>
      </c>
      <c r="Z304" s="371"/>
    </row>
    <row r="305" spans="1:26" x14ac:dyDescent="0.25">
      <c r="A305" s="481">
        <v>42339</v>
      </c>
      <c r="B305" s="470"/>
      <c r="C305" s="368">
        <v>42347</v>
      </c>
      <c r="F305" s="482" t="s">
        <v>695</v>
      </c>
      <c r="G305" s="470"/>
      <c r="H305" s="369" t="s">
        <v>659</v>
      </c>
      <c r="I305" s="369" t="s">
        <v>1557</v>
      </c>
      <c r="J305" s="367" t="s">
        <v>1436</v>
      </c>
      <c r="K305" s="482" t="s">
        <v>1558</v>
      </c>
      <c r="L305" s="470"/>
      <c r="M305" s="470"/>
      <c r="N305" s="369" t="s">
        <v>655</v>
      </c>
      <c r="O305" s="369" t="s">
        <v>655</v>
      </c>
      <c r="P305" s="369" t="s">
        <v>655</v>
      </c>
      <c r="Q305" s="369" t="s">
        <v>655</v>
      </c>
      <c r="R305" s="367" t="s">
        <v>1559</v>
      </c>
      <c r="S305" s="367">
        <v>4046759</v>
      </c>
      <c r="T305" s="483">
        <v>586.79999999999995</v>
      </c>
      <c r="U305" s="470"/>
      <c r="V305" s="483">
        <v>0</v>
      </c>
      <c r="W305" s="470"/>
      <c r="X305" s="470"/>
      <c r="Y305" s="370">
        <f t="shared" si="5"/>
        <v>0</v>
      </c>
      <c r="Z305" s="371"/>
    </row>
    <row r="306" spans="1:26" x14ac:dyDescent="0.25">
      <c r="A306" s="481">
        <v>42339</v>
      </c>
      <c r="B306" s="470"/>
      <c r="C306" s="368">
        <v>42339</v>
      </c>
      <c r="F306" s="482" t="s">
        <v>697</v>
      </c>
      <c r="G306" s="470"/>
      <c r="H306" s="369" t="s">
        <v>659</v>
      </c>
      <c r="I306" s="369" t="s">
        <v>1560</v>
      </c>
      <c r="J306" s="367" t="s">
        <v>1561</v>
      </c>
      <c r="K306" s="482" t="s">
        <v>1562</v>
      </c>
      <c r="L306" s="470"/>
      <c r="M306" s="470"/>
      <c r="N306" s="369" t="s">
        <v>655</v>
      </c>
      <c r="O306" s="369" t="s">
        <v>753</v>
      </c>
      <c r="P306" s="369" t="s">
        <v>655</v>
      </c>
      <c r="Q306" s="369" t="s">
        <v>753</v>
      </c>
      <c r="R306" s="367" t="s">
        <v>1563</v>
      </c>
      <c r="S306" s="367">
        <v>4069585</v>
      </c>
      <c r="T306" s="483">
        <v>586.79999999999995</v>
      </c>
      <c r="U306" s="470"/>
      <c r="V306" s="483">
        <v>0</v>
      </c>
      <c r="W306" s="470"/>
      <c r="X306" s="470"/>
      <c r="Y306" s="370">
        <f t="shared" si="5"/>
        <v>0</v>
      </c>
      <c r="Z306" s="371"/>
    </row>
    <row r="307" spans="1:26" x14ac:dyDescent="0.25">
      <c r="A307" s="481">
        <v>42340</v>
      </c>
      <c r="B307" s="470"/>
      <c r="C307" s="368">
        <v>42341</v>
      </c>
      <c r="F307" s="482" t="s">
        <v>684</v>
      </c>
      <c r="G307" s="470"/>
      <c r="H307" s="369" t="s">
        <v>659</v>
      </c>
      <c r="I307" s="369" t="s">
        <v>1564</v>
      </c>
      <c r="J307" s="367" t="s">
        <v>1565</v>
      </c>
      <c r="K307" s="482" t="s">
        <v>676</v>
      </c>
      <c r="L307" s="470"/>
      <c r="M307" s="470"/>
      <c r="N307" s="369" t="s">
        <v>655</v>
      </c>
      <c r="O307" s="369" t="s">
        <v>753</v>
      </c>
      <c r="P307" s="369" t="s">
        <v>655</v>
      </c>
      <c r="Q307" s="369" t="s">
        <v>753</v>
      </c>
      <c r="R307" s="367" t="s">
        <v>1566</v>
      </c>
      <c r="S307" s="367">
        <v>4061006</v>
      </c>
      <c r="T307" s="483">
        <v>586.79999999999995</v>
      </c>
      <c r="U307" s="470"/>
      <c r="V307" s="483">
        <v>0</v>
      </c>
      <c r="W307" s="470"/>
      <c r="X307" s="470"/>
      <c r="Y307" s="370">
        <f t="shared" si="5"/>
        <v>0</v>
      </c>
      <c r="Z307" s="371"/>
    </row>
    <row r="308" spans="1:26" x14ac:dyDescent="0.25">
      <c r="A308" s="481">
        <v>42341</v>
      </c>
      <c r="B308" s="470"/>
      <c r="C308" s="368">
        <v>42341</v>
      </c>
      <c r="F308" s="482" t="s">
        <v>735</v>
      </c>
      <c r="G308" s="470"/>
      <c r="H308" s="369" t="s">
        <v>659</v>
      </c>
      <c r="I308" s="369" t="s">
        <v>736</v>
      </c>
      <c r="J308" s="367" t="s">
        <v>737</v>
      </c>
      <c r="K308" s="482" t="s">
        <v>738</v>
      </c>
      <c r="L308" s="470"/>
      <c r="M308" s="470"/>
      <c r="N308" s="369" t="s">
        <v>655</v>
      </c>
      <c r="O308" s="369" t="s">
        <v>655</v>
      </c>
      <c r="P308" s="369" t="s">
        <v>655</v>
      </c>
      <c r="Q308" s="369" t="s">
        <v>655</v>
      </c>
      <c r="R308" s="367" t="s">
        <v>739</v>
      </c>
      <c r="S308" s="367">
        <v>4067052</v>
      </c>
      <c r="T308" s="483">
        <v>586.79999999999995</v>
      </c>
      <c r="U308" s="470"/>
      <c r="V308" s="483">
        <v>879.41</v>
      </c>
      <c r="W308" s="470"/>
      <c r="X308" s="470"/>
      <c r="Y308" s="370">
        <f t="shared" si="5"/>
        <v>879.41</v>
      </c>
      <c r="Z308" s="371">
        <v>7</v>
      </c>
    </row>
    <row r="309" spans="1:26" x14ac:dyDescent="0.25">
      <c r="A309" s="481">
        <v>42342</v>
      </c>
      <c r="B309" s="470"/>
      <c r="C309" s="368">
        <v>42342</v>
      </c>
      <c r="F309" s="482" t="s">
        <v>684</v>
      </c>
      <c r="G309" s="470"/>
      <c r="H309" s="369" t="s">
        <v>659</v>
      </c>
      <c r="I309" s="369" t="s">
        <v>1567</v>
      </c>
      <c r="J309" s="367" t="s">
        <v>1568</v>
      </c>
      <c r="K309" s="482" t="s">
        <v>997</v>
      </c>
      <c r="L309" s="470"/>
      <c r="M309" s="470"/>
      <c r="N309" s="369" t="s">
        <v>655</v>
      </c>
      <c r="O309" s="369" t="s">
        <v>753</v>
      </c>
      <c r="P309" s="369" t="s">
        <v>655</v>
      </c>
      <c r="Q309" s="369" t="s">
        <v>753</v>
      </c>
      <c r="R309" s="367" t="s">
        <v>1569</v>
      </c>
      <c r="S309" s="367">
        <v>4090896</v>
      </c>
      <c r="T309" s="483">
        <v>586.79999999999995</v>
      </c>
      <c r="U309" s="470"/>
      <c r="V309" s="483">
        <v>0</v>
      </c>
      <c r="W309" s="470"/>
      <c r="X309" s="470"/>
      <c r="Y309" s="370">
        <f t="shared" si="5"/>
        <v>0</v>
      </c>
      <c r="Z309" s="371">
        <v>37</v>
      </c>
    </row>
    <row r="310" spans="1:26" x14ac:dyDescent="0.25">
      <c r="A310" s="481">
        <v>42343</v>
      </c>
      <c r="B310" s="470"/>
      <c r="C310" s="368">
        <v>42344</v>
      </c>
      <c r="F310" s="482" t="s">
        <v>673</v>
      </c>
      <c r="G310" s="470"/>
      <c r="H310" s="369" t="s">
        <v>659</v>
      </c>
      <c r="I310" s="369" t="s">
        <v>1570</v>
      </c>
      <c r="J310" s="367" t="s">
        <v>1325</v>
      </c>
      <c r="K310" s="482" t="s">
        <v>1571</v>
      </c>
      <c r="L310" s="470"/>
      <c r="M310" s="470"/>
      <c r="N310" s="369" t="s">
        <v>655</v>
      </c>
      <c r="O310" s="369" t="s">
        <v>753</v>
      </c>
      <c r="P310" s="369" t="s">
        <v>655</v>
      </c>
      <c r="Q310" s="369" t="s">
        <v>655</v>
      </c>
      <c r="R310" s="367" t="s">
        <v>1572</v>
      </c>
      <c r="S310" s="367">
        <v>4097109</v>
      </c>
      <c r="T310" s="483">
        <v>586.79999999999995</v>
      </c>
      <c r="U310" s="470"/>
      <c r="V310" s="483">
        <v>130.35</v>
      </c>
      <c r="W310" s="470"/>
      <c r="X310" s="470"/>
      <c r="Y310" s="370">
        <f t="shared" si="5"/>
        <v>130.35</v>
      </c>
      <c r="Z310" s="371"/>
    </row>
    <row r="311" spans="1:26" x14ac:dyDescent="0.25">
      <c r="A311" s="481">
        <v>42344</v>
      </c>
      <c r="B311" s="470"/>
      <c r="C311" s="368">
        <v>42344</v>
      </c>
      <c r="F311" s="482" t="s">
        <v>673</v>
      </c>
      <c r="G311" s="470"/>
      <c r="H311" s="369" t="s">
        <v>659</v>
      </c>
      <c r="I311" s="369" t="s">
        <v>1573</v>
      </c>
      <c r="J311" s="367" t="s">
        <v>831</v>
      </c>
      <c r="K311" s="482" t="s">
        <v>1194</v>
      </c>
      <c r="L311" s="470"/>
      <c r="M311" s="470"/>
      <c r="N311" s="369" t="s">
        <v>655</v>
      </c>
      <c r="O311" s="369" t="s">
        <v>753</v>
      </c>
      <c r="P311" s="369" t="s">
        <v>655</v>
      </c>
      <c r="Q311" s="369" t="s">
        <v>655</v>
      </c>
      <c r="R311" s="367" t="s">
        <v>1574</v>
      </c>
      <c r="S311" s="367">
        <v>4097132</v>
      </c>
      <c r="T311" s="483">
        <v>586.79999999999995</v>
      </c>
      <c r="U311" s="470"/>
      <c r="V311" s="483">
        <v>250.89</v>
      </c>
      <c r="W311" s="470"/>
      <c r="X311" s="470"/>
      <c r="Y311" s="370">
        <f t="shared" si="5"/>
        <v>250.89</v>
      </c>
      <c r="Z311" s="371"/>
    </row>
    <row r="312" spans="1:26" x14ac:dyDescent="0.25">
      <c r="A312" s="481">
        <v>42345</v>
      </c>
      <c r="B312" s="470"/>
      <c r="C312" s="368">
        <v>42345</v>
      </c>
      <c r="F312" s="482" t="s">
        <v>673</v>
      </c>
      <c r="G312" s="470"/>
      <c r="H312" s="369" t="s">
        <v>659</v>
      </c>
      <c r="I312" s="369" t="s">
        <v>1575</v>
      </c>
      <c r="J312" s="367" t="s">
        <v>1576</v>
      </c>
      <c r="K312" s="482" t="s">
        <v>1057</v>
      </c>
      <c r="L312" s="470"/>
      <c r="M312" s="470"/>
      <c r="N312" s="369" t="s">
        <v>655</v>
      </c>
      <c r="O312" s="369" t="s">
        <v>753</v>
      </c>
      <c r="P312" s="369" t="s">
        <v>655</v>
      </c>
      <c r="Q312" s="369" t="s">
        <v>655</v>
      </c>
      <c r="R312" s="367" t="s">
        <v>1577</v>
      </c>
      <c r="S312" s="367">
        <v>4097060</v>
      </c>
      <c r="T312" s="483">
        <v>586.79999999999995</v>
      </c>
      <c r="U312" s="470"/>
      <c r="V312" s="483">
        <v>358.04</v>
      </c>
      <c r="W312" s="470"/>
      <c r="X312" s="470"/>
      <c r="Y312" s="370">
        <f t="shared" si="5"/>
        <v>358.04</v>
      </c>
      <c r="Z312" s="371"/>
    </row>
    <row r="313" spans="1:26" x14ac:dyDescent="0.25">
      <c r="A313" s="481">
        <v>42347</v>
      </c>
      <c r="B313" s="470"/>
      <c r="C313" s="368">
        <v>42348</v>
      </c>
      <c r="F313" s="482" t="s">
        <v>673</v>
      </c>
      <c r="G313" s="470"/>
      <c r="H313" s="369" t="s">
        <v>659</v>
      </c>
      <c r="I313" s="369" t="s">
        <v>1578</v>
      </c>
      <c r="J313" s="367" t="s">
        <v>1579</v>
      </c>
      <c r="K313" s="482" t="s">
        <v>1389</v>
      </c>
      <c r="L313" s="470"/>
      <c r="M313" s="470"/>
      <c r="N313" s="369" t="s">
        <v>655</v>
      </c>
      <c r="O313" s="369" t="s">
        <v>753</v>
      </c>
      <c r="P313" s="369" t="s">
        <v>655</v>
      </c>
      <c r="Q313" s="369" t="s">
        <v>655</v>
      </c>
      <c r="R313" s="367" t="s">
        <v>1580</v>
      </c>
      <c r="S313" s="367">
        <v>4141585</v>
      </c>
      <c r="T313" s="483">
        <v>586.79999999999995</v>
      </c>
      <c r="U313" s="470"/>
      <c r="V313" s="483">
        <v>6.95</v>
      </c>
      <c r="W313" s="470"/>
      <c r="X313" s="470"/>
      <c r="Y313" s="370">
        <f t="shared" si="5"/>
        <v>6.95</v>
      </c>
      <c r="Z313" s="371"/>
    </row>
    <row r="314" spans="1:26" x14ac:dyDescent="0.25">
      <c r="A314" s="481">
        <v>42347</v>
      </c>
      <c r="B314" s="470"/>
      <c r="C314" s="368">
        <v>42348</v>
      </c>
      <c r="F314" s="482" t="s">
        <v>684</v>
      </c>
      <c r="G314" s="470"/>
      <c r="H314" s="369" t="s">
        <v>659</v>
      </c>
      <c r="I314" s="369" t="s">
        <v>1581</v>
      </c>
      <c r="J314" s="367" t="s">
        <v>1582</v>
      </c>
      <c r="K314" s="482" t="s">
        <v>1583</v>
      </c>
      <c r="L314" s="470"/>
      <c r="M314" s="470"/>
      <c r="N314" s="369" t="s">
        <v>655</v>
      </c>
      <c r="O314" s="369" t="s">
        <v>753</v>
      </c>
      <c r="P314" s="369" t="s">
        <v>655</v>
      </c>
      <c r="Q314" s="369" t="s">
        <v>655</v>
      </c>
      <c r="R314" s="367" t="s">
        <v>1584</v>
      </c>
      <c r="S314" s="367">
        <v>4116613</v>
      </c>
      <c r="T314" s="483">
        <v>586.79999999999995</v>
      </c>
      <c r="U314" s="470"/>
      <c r="V314" s="483">
        <v>296.66000000000003</v>
      </c>
      <c r="W314" s="470"/>
      <c r="X314" s="470"/>
      <c r="Y314" s="370">
        <f t="shared" si="5"/>
        <v>296.66000000000003</v>
      </c>
      <c r="Z314" s="371"/>
    </row>
    <row r="315" spans="1:26" x14ac:dyDescent="0.25">
      <c r="A315" s="481">
        <v>42347</v>
      </c>
      <c r="B315" s="470"/>
      <c r="C315" s="368">
        <v>42347</v>
      </c>
      <c r="F315" s="482" t="s">
        <v>777</v>
      </c>
      <c r="G315" s="470"/>
      <c r="H315" s="369" t="s">
        <v>659</v>
      </c>
      <c r="I315" s="369" t="s">
        <v>1585</v>
      </c>
      <c r="J315" s="367" t="s">
        <v>1586</v>
      </c>
      <c r="K315" s="482" t="s">
        <v>1587</v>
      </c>
      <c r="L315" s="470"/>
      <c r="M315" s="470"/>
      <c r="N315" s="369" t="s">
        <v>655</v>
      </c>
      <c r="O315" s="369" t="s">
        <v>753</v>
      </c>
      <c r="P315" s="369" t="s">
        <v>655</v>
      </c>
      <c r="Q315" s="369" t="s">
        <v>753</v>
      </c>
      <c r="R315" s="367" t="s">
        <v>1588</v>
      </c>
      <c r="S315" s="367">
        <v>4141331</v>
      </c>
      <c r="T315" s="483">
        <v>586.79999999999995</v>
      </c>
      <c r="U315" s="470"/>
      <c r="V315" s="483">
        <v>0</v>
      </c>
      <c r="W315" s="470"/>
      <c r="X315" s="470"/>
      <c r="Y315" s="370">
        <f t="shared" si="5"/>
        <v>0</v>
      </c>
      <c r="Z315" s="371"/>
    </row>
    <row r="316" spans="1:26" ht="22.5" x14ac:dyDescent="0.25">
      <c r="A316" s="481">
        <v>42350</v>
      </c>
      <c r="B316" s="470"/>
      <c r="C316" s="368">
        <v>42350</v>
      </c>
      <c r="F316" s="482" t="s">
        <v>697</v>
      </c>
      <c r="G316" s="470"/>
      <c r="H316" s="369" t="s">
        <v>659</v>
      </c>
      <c r="I316" s="369" t="s">
        <v>1589</v>
      </c>
      <c r="J316" s="367" t="s">
        <v>1590</v>
      </c>
      <c r="K316" s="482" t="s">
        <v>1591</v>
      </c>
      <c r="L316" s="470"/>
      <c r="M316" s="470"/>
      <c r="N316" s="369" t="s">
        <v>655</v>
      </c>
      <c r="O316" s="369" t="s">
        <v>753</v>
      </c>
      <c r="P316" s="369" t="s">
        <v>655</v>
      </c>
      <c r="Q316" s="369" t="s">
        <v>753</v>
      </c>
      <c r="R316" s="367" t="s">
        <v>1592</v>
      </c>
      <c r="S316" s="367">
        <v>4141652</v>
      </c>
      <c r="T316" s="483">
        <v>586.79999999999995</v>
      </c>
      <c r="U316" s="470"/>
      <c r="V316" s="483">
        <v>0</v>
      </c>
      <c r="W316" s="470"/>
      <c r="X316" s="470"/>
      <c r="Y316" s="370">
        <f t="shared" si="5"/>
        <v>0</v>
      </c>
      <c r="Z316" s="371"/>
    </row>
    <row r="317" spans="1:26" x14ac:dyDescent="0.25">
      <c r="A317" s="481">
        <v>42351</v>
      </c>
      <c r="B317" s="470"/>
      <c r="C317" s="368">
        <v>42351</v>
      </c>
      <c r="F317" s="482" t="s">
        <v>740</v>
      </c>
      <c r="G317" s="470"/>
      <c r="H317" s="369" t="s">
        <v>659</v>
      </c>
      <c r="I317" s="369" t="s">
        <v>1593</v>
      </c>
      <c r="J317" s="367" t="s">
        <v>1594</v>
      </c>
      <c r="K317" s="482" t="s">
        <v>1473</v>
      </c>
      <c r="L317" s="470"/>
      <c r="M317" s="470"/>
      <c r="N317" s="369" t="s">
        <v>655</v>
      </c>
      <c r="O317" s="369" t="s">
        <v>753</v>
      </c>
      <c r="P317" s="369" t="s">
        <v>655</v>
      </c>
      <c r="Q317" s="369" t="s">
        <v>655</v>
      </c>
      <c r="R317" s="367" t="s">
        <v>1595</v>
      </c>
      <c r="S317" s="367">
        <v>4130080</v>
      </c>
      <c r="T317" s="483">
        <v>586.79999999999995</v>
      </c>
      <c r="U317" s="470"/>
      <c r="V317" s="483">
        <v>2141.1999999999998</v>
      </c>
      <c r="W317" s="470"/>
      <c r="X317" s="470"/>
      <c r="Y317" s="370">
        <f t="shared" si="5"/>
        <v>2141.1999999999998</v>
      </c>
      <c r="Z317" s="371">
        <v>2</v>
      </c>
    </row>
    <row r="318" spans="1:26" x14ac:dyDescent="0.25">
      <c r="A318" s="481">
        <v>42353</v>
      </c>
      <c r="B318" s="470"/>
      <c r="C318" s="368">
        <v>42353</v>
      </c>
      <c r="F318" s="482" t="s">
        <v>678</v>
      </c>
      <c r="G318" s="470"/>
      <c r="H318" s="369" t="s">
        <v>659</v>
      </c>
      <c r="I318" s="369" t="s">
        <v>674</v>
      </c>
      <c r="J318" s="367" t="s">
        <v>675</v>
      </c>
      <c r="K318" s="482" t="s">
        <v>676</v>
      </c>
      <c r="L318" s="470"/>
      <c r="M318" s="470"/>
      <c r="N318" s="369" t="s">
        <v>655</v>
      </c>
      <c r="O318" s="369" t="s">
        <v>655</v>
      </c>
      <c r="P318" s="369" t="s">
        <v>655</v>
      </c>
      <c r="Q318" s="369" t="s">
        <v>655</v>
      </c>
      <c r="R318" s="367" t="s">
        <v>1596</v>
      </c>
      <c r="S318" s="367">
        <v>4141921</v>
      </c>
      <c r="T318" s="483">
        <v>586.79999999999995</v>
      </c>
      <c r="U318" s="470"/>
      <c r="V318" s="483">
        <v>1056.78</v>
      </c>
      <c r="W318" s="470"/>
      <c r="X318" s="470"/>
      <c r="Y318" s="370">
        <f t="shared" si="5"/>
        <v>1056.78</v>
      </c>
      <c r="Z318" s="371"/>
    </row>
    <row r="319" spans="1:26" x14ac:dyDescent="0.25">
      <c r="A319" s="481">
        <v>42354</v>
      </c>
      <c r="B319" s="470"/>
      <c r="C319" s="368">
        <v>42354</v>
      </c>
      <c r="F319" s="482" t="s">
        <v>684</v>
      </c>
      <c r="G319" s="470"/>
      <c r="H319" s="369" t="s">
        <v>659</v>
      </c>
      <c r="I319" s="369" t="s">
        <v>1597</v>
      </c>
      <c r="J319" s="367" t="s">
        <v>1521</v>
      </c>
      <c r="K319" s="482" t="s">
        <v>1365</v>
      </c>
      <c r="L319" s="470"/>
      <c r="M319" s="470"/>
      <c r="N319" s="369" t="s">
        <v>655</v>
      </c>
      <c r="O319" s="369" t="s">
        <v>753</v>
      </c>
      <c r="P319" s="369" t="s">
        <v>655</v>
      </c>
      <c r="Q319" s="369" t="s">
        <v>753</v>
      </c>
      <c r="R319" s="367" t="s">
        <v>1598</v>
      </c>
      <c r="S319" s="367">
        <v>4151495</v>
      </c>
      <c r="T319" s="483">
        <v>586.79999999999995</v>
      </c>
      <c r="U319" s="470"/>
      <c r="V319" s="483">
        <v>0</v>
      </c>
      <c r="W319" s="470"/>
      <c r="X319" s="470"/>
      <c r="Y319" s="370">
        <f t="shared" si="5"/>
        <v>0</v>
      </c>
      <c r="Z319" s="371">
        <v>27</v>
      </c>
    </row>
    <row r="320" spans="1:26" x14ac:dyDescent="0.25">
      <c r="A320" s="481">
        <v>42354</v>
      </c>
      <c r="B320" s="470"/>
      <c r="C320" s="368">
        <v>42355</v>
      </c>
      <c r="F320" s="482" t="s">
        <v>673</v>
      </c>
      <c r="G320" s="470"/>
      <c r="H320" s="369" t="s">
        <v>659</v>
      </c>
      <c r="I320" s="369" t="s">
        <v>1599</v>
      </c>
      <c r="J320" s="367" t="s">
        <v>1600</v>
      </c>
      <c r="K320" s="482" t="s">
        <v>956</v>
      </c>
      <c r="L320" s="470"/>
      <c r="M320" s="470"/>
      <c r="N320" s="369" t="s">
        <v>655</v>
      </c>
      <c r="O320" s="369" t="s">
        <v>753</v>
      </c>
      <c r="P320" s="369" t="s">
        <v>655</v>
      </c>
      <c r="Q320" s="369" t="s">
        <v>655</v>
      </c>
      <c r="R320" s="367" t="s">
        <v>1601</v>
      </c>
      <c r="S320" s="367">
        <v>4159305</v>
      </c>
      <c r="T320" s="483">
        <v>586.79999999999995</v>
      </c>
      <c r="U320" s="470"/>
      <c r="V320" s="483">
        <v>654.54999999999995</v>
      </c>
      <c r="W320" s="470"/>
      <c r="X320" s="470"/>
      <c r="Y320" s="370">
        <f t="shared" si="5"/>
        <v>654.54999999999995</v>
      </c>
      <c r="Z320" s="371">
        <v>22</v>
      </c>
    </row>
    <row r="321" spans="1:26" x14ac:dyDescent="0.25">
      <c r="A321" s="481">
        <v>42355</v>
      </c>
      <c r="B321" s="470"/>
      <c r="C321" s="368">
        <v>42355</v>
      </c>
      <c r="F321" s="482" t="s">
        <v>673</v>
      </c>
      <c r="G321" s="470"/>
      <c r="H321" s="369" t="s">
        <v>659</v>
      </c>
      <c r="I321" s="369" t="s">
        <v>1602</v>
      </c>
      <c r="J321" s="367" t="s">
        <v>1092</v>
      </c>
      <c r="K321" s="482" t="s">
        <v>1603</v>
      </c>
      <c r="L321" s="470"/>
      <c r="M321" s="470"/>
      <c r="N321" s="369" t="s">
        <v>655</v>
      </c>
      <c r="O321" s="369" t="s">
        <v>655</v>
      </c>
      <c r="P321" s="369" t="s">
        <v>655</v>
      </c>
      <c r="Q321" s="369" t="s">
        <v>655</v>
      </c>
      <c r="R321" s="367" t="s">
        <v>1604</v>
      </c>
      <c r="S321" s="367">
        <v>4178612</v>
      </c>
      <c r="T321" s="483">
        <v>586.79999999999995</v>
      </c>
      <c r="U321" s="470"/>
      <c r="V321" s="483">
        <v>1221.18</v>
      </c>
      <c r="W321" s="470"/>
      <c r="X321" s="470"/>
      <c r="Y321" s="370">
        <f t="shared" si="5"/>
        <v>1221.18</v>
      </c>
      <c r="Z321" s="371"/>
    </row>
    <row r="322" spans="1:26" x14ac:dyDescent="0.25">
      <c r="A322" s="481">
        <v>42355</v>
      </c>
      <c r="B322" s="470"/>
      <c r="C322" s="368">
        <v>42355</v>
      </c>
      <c r="F322" s="482" t="s">
        <v>678</v>
      </c>
      <c r="G322" s="470"/>
      <c r="H322" s="369" t="s">
        <v>659</v>
      </c>
      <c r="I322" s="369" t="s">
        <v>1605</v>
      </c>
      <c r="J322" s="367" t="s">
        <v>1606</v>
      </c>
      <c r="K322" s="482" t="s">
        <v>979</v>
      </c>
      <c r="L322" s="470"/>
      <c r="M322" s="470"/>
      <c r="N322" s="369" t="s">
        <v>655</v>
      </c>
      <c r="O322" s="369" t="s">
        <v>753</v>
      </c>
      <c r="P322" s="369" t="s">
        <v>655</v>
      </c>
      <c r="Q322" s="369" t="s">
        <v>655</v>
      </c>
      <c r="R322" s="367" t="s">
        <v>1607</v>
      </c>
      <c r="S322" s="367">
        <v>4158082</v>
      </c>
      <c r="T322" s="483">
        <v>586.79999999999995</v>
      </c>
      <c r="U322" s="470"/>
      <c r="V322" s="483">
        <v>345.49</v>
      </c>
      <c r="W322" s="470"/>
      <c r="X322" s="470"/>
      <c r="Y322" s="370">
        <f t="shared" ref="Y322:Y376" si="6">V322</f>
        <v>345.49</v>
      </c>
      <c r="Z322" s="371"/>
    </row>
    <row r="323" spans="1:26" ht="22.5" x14ac:dyDescent="0.25">
      <c r="A323" s="481">
        <v>42355</v>
      </c>
      <c r="B323" s="470"/>
      <c r="C323" s="368">
        <v>42355</v>
      </c>
      <c r="F323" s="482" t="s">
        <v>673</v>
      </c>
      <c r="G323" s="470"/>
      <c r="H323" s="369" t="s">
        <v>659</v>
      </c>
      <c r="I323" s="369" t="s">
        <v>1608</v>
      </c>
      <c r="J323" s="367" t="s">
        <v>1609</v>
      </c>
      <c r="K323" s="482" t="s">
        <v>1610</v>
      </c>
      <c r="L323" s="470"/>
      <c r="M323" s="470"/>
      <c r="N323" s="369" t="s">
        <v>655</v>
      </c>
      <c r="O323" s="369" t="s">
        <v>753</v>
      </c>
      <c r="P323" s="369" t="s">
        <v>655</v>
      </c>
      <c r="Q323" s="369" t="s">
        <v>655</v>
      </c>
      <c r="R323" s="367" t="s">
        <v>1611</v>
      </c>
      <c r="S323" s="367">
        <v>4165438</v>
      </c>
      <c r="T323" s="483">
        <v>586.79999999999995</v>
      </c>
      <c r="U323" s="470"/>
      <c r="V323" s="483">
        <v>0</v>
      </c>
      <c r="W323" s="470"/>
      <c r="X323" s="470"/>
      <c r="Y323" s="370">
        <f t="shared" si="6"/>
        <v>0</v>
      </c>
      <c r="Z323" s="371">
        <v>4</v>
      </c>
    </row>
    <row r="324" spans="1:26" x14ac:dyDescent="0.25">
      <c r="A324" s="481">
        <v>42356</v>
      </c>
      <c r="B324" s="470"/>
      <c r="C324" s="368">
        <v>42356</v>
      </c>
      <c r="F324" s="482" t="s">
        <v>673</v>
      </c>
      <c r="G324" s="470"/>
      <c r="H324" s="369" t="s">
        <v>659</v>
      </c>
      <c r="I324" s="369" t="s">
        <v>1612</v>
      </c>
      <c r="J324" s="367" t="s">
        <v>1613</v>
      </c>
      <c r="K324" s="482" t="s">
        <v>1614</v>
      </c>
      <c r="L324" s="470"/>
      <c r="M324" s="470"/>
      <c r="N324" s="369" t="s">
        <v>655</v>
      </c>
      <c r="O324" s="369" t="s">
        <v>753</v>
      </c>
      <c r="P324" s="369" t="s">
        <v>655</v>
      </c>
      <c r="Q324" s="369" t="s">
        <v>655</v>
      </c>
      <c r="R324" s="367" t="s">
        <v>1615</v>
      </c>
      <c r="S324" s="367">
        <v>4178453</v>
      </c>
      <c r="T324" s="483">
        <v>586.79999999999995</v>
      </c>
      <c r="U324" s="470"/>
      <c r="V324" s="483">
        <v>1286.6400000000001</v>
      </c>
      <c r="W324" s="470"/>
      <c r="X324" s="470"/>
      <c r="Y324" s="370">
        <f t="shared" si="6"/>
        <v>1286.6400000000001</v>
      </c>
      <c r="Z324" s="371">
        <v>4</v>
      </c>
    </row>
    <row r="325" spans="1:26" x14ac:dyDescent="0.25">
      <c r="A325" s="481">
        <v>42357</v>
      </c>
      <c r="B325" s="470"/>
      <c r="C325" s="368">
        <v>42358</v>
      </c>
      <c r="F325" s="482" t="s">
        <v>673</v>
      </c>
      <c r="G325" s="470"/>
      <c r="H325" s="369" t="s">
        <v>659</v>
      </c>
      <c r="I325" s="369" t="s">
        <v>1616</v>
      </c>
      <c r="J325" s="367" t="s">
        <v>1617</v>
      </c>
      <c r="K325" s="482" t="s">
        <v>1618</v>
      </c>
      <c r="L325" s="470"/>
      <c r="M325" s="470"/>
      <c r="N325" s="369" t="s">
        <v>655</v>
      </c>
      <c r="O325" s="369" t="s">
        <v>753</v>
      </c>
      <c r="P325" s="369" t="s">
        <v>655</v>
      </c>
      <c r="Q325" s="369" t="s">
        <v>753</v>
      </c>
      <c r="R325" s="367" t="s">
        <v>1619</v>
      </c>
      <c r="S325" s="367">
        <v>4178552</v>
      </c>
      <c r="T325" s="483">
        <v>586.79999999999995</v>
      </c>
      <c r="U325" s="470"/>
      <c r="V325" s="483">
        <v>0</v>
      </c>
      <c r="W325" s="470"/>
      <c r="X325" s="470"/>
      <c r="Y325" s="370">
        <f t="shared" si="6"/>
        <v>0</v>
      </c>
      <c r="Z325" s="371">
        <v>2</v>
      </c>
    </row>
    <row r="326" spans="1:26" x14ac:dyDescent="0.25">
      <c r="A326" s="481">
        <v>42357</v>
      </c>
      <c r="B326" s="470"/>
      <c r="C326" s="368">
        <v>42357</v>
      </c>
      <c r="F326" s="482" t="s">
        <v>697</v>
      </c>
      <c r="G326" s="470"/>
      <c r="H326" s="369" t="s">
        <v>659</v>
      </c>
      <c r="I326" s="369" t="s">
        <v>1620</v>
      </c>
      <c r="J326" s="367" t="s">
        <v>1621</v>
      </c>
      <c r="K326" s="482" t="s">
        <v>1622</v>
      </c>
      <c r="L326" s="470"/>
      <c r="M326" s="470"/>
      <c r="N326" s="369" t="s">
        <v>655</v>
      </c>
      <c r="O326" s="369" t="s">
        <v>753</v>
      </c>
      <c r="P326" s="369" t="s">
        <v>655</v>
      </c>
      <c r="Q326" s="369" t="s">
        <v>753</v>
      </c>
      <c r="R326" s="367" t="s">
        <v>1623</v>
      </c>
      <c r="S326" s="367">
        <v>4178486</v>
      </c>
      <c r="T326" s="483">
        <v>586.79999999999995</v>
      </c>
      <c r="U326" s="470"/>
      <c r="V326" s="483">
        <v>0</v>
      </c>
      <c r="W326" s="470"/>
      <c r="X326" s="470"/>
      <c r="Y326" s="370">
        <f t="shared" si="6"/>
        <v>0</v>
      </c>
      <c r="Z326" s="371"/>
    </row>
    <row r="327" spans="1:26" x14ac:dyDescent="0.25">
      <c r="A327" s="481">
        <v>42358</v>
      </c>
      <c r="B327" s="470"/>
      <c r="C327" s="368">
        <v>42374</v>
      </c>
      <c r="F327" s="482" t="s">
        <v>697</v>
      </c>
      <c r="G327" s="470"/>
      <c r="H327" s="369" t="s">
        <v>659</v>
      </c>
      <c r="I327" s="369" t="s">
        <v>1624</v>
      </c>
      <c r="J327" s="367" t="s">
        <v>1625</v>
      </c>
      <c r="K327" s="482" t="s">
        <v>1329</v>
      </c>
      <c r="L327" s="470"/>
      <c r="M327" s="470"/>
      <c r="N327" s="369" t="s">
        <v>655</v>
      </c>
      <c r="O327" s="369" t="s">
        <v>655</v>
      </c>
      <c r="P327" s="369" t="s">
        <v>655</v>
      </c>
      <c r="Q327" s="369" t="s">
        <v>655</v>
      </c>
      <c r="R327" s="367" t="s">
        <v>1626</v>
      </c>
      <c r="S327" s="367">
        <v>4176819</v>
      </c>
      <c r="T327" s="483">
        <v>586.79999999999995</v>
      </c>
      <c r="U327" s="470"/>
      <c r="V327" s="483">
        <v>0</v>
      </c>
      <c r="W327" s="470"/>
      <c r="X327" s="470"/>
      <c r="Y327" s="370">
        <f t="shared" si="6"/>
        <v>0</v>
      </c>
      <c r="Z327" s="371"/>
    </row>
    <row r="328" spans="1:26" x14ac:dyDescent="0.25">
      <c r="A328" s="481">
        <v>42358</v>
      </c>
      <c r="B328" s="470"/>
      <c r="C328" s="368">
        <v>42358</v>
      </c>
      <c r="F328" s="482" t="s">
        <v>673</v>
      </c>
      <c r="G328" s="470"/>
      <c r="H328" s="369" t="s">
        <v>659</v>
      </c>
      <c r="I328" s="369" t="s">
        <v>1627</v>
      </c>
      <c r="J328" s="367" t="s">
        <v>1628</v>
      </c>
      <c r="K328" s="482" t="s">
        <v>1629</v>
      </c>
      <c r="L328" s="470"/>
      <c r="M328" s="470"/>
      <c r="N328" s="369" t="s">
        <v>655</v>
      </c>
      <c r="O328" s="369" t="s">
        <v>753</v>
      </c>
      <c r="P328" s="369" t="s">
        <v>655</v>
      </c>
      <c r="Q328" s="369" t="s">
        <v>655</v>
      </c>
      <c r="R328" s="367" t="s">
        <v>1630</v>
      </c>
      <c r="S328" s="367">
        <v>4178473</v>
      </c>
      <c r="T328" s="483">
        <v>586.79999999999995</v>
      </c>
      <c r="U328" s="470"/>
      <c r="V328" s="483">
        <v>358.04</v>
      </c>
      <c r="W328" s="470"/>
      <c r="X328" s="470"/>
      <c r="Y328" s="370">
        <f t="shared" si="6"/>
        <v>358.04</v>
      </c>
      <c r="Z328" s="371"/>
    </row>
    <row r="329" spans="1:26" x14ac:dyDescent="0.25">
      <c r="A329" s="481">
        <v>42359</v>
      </c>
      <c r="B329" s="470"/>
      <c r="C329" s="368">
        <v>42359</v>
      </c>
      <c r="F329" s="482" t="s">
        <v>673</v>
      </c>
      <c r="G329" s="470"/>
      <c r="H329" s="369" t="s">
        <v>659</v>
      </c>
      <c r="I329" s="369" t="s">
        <v>1631</v>
      </c>
      <c r="J329" s="367" t="s">
        <v>1632</v>
      </c>
      <c r="K329" s="482" t="s">
        <v>1633</v>
      </c>
      <c r="L329" s="470"/>
      <c r="M329" s="470"/>
      <c r="N329" s="369" t="s">
        <v>655</v>
      </c>
      <c r="O329" s="369" t="s">
        <v>655</v>
      </c>
      <c r="P329" s="369" t="s">
        <v>655</v>
      </c>
      <c r="Q329" s="369" t="s">
        <v>655</v>
      </c>
      <c r="R329" s="367" t="s">
        <v>1634</v>
      </c>
      <c r="S329" s="367">
        <v>4186220</v>
      </c>
      <c r="T329" s="483">
        <v>586.79999999999995</v>
      </c>
      <c r="U329" s="470"/>
      <c r="V329" s="483">
        <v>1024.54</v>
      </c>
      <c r="W329" s="470"/>
      <c r="X329" s="470"/>
      <c r="Y329" s="370">
        <f t="shared" si="6"/>
        <v>1024.54</v>
      </c>
      <c r="Z329" s="371">
        <v>1</v>
      </c>
    </row>
    <row r="330" spans="1:26" x14ac:dyDescent="0.25">
      <c r="A330" s="481">
        <v>42359</v>
      </c>
      <c r="B330" s="470"/>
      <c r="C330" s="368">
        <v>42359</v>
      </c>
      <c r="F330" s="482" t="s">
        <v>686</v>
      </c>
      <c r="G330" s="470"/>
      <c r="H330" s="369" t="s">
        <v>659</v>
      </c>
      <c r="I330" s="369" t="s">
        <v>1635</v>
      </c>
      <c r="J330" s="367" t="s">
        <v>1436</v>
      </c>
      <c r="K330" s="482" t="s">
        <v>1636</v>
      </c>
      <c r="L330" s="470"/>
      <c r="M330" s="470"/>
      <c r="N330" s="369" t="s">
        <v>655</v>
      </c>
      <c r="O330" s="369" t="s">
        <v>655</v>
      </c>
      <c r="P330" s="369" t="s">
        <v>655</v>
      </c>
      <c r="Q330" s="369" t="s">
        <v>655</v>
      </c>
      <c r="R330" s="367" t="s">
        <v>1637</v>
      </c>
      <c r="S330" s="367">
        <v>4179688</v>
      </c>
      <c r="T330" s="483">
        <v>586.79999999999995</v>
      </c>
      <c r="U330" s="470"/>
      <c r="V330" s="483">
        <v>1542.58</v>
      </c>
      <c r="W330" s="470"/>
      <c r="X330" s="470"/>
      <c r="Y330" s="370">
        <f t="shared" si="6"/>
        <v>1542.58</v>
      </c>
      <c r="Z330" s="371"/>
    </row>
    <row r="331" spans="1:26" x14ac:dyDescent="0.25">
      <c r="A331" s="481">
        <v>42360</v>
      </c>
      <c r="B331" s="470"/>
      <c r="C331" s="368">
        <v>42360</v>
      </c>
      <c r="F331" s="482" t="s">
        <v>740</v>
      </c>
      <c r="G331" s="470"/>
      <c r="H331" s="369" t="s">
        <v>659</v>
      </c>
      <c r="I331" s="369" t="s">
        <v>1638</v>
      </c>
      <c r="J331" s="367" t="s">
        <v>1639</v>
      </c>
      <c r="K331" s="482" t="s">
        <v>1640</v>
      </c>
      <c r="L331" s="470"/>
      <c r="M331" s="470"/>
      <c r="N331" s="369" t="s">
        <v>655</v>
      </c>
      <c r="O331" s="369" t="s">
        <v>753</v>
      </c>
      <c r="P331" s="369" t="s">
        <v>655</v>
      </c>
      <c r="Q331" s="369" t="s">
        <v>655</v>
      </c>
      <c r="R331" s="367" t="s">
        <v>1641</v>
      </c>
      <c r="S331" s="367">
        <v>4194056</v>
      </c>
      <c r="T331" s="483">
        <v>586.79999999999995</v>
      </c>
      <c r="U331" s="470"/>
      <c r="V331" s="483">
        <v>444.26</v>
      </c>
      <c r="W331" s="470"/>
      <c r="X331" s="470"/>
      <c r="Y331" s="370">
        <f t="shared" si="6"/>
        <v>444.26</v>
      </c>
      <c r="Z331" s="371"/>
    </row>
    <row r="332" spans="1:26" x14ac:dyDescent="0.25">
      <c r="A332" s="481">
        <v>42361</v>
      </c>
      <c r="B332" s="470"/>
      <c r="C332" s="368">
        <v>42361</v>
      </c>
      <c r="F332" s="482" t="s">
        <v>740</v>
      </c>
      <c r="G332" s="470"/>
      <c r="H332" s="369" t="s">
        <v>659</v>
      </c>
      <c r="I332" s="369" t="s">
        <v>741</v>
      </c>
      <c r="J332" s="367" t="s">
        <v>742</v>
      </c>
      <c r="K332" s="482" t="s">
        <v>743</v>
      </c>
      <c r="L332" s="470"/>
      <c r="M332" s="470"/>
      <c r="N332" s="369" t="s">
        <v>655</v>
      </c>
      <c r="O332" s="369" t="s">
        <v>655</v>
      </c>
      <c r="P332" s="369" t="s">
        <v>655</v>
      </c>
      <c r="Q332" s="369" t="s">
        <v>655</v>
      </c>
      <c r="R332" s="367" t="s">
        <v>744</v>
      </c>
      <c r="S332" s="367">
        <v>4197112</v>
      </c>
      <c r="T332" s="483">
        <v>586.79999999999995</v>
      </c>
      <c r="U332" s="470"/>
      <c r="V332" s="483">
        <v>718.77</v>
      </c>
      <c r="W332" s="470"/>
      <c r="X332" s="470"/>
      <c r="Y332" s="370">
        <f t="shared" si="6"/>
        <v>718.77</v>
      </c>
      <c r="Z332" s="371"/>
    </row>
    <row r="333" spans="1:26" x14ac:dyDescent="0.25">
      <c r="A333" s="481">
        <v>42362</v>
      </c>
      <c r="B333" s="470"/>
      <c r="C333" s="368">
        <v>42362</v>
      </c>
      <c r="F333" s="482" t="s">
        <v>673</v>
      </c>
      <c r="G333" s="470"/>
      <c r="H333" s="369" t="s">
        <v>659</v>
      </c>
      <c r="I333" s="369" t="s">
        <v>1642</v>
      </c>
      <c r="J333" s="367" t="s">
        <v>1405</v>
      </c>
      <c r="K333" s="482" t="s">
        <v>1643</v>
      </c>
      <c r="L333" s="470"/>
      <c r="M333" s="470"/>
      <c r="N333" s="369" t="s">
        <v>655</v>
      </c>
      <c r="O333" s="369" t="s">
        <v>753</v>
      </c>
      <c r="P333" s="369" t="s">
        <v>655</v>
      </c>
      <c r="Q333" s="369" t="s">
        <v>655</v>
      </c>
      <c r="R333" s="367" t="s">
        <v>1644</v>
      </c>
      <c r="S333" s="367">
        <v>4220939</v>
      </c>
      <c r="T333" s="483">
        <v>586.79999999999995</v>
      </c>
      <c r="U333" s="470"/>
      <c r="V333" s="483">
        <v>305.3</v>
      </c>
      <c r="W333" s="470"/>
      <c r="X333" s="470"/>
      <c r="Y333" s="370">
        <f t="shared" si="6"/>
        <v>305.3</v>
      </c>
      <c r="Z333" s="371"/>
    </row>
    <row r="334" spans="1:26" x14ac:dyDescent="0.25">
      <c r="A334" s="481">
        <v>42362</v>
      </c>
      <c r="B334" s="470"/>
      <c r="C334" s="368">
        <v>42362</v>
      </c>
      <c r="F334" s="482" t="s">
        <v>673</v>
      </c>
      <c r="G334" s="470"/>
      <c r="H334" s="369" t="s">
        <v>659</v>
      </c>
      <c r="I334" s="369" t="s">
        <v>1645</v>
      </c>
      <c r="J334" s="367" t="s">
        <v>799</v>
      </c>
      <c r="K334" s="482" t="s">
        <v>1646</v>
      </c>
      <c r="L334" s="470"/>
      <c r="M334" s="470"/>
      <c r="N334" s="369" t="s">
        <v>655</v>
      </c>
      <c r="O334" s="369" t="s">
        <v>753</v>
      </c>
      <c r="P334" s="369" t="s">
        <v>655</v>
      </c>
      <c r="Q334" s="369" t="s">
        <v>655</v>
      </c>
      <c r="R334" s="367" t="s">
        <v>1647</v>
      </c>
      <c r="S334" s="367">
        <v>4220903</v>
      </c>
      <c r="T334" s="483">
        <v>586.79999999999995</v>
      </c>
      <c r="U334" s="470"/>
      <c r="V334" s="483">
        <v>5074.1000000000004</v>
      </c>
      <c r="W334" s="470"/>
      <c r="X334" s="470"/>
      <c r="Y334" s="370">
        <f t="shared" si="6"/>
        <v>5074.1000000000004</v>
      </c>
      <c r="Z334" s="371"/>
    </row>
    <row r="335" spans="1:26" x14ac:dyDescent="0.25">
      <c r="A335" s="481">
        <v>42366</v>
      </c>
      <c r="B335" s="470"/>
      <c r="C335" s="368">
        <v>42366</v>
      </c>
      <c r="F335" s="482" t="s">
        <v>673</v>
      </c>
      <c r="G335" s="470"/>
      <c r="H335" s="369" t="s">
        <v>659</v>
      </c>
      <c r="I335" s="369" t="s">
        <v>1648</v>
      </c>
      <c r="J335" s="367" t="s">
        <v>1649</v>
      </c>
      <c r="K335" s="482" t="s">
        <v>1178</v>
      </c>
      <c r="L335" s="470"/>
      <c r="M335" s="470"/>
      <c r="N335" s="369" t="s">
        <v>655</v>
      </c>
      <c r="O335" s="369" t="s">
        <v>753</v>
      </c>
      <c r="P335" s="369" t="s">
        <v>655</v>
      </c>
      <c r="Q335" s="369" t="s">
        <v>655</v>
      </c>
      <c r="R335" s="367" t="s">
        <v>1650</v>
      </c>
      <c r="S335" s="367">
        <v>4220822</v>
      </c>
      <c r="T335" s="483">
        <v>586.79999999999995</v>
      </c>
      <c r="U335" s="470"/>
      <c r="V335" s="483">
        <v>942.01</v>
      </c>
      <c r="W335" s="470"/>
      <c r="X335" s="470"/>
      <c r="Y335" s="370">
        <f t="shared" si="6"/>
        <v>942.01</v>
      </c>
      <c r="Z335" s="371">
        <v>1</v>
      </c>
    </row>
    <row r="336" spans="1:26" x14ac:dyDescent="0.25">
      <c r="A336" s="481">
        <v>42368</v>
      </c>
      <c r="B336" s="470"/>
      <c r="C336" s="368">
        <v>42368</v>
      </c>
      <c r="F336" s="482" t="s">
        <v>745</v>
      </c>
      <c r="G336" s="470"/>
      <c r="H336" s="369" t="s">
        <v>659</v>
      </c>
      <c r="I336" s="369" t="s">
        <v>746</v>
      </c>
      <c r="J336" s="367" t="s">
        <v>747</v>
      </c>
      <c r="K336" s="482" t="s">
        <v>748</v>
      </c>
      <c r="L336" s="470"/>
      <c r="M336" s="470"/>
      <c r="N336" s="369" t="s">
        <v>655</v>
      </c>
      <c r="O336" s="369" t="s">
        <v>655</v>
      </c>
      <c r="P336" s="369" t="s">
        <v>655</v>
      </c>
      <c r="Q336" s="369" t="s">
        <v>655</v>
      </c>
      <c r="R336" s="367" t="s">
        <v>749</v>
      </c>
      <c r="S336" s="367">
        <v>4233982</v>
      </c>
      <c r="T336" s="483">
        <v>586.79999999999995</v>
      </c>
      <c r="U336" s="470"/>
      <c r="V336" s="483">
        <v>1267.71</v>
      </c>
      <c r="W336" s="470"/>
      <c r="X336" s="470"/>
      <c r="Y336" s="370">
        <f t="shared" si="6"/>
        <v>1267.71</v>
      </c>
      <c r="Z336" s="371"/>
    </row>
    <row r="337" spans="1:26" x14ac:dyDescent="0.25">
      <c r="A337" s="481">
        <v>42368</v>
      </c>
      <c r="B337" s="470"/>
      <c r="C337" s="368">
        <v>42368</v>
      </c>
      <c r="F337" s="482" t="s">
        <v>673</v>
      </c>
      <c r="G337" s="470"/>
      <c r="H337" s="369" t="s">
        <v>659</v>
      </c>
      <c r="I337" s="369" t="s">
        <v>1651</v>
      </c>
      <c r="J337" s="367" t="s">
        <v>1652</v>
      </c>
      <c r="K337" s="482" t="s">
        <v>1653</v>
      </c>
      <c r="L337" s="470"/>
      <c r="M337" s="470"/>
      <c r="N337" s="369" t="s">
        <v>655</v>
      </c>
      <c r="O337" s="369" t="s">
        <v>753</v>
      </c>
      <c r="P337" s="369" t="s">
        <v>655</v>
      </c>
      <c r="Q337" s="369" t="s">
        <v>655</v>
      </c>
      <c r="R337" s="367" t="s">
        <v>1654</v>
      </c>
      <c r="S337" s="367">
        <v>4231246</v>
      </c>
      <c r="T337" s="483">
        <v>586.79999999999995</v>
      </c>
      <c r="U337" s="470"/>
      <c r="V337" s="483">
        <v>535.37</v>
      </c>
      <c r="W337" s="470"/>
      <c r="X337" s="470"/>
      <c r="Y337" s="370">
        <f t="shared" si="6"/>
        <v>535.37</v>
      </c>
      <c r="Z337" s="371"/>
    </row>
    <row r="338" spans="1:26" x14ac:dyDescent="0.25">
      <c r="A338" s="481">
        <v>42369</v>
      </c>
      <c r="B338" s="470"/>
      <c r="C338" s="368">
        <v>42370</v>
      </c>
      <c r="F338" s="482" t="s">
        <v>777</v>
      </c>
      <c r="G338" s="470"/>
      <c r="H338" s="369" t="s">
        <v>659</v>
      </c>
      <c r="I338" s="369" t="s">
        <v>1655</v>
      </c>
      <c r="J338" s="367" t="s">
        <v>1656</v>
      </c>
      <c r="K338" s="482" t="s">
        <v>1657</v>
      </c>
      <c r="L338" s="470"/>
      <c r="M338" s="470"/>
      <c r="N338" s="369" t="s">
        <v>655</v>
      </c>
      <c r="O338" s="369" t="s">
        <v>753</v>
      </c>
      <c r="P338" s="369" t="s">
        <v>655</v>
      </c>
      <c r="Q338" s="369" t="s">
        <v>753</v>
      </c>
      <c r="R338" s="367" t="s">
        <v>1658</v>
      </c>
      <c r="S338" s="367">
        <v>4257921</v>
      </c>
      <c r="T338" s="483">
        <v>586.79999999999995</v>
      </c>
      <c r="U338" s="470"/>
      <c r="V338" s="483">
        <v>0</v>
      </c>
      <c r="W338" s="470"/>
      <c r="X338" s="470"/>
      <c r="Y338" s="370">
        <f t="shared" si="6"/>
        <v>0</v>
      </c>
      <c r="Z338" s="371"/>
    </row>
    <row r="339" spans="1:26" x14ac:dyDescent="0.25">
      <c r="A339" s="481">
        <v>42369</v>
      </c>
      <c r="B339" s="470"/>
      <c r="C339" s="368">
        <v>42369</v>
      </c>
      <c r="F339" s="482" t="s">
        <v>673</v>
      </c>
      <c r="G339" s="470"/>
      <c r="H339" s="369" t="s">
        <v>659</v>
      </c>
      <c r="I339" s="369" t="s">
        <v>1659</v>
      </c>
      <c r="J339" s="367" t="s">
        <v>1660</v>
      </c>
      <c r="K339" s="482" t="s">
        <v>1661</v>
      </c>
      <c r="L339" s="470"/>
      <c r="M339" s="470"/>
      <c r="N339" s="369" t="s">
        <v>655</v>
      </c>
      <c r="O339" s="369" t="s">
        <v>753</v>
      </c>
      <c r="P339" s="369" t="s">
        <v>655</v>
      </c>
      <c r="Q339" s="369" t="s">
        <v>753</v>
      </c>
      <c r="R339" s="367" t="s">
        <v>1662</v>
      </c>
      <c r="S339" s="367">
        <v>4258023</v>
      </c>
      <c r="T339" s="483">
        <v>586.79999999999995</v>
      </c>
      <c r="U339" s="470"/>
      <c r="V339" s="483">
        <v>0</v>
      </c>
      <c r="W339" s="470"/>
      <c r="X339" s="470"/>
      <c r="Y339" s="370">
        <f t="shared" si="6"/>
        <v>0</v>
      </c>
      <c r="Z339" s="371"/>
    </row>
    <row r="340" spans="1:26" x14ac:dyDescent="0.25">
      <c r="A340" s="481">
        <v>42369</v>
      </c>
      <c r="B340" s="470"/>
      <c r="C340" s="368">
        <v>42370</v>
      </c>
      <c r="F340" s="482" t="s">
        <v>777</v>
      </c>
      <c r="G340" s="470"/>
      <c r="H340" s="369" t="s">
        <v>659</v>
      </c>
      <c r="I340" s="369" t="s">
        <v>1663</v>
      </c>
      <c r="J340" s="367" t="s">
        <v>1664</v>
      </c>
      <c r="K340" s="482" t="s">
        <v>1665</v>
      </c>
      <c r="L340" s="470"/>
      <c r="M340" s="470"/>
      <c r="N340" s="369" t="s">
        <v>655</v>
      </c>
      <c r="O340" s="369" t="s">
        <v>753</v>
      </c>
      <c r="P340" s="369" t="s">
        <v>655</v>
      </c>
      <c r="Q340" s="369" t="s">
        <v>753</v>
      </c>
      <c r="R340" s="367" t="s">
        <v>1666</v>
      </c>
      <c r="S340" s="367">
        <v>4257540</v>
      </c>
      <c r="T340" s="483">
        <v>586.79999999999995</v>
      </c>
      <c r="U340" s="470"/>
      <c r="V340" s="483">
        <v>0</v>
      </c>
      <c r="W340" s="470"/>
      <c r="X340" s="470"/>
      <c r="Y340" s="370">
        <f t="shared" si="6"/>
        <v>0</v>
      </c>
      <c r="Z340" s="371"/>
    </row>
    <row r="341" spans="1:26" x14ac:dyDescent="0.25">
      <c r="A341" s="481">
        <v>42370</v>
      </c>
      <c r="B341" s="470"/>
      <c r="C341" s="368">
        <v>42370</v>
      </c>
      <c r="F341" s="482" t="s">
        <v>924</v>
      </c>
      <c r="G341" s="470"/>
      <c r="H341" s="369" t="s">
        <v>659</v>
      </c>
      <c r="I341" s="369" t="s">
        <v>1667</v>
      </c>
      <c r="J341" s="367" t="s">
        <v>927</v>
      </c>
      <c r="K341" s="482" t="s">
        <v>869</v>
      </c>
      <c r="L341" s="470"/>
      <c r="M341" s="470"/>
      <c r="N341" s="369" t="s">
        <v>655</v>
      </c>
      <c r="O341" s="369" t="s">
        <v>753</v>
      </c>
      <c r="P341" s="369" t="s">
        <v>655</v>
      </c>
      <c r="Q341" s="369" t="s">
        <v>655</v>
      </c>
      <c r="R341" s="367" t="s">
        <v>1668</v>
      </c>
      <c r="S341" s="367">
        <v>4257819</v>
      </c>
      <c r="T341" s="483">
        <v>586.79999999999995</v>
      </c>
      <c r="U341" s="470"/>
      <c r="V341" s="483">
        <v>0</v>
      </c>
      <c r="W341" s="470"/>
      <c r="X341" s="470"/>
      <c r="Y341" s="370">
        <f t="shared" si="6"/>
        <v>0</v>
      </c>
      <c r="Z341" s="371"/>
    </row>
    <row r="342" spans="1:26" x14ac:dyDescent="0.25">
      <c r="A342" s="481">
        <v>42370</v>
      </c>
      <c r="B342" s="470"/>
      <c r="C342" s="368">
        <v>42370</v>
      </c>
      <c r="F342" s="482" t="s">
        <v>673</v>
      </c>
      <c r="G342" s="470"/>
      <c r="H342" s="369" t="s">
        <v>659</v>
      </c>
      <c r="I342" s="369" t="s">
        <v>1669</v>
      </c>
      <c r="J342" s="367" t="s">
        <v>1670</v>
      </c>
      <c r="K342" s="482" t="s">
        <v>861</v>
      </c>
      <c r="L342" s="470"/>
      <c r="M342" s="470"/>
      <c r="N342" s="369" t="s">
        <v>655</v>
      </c>
      <c r="O342" s="369" t="s">
        <v>753</v>
      </c>
      <c r="P342" s="369" t="s">
        <v>655</v>
      </c>
      <c r="Q342" s="369" t="s">
        <v>753</v>
      </c>
      <c r="R342" s="367" t="s">
        <v>1671</v>
      </c>
      <c r="S342" s="367">
        <v>4257591</v>
      </c>
      <c r="T342" s="483">
        <v>586.79999999999995</v>
      </c>
      <c r="U342" s="470"/>
      <c r="V342" s="483">
        <v>0</v>
      </c>
      <c r="W342" s="470"/>
      <c r="X342" s="470"/>
      <c r="Y342" s="370">
        <f t="shared" si="6"/>
        <v>0</v>
      </c>
      <c r="Z342" s="371"/>
    </row>
    <row r="343" spans="1:26" x14ac:dyDescent="0.25">
      <c r="A343" s="481">
        <v>42371</v>
      </c>
      <c r="B343" s="470"/>
      <c r="C343" s="368">
        <v>42372</v>
      </c>
      <c r="F343" s="482" t="s">
        <v>684</v>
      </c>
      <c r="G343" s="470"/>
      <c r="H343" s="369" t="s">
        <v>659</v>
      </c>
      <c r="I343" s="369" t="s">
        <v>1672</v>
      </c>
      <c r="J343" s="367" t="s">
        <v>1673</v>
      </c>
      <c r="K343" s="482" t="s">
        <v>881</v>
      </c>
      <c r="L343" s="470"/>
      <c r="M343" s="470"/>
      <c r="N343" s="369" t="s">
        <v>655</v>
      </c>
      <c r="O343" s="369" t="s">
        <v>655</v>
      </c>
      <c r="P343" s="369" t="s">
        <v>655</v>
      </c>
      <c r="Q343" s="369" t="s">
        <v>655</v>
      </c>
      <c r="R343" s="367" t="s">
        <v>1674</v>
      </c>
      <c r="S343" s="367">
        <v>4258265</v>
      </c>
      <c r="T343" s="483">
        <v>586.79999999999995</v>
      </c>
      <c r="U343" s="470"/>
      <c r="V343" s="483">
        <v>278.12</v>
      </c>
      <c r="W343" s="470"/>
      <c r="X343" s="470"/>
      <c r="Y343" s="370">
        <f t="shared" si="6"/>
        <v>278.12</v>
      </c>
      <c r="Z343" s="371"/>
    </row>
    <row r="344" spans="1:26" x14ac:dyDescent="0.25">
      <c r="A344" s="481">
        <v>42372</v>
      </c>
      <c r="B344" s="470"/>
      <c r="C344" s="368">
        <v>42372</v>
      </c>
      <c r="F344" s="482" t="s">
        <v>924</v>
      </c>
      <c r="G344" s="470"/>
      <c r="H344" s="369" t="s">
        <v>659</v>
      </c>
      <c r="I344" s="369" t="s">
        <v>1675</v>
      </c>
      <c r="J344" s="367" t="s">
        <v>1676</v>
      </c>
      <c r="K344" s="482" t="s">
        <v>1677</v>
      </c>
      <c r="L344" s="470"/>
      <c r="M344" s="470"/>
      <c r="N344" s="369" t="s">
        <v>655</v>
      </c>
      <c r="O344" s="369" t="s">
        <v>753</v>
      </c>
      <c r="P344" s="369" t="s">
        <v>655</v>
      </c>
      <c r="Q344" s="369" t="s">
        <v>655</v>
      </c>
      <c r="R344" s="367" t="s">
        <v>1678</v>
      </c>
      <c r="S344" s="367">
        <v>4257459</v>
      </c>
      <c r="T344" s="483">
        <v>586.79999999999995</v>
      </c>
      <c r="U344" s="470"/>
      <c r="V344" s="483">
        <v>0</v>
      </c>
      <c r="W344" s="470"/>
      <c r="X344" s="470"/>
      <c r="Y344" s="370">
        <f t="shared" si="6"/>
        <v>0</v>
      </c>
      <c r="Z344" s="371"/>
    </row>
    <row r="345" spans="1:26" ht="22.5" x14ac:dyDescent="0.25">
      <c r="A345" s="481">
        <v>42373</v>
      </c>
      <c r="B345" s="470"/>
      <c r="C345" s="368">
        <v>42373</v>
      </c>
      <c r="F345" s="482" t="s">
        <v>1679</v>
      </c>
      <c r="G345" s="470"/>
      <c r="H345" s="369" t="s">
        <v>659</v>
      </c>
      <c r="I345" s="369" t="s">
        <v>1680</v>
      </c>
      <c r="J345" s="367" t="s">
        <v>1681</v>
      </c>
      <c r="K345" s="482" t="s">
        <v>1670</v>
      </c>
      <c r="L345" s="470"/>
      <c r="M345" s="470"/>
      <c r="N345" s="369" t="s">
        <v>655</v>
      </c>
      <c r="O345" s="369" t="s">
        <v>753</v>
      </c>
      <c r="P345" s="369" t="s">
        <v>655</v>
      </c>
      <c r="Q345" s="369" t="s">
        <v>655</v>
      </c>
      <c r="R345" s="367" t="s">
        <v>1682</v>
      </c>
      <c r="S345" s="367">
        <v>4255551</v>
      </c>
      <c r="T345" s="483">
        <v>586.79999999999995</v>
      </c>
      <c r="U345" s="470"/>
      <c r="V345" s="483">
        <v>0</v>
      </c>
      <c r="W345" s="470"/>
      <c r="X345" s="470"/>
      <c r="Y345" s="370">
        <f t="shared" si="6"/>
        <v>0</v>
      </c>
      <c r="Z345" s="371"/>
    </row>
    <row r="346" spans="1:26" x14ac:dyDescent="0.25">
      <c r="A346" s="481">
        <v>42375</v>
      </c>
      <c r="B346" s="470"/>
      <c r="C346" s="368">
        <v>42375</v>
      </c>
      <c r="F346" s="482" t="s">
        <v>777</v>
      </c>
      <c r="G346" s="470"/>
      <c r="H346" s="369" t="s">
        <v>659</v>
      </c>
      <c r="I346" s="369" t="s">
        <v>1683</v>
      </c>
      <c r="J346" s="367" t="s">
        <v>1173</v>
      </c>
      <c r="K346" s="482" t="s">
        <v>1684</v>
      </c>
      <c r="L346" s="470"/>
      <c r="M346" s="470"/>
      <c r="N346" s="369" t="s">
        <v>655</v>
      </c>
      <c r="O346" s="369" t="s">
        <v>753</v>
      </c>
      <c r="P346" s="369" t="s">
        <v>655</v>
      </c>
      <c r="Q346" s="369" t="s">
        <v>753</v>
      </c>
      <c r="R346" s="367" t="s">
        <v>1685</v>
      </c>
      <c r="S346" s="367">
        <v>4283832</v>
      </c>
      <c r="T346" s="483">
        <v>586.79999999999995</v>
      </c>
      <c r="U346" s="470"/>
      <c r="V346" s="483">
        <v>0</v>
      </c>
      <c r="W346" s="470"/>
      <c r="X346" s="470"/>
      <c r="Y346" s="370">
        <f t="shared" si="6"/>
        <v>0</v>
      </c>
      <c r="Z346" s="371"/>
    </row>
    <row r="347" spans="1:26" x14ac:dyDescent="0.25">
      <c r="A347" s="481">
        <v>42376</v>
      </c>
      <c r="B347" s="470"/>
      <c r="C347" s="368">
        <v>42376</v>
      </c>
      <c r="F347" s="482" t="s">
        <v>684</v>
      </c>
      <c r="G347" s="470"/>
      <c r="H347" s="369" t="s">
        <v>659</v>
      </c>
      <c r="I347" s="369" t="s">
        <v>1686</v>
      </c>
      <c r="J347" s="367" t="s">
        <v>1687</v>
      </c>
      <c r="K347" s="482" t="s">
        <v>861</v>
      </c>
      <c r="L347" s="470"/>
      <c r="M347" s="470"/>
      <c r="N347" s="369" t="s">
        <v>655</v>
      </c>
      <c r="O347" s="369" t="s">
        <v>655</v>
      </c>
      <c r="P347" s="369" t="s">
        <v>655</v>
      </c>
      <c r="Q347" s="369" t="s">
        <v>655</v>
      </c>
      <c r="R347" s="367" t="s">
        <v>1688</v>
      </c>
      <c r="S347" s="367">
        <v>4286400</v>
      </c>
      <c r="T347" s="483">
        <v>586.79999999999995</v>
      </c>
      <c r="U347" s="470"/>
      <c r="V347" s="483">
        <v>530.66</v>
      </c>
      <c r="W347" s="470"/>
      <c r="X347" s="470"/>
      <c r="Y347" s="370">
        <f t="shared" si="6"/>
        <v>530.66</v>
      </c>
      <c r="Z347" s="371"/>
    </row>
    <row r="348" spans="1:26" x14ac:dyDescent="0.25">
      <c r="A348" s="481">
        <v>42377</v>
      </c>
      <c r="B348" s="470"/>
      <c r="C348" s="368">
        <v>42377</v>
      </c>
      <c r="F348" s="482" t="s">
        <v>673</v>
      </c>
      <c r="G348" s="470"/>
      <c r="H348" s="369" t="s">
        <v>659</v>
      </c>
      <c r="I348" s="369" t="s">
        <v>1689</v>
      </c>
      <c r="J348" s="367" t="s">
        <v>1690</v>
      </c>
      <c r="K348" s="482" t="s">
        <v>1178</v>
      </c>
      <c r="L348" s="470"/>
      <c r="M348" s="470"/>
      <c r="N348" s="369" t="s">
        <v>655</v>
      </c>
      <c r="O348" s="369" t="s">
        <v>753</v>
      </c>
      <c r="P348" s="369" t="s">
        <v>655</v>
      </c>
      <c r="Q348" s="369" t="s">
        <v>753</v>
      </c>
      <c r="R348" s="367" t="s">
        <v>1691</v>
      </c>
      <c r="S348" s="367">
        <v>4306523</v>
      </c>
      <c r="T348" s="483">
        <v>586.79999999999995</v>
      </c>
      <c r="U348" s="470"/>
      <c r="V348" s="483">
        <v>188.71</v>
      </c>
      <c r="W348" s="470"/>
      <c r="X348" s="470"/>
      <c r="Y348" s="370">
        <f t="shared" si="6"/>
        <v>188.71</v>
      </c>
      <c r="Z348" s="371">
        <v>16</v>
      </c>
    </row>
    <row r="349" spans="1:26" x14ac:dyDescent="0.25">
      <c r="A349" s="481">
        <v>42377</v>
      </c>
      <c r="B349" s="470"/>
      <c r="C349" s="368">
        <v>42377</v>
      </c>
      <c r="F349" s="482" t="s">
        <v>673</v>
      </c>
      <c r="G349" s="470"/>
      <c r="H349" s="369" t="s">
        <v>659</v>
      </c>
      <c r="I349" s="369" t="s">
        <v>1692</v>
      </c>
      <c r="J349" s="367" t="s">
        <v>1693</v>
      </c>
      <c r="K349" s="482" t="s">
        <v>1694</v>
      </c>
      <c r="L349" s="470"/>
      <c r="M349" s="470"/>
      <c r="N349" s="369" t="s">
        <v>655</v>
      </c>
      <c r="O349" s="369" t="s">
        <v>753</v>
      </c>
      <c r="P349" s="369" t="s">
        <v>655</v>
      </c>
      <c r="Q349" s="369" t="s">
        <v>753</v>
      </c>
      <c r="R349" s="367" t="s">
        <v>1695</v>
      </c>
      <c r="S349" s="367">
        <v>4306546</v>
      </c>
      <c r="T349" s="483">
        <v>586.79999999999995</v>
      </c>
      <c r="U349" s="470"/>
      <c r="V349" s="483">
        <v>0</v>
      </c>
      <c r="W349" s="470"/>
      <c r="X349" s="470"/>
      <c r="Y349" s="370">
        <f t="shared" si="6"/>
        <v>0</v>
      </c>
      <c r="Z349" s="371"/>
    </row>
    <row r="350" spans="1:26" x14ac:dyDescent="0.25">
      <c r="A350" s="481">
        <v>42377</v>
      </c>
      <c r="B350" s="470"/>
      <c r="C350" s="368">
        <v>42377</v>
      </c>
      <c r="F350" s="482" t="s">
        <v>684</v>
      </c>
      <c r="G350" s="470"/>
      <c r="H350" s="369" t="s">
        <v>659</v>
      </c>
      <c r="I350" s="369" t="s">
        <v>1696</v>
      </c>
      <c r="J350" s="367" t="s">
        <v>1697</v>
      </c>
      <c r="K350" s="482" t="s">
        <v>1698</v>
      </c>
      <c r="L350" s="470"/>
      <c r="M350" s="470"/>
      <c r="N350" s="369" t="s">
        <v>1699</v>
      </c>
      <c r="O350" s="369" t="s">
        <v>655</v>
      </c>
      <c r="P350" s="369" t="s">
        <v>655</v>
      </c>
      <c r="Q350" s="369" t="s">
        <v>753</v>
      </c>
      <c r="R350" s="367" t="s">
        <v>1700</v>
      </c>
      <c r="S350" s="367">
        <v>4296508</v>
      </c>
      <c r="T350" s="483">
        <v>586.79999999999995</v>
      </c>
      <c r="U350" s="470"/>
      <c r="V350" s="483">
        <v>454.02</v>
      </c>
      <c r="W350" s="470"/>
      <c r="X350" s="470"/>
      <c r="Y350" s="370">
        <f t="shared" si="6"/>
        <v>454.02</v>
      </c>
      <c r="Z350" s="371"/>
    </row>
    <row r="351" spans="1:26" x14ac:dyDescent="0.25">
      <c r="A351" s="481">
        <v>42378</v>
      </c>
      <c r="B351" s="470"/>
      <c r="C351" s="368">
        <v>42378</v>
      </c>
      <c r="F351" s="482" t="s">
        <v>1701</v>
      </c>
      <c r="G351" s="470"/>
      <c r="H351" s="369" t="s">
        <v>659</v>
      </c>
      <c r="I351" s="369" t="s">
        <v>1702</v>
      </c>
      <c r="J351" s="367" t="s">
        <v>1008</v>
      </c>
      <c r="K351" s="482" t="s">
        <v>1365</v>
      </c>
      <c r="L351" s="470"/>
      <c r="M351" s="470"/>
      <c r="N351" s="369" t="s">
        <v>655</v>
      </c>
      <c r="O351" s="369" t="s">
        <v>655</v>
      </c>
      <c r="P351" s="369" t="s">
        <v>655</v>
      </c>
      <c r="Q351" s="369" t="s">
        <v>655</v>
      </c>
      <c r="R351" s="367" t="s">
        <v>1703</v>
      </c>
      <c r="S351" s="367">
        <v>4306559</v>
      </c>
      <c r="T351" s="483">
        <v>586.79999999999995</v>
      </c>
      <c r="U351" s="470"/>
      <c r="V351" s="483">
        <v>569.16999999999996</v>
      </c>
      <c r="W351" s="470"/>
      <c r="X351" s="470"/>
      <c r="Y351" s="370">
        <f t="shared" si="6"/>
        <v>569.16999999999996</v>
      </c>
      <c r="Z351" s="371"/>
    </row>
    <row r="352" spans="1:26" x14ac:dyDescent="0.25">
      <c r="A352" s="481">
        <v>42379</v>
      </c>
      <c r="B352" s="470"/>
      <c r="C352" s="368">
        <v>42379</v>
      </c>
      <c r="F352" s="482" t="s">
        <v>740</v>
      </c>
      <c r="G352" s="470"/>
      <c r="H352" s="369" t="s">
        <v>659</v>
      </c>
      <c r="I352" s="369" t="s">
        <v>1704</v>
      </c>
      <c r="J352" s="367" t="s">
        <v>1705</v>
      </c>
      <c r="K352" s="482" t="s">
        <v>1706</v>
      </c>
      <c r="L352" s="470"/>
      <c r="M352" s="470"/>
      <c r="N352" s="369" t="s">
        <v>655</v>
      </c>
      <c r="O352" s="369" t="s">
        <v>753</v>
      </c>
      <c r="P352" s="369" t="s">
        <v>655</v>
      </c>
      <c r="Q352" s="369" t="s">
        <v>655</v>
      </c>
      <c r="R352" s="367" t="s">
        <v>1707</v>
      </c>
      <c r="S352" s="367">
        <v>4304315</v>
      </c>
      <c r="T352" s="483">
        <v>586.79999999999995</v>
      </c>
      <c r="U352" s="470"/>
      <c r="V352" s="483">
        <v>658.94</v>
      </c>
      <c r="W352" s="470"/>
      <c r="X352" s="470"/>
      <c r="Y352" s="370">
        <f t="shared" si="6"/>
        <v>658.94</v>
      </c>
      <c r="Z352" s="371">
        <v>1</v>
      </c>
    </row>
    <row r="353" spans="1:26" x14ac:dyDescent="0.25">
      <c r="A353" s="481">
        <v>42379</v>
      </c>
      <c r="B353" s="470"/>
      <c r="C353" s="368">
        <v>42379</v>
      </c>
      <c r="F353" s="482" t="s">
        <v>673</v>
      </c>
      <c r="G353" s="470"/>
      <c r="H353" s="369" t="s">
        <v>659</v>
      </c>
      <c r="I353" s="369" t="s">
        <v>1708</v>
      </c>
      <c r="J353" s="367" t="s">
        <v>828</v>
      </c>
      <c r="K353" s="482" t="s">
        <v>1709</v>
      </c>
      <c r="L353" s="470"/>
      <c r="M353" s="470"/>
      <c r="N353" s="369" t="s">
        <v>655</v>
      </c>
      <c r="O353" s="369" t="s">
        <v>753</v>
      </c>
      <c r="P353" s="369" t="s">
        <v>655</v>
      </c>
      <c r="Q353" s="369" t="s">
        <v>753</v>
      </c>
      <c r="R353" s="367" t="s">
        <v>1710</v>
      </c>
      <c r="S353" s="367">
        <v>4306588</v>
      </c>
      <c r="T353" s="483">
        <v>586.79999999999995</v>
      </c>
      <c r="U353" s="470"/>
      <c r="V353" s="483">
        <v>0</v>
      </c>
      <c r="W353" s="470"/>
      <c r="X353" s="470"/>
      <c r="Y353" s="370">
        <f t="shared" si="6"/>
        <v>0</v>
      </c>
      <c r="Z353" s="371"/>
    </row>
    <row r="354" spans="1:26" x14ac:dyDescent="0.25">
      <c r="A354" s="481">
        <v>42380</v>
      </c>
      <c r="B354" s="470"/>
      <c r="C354" s="368">
        <v>42380</v>
      </c>
      <c r="F354" s="482" t="s">
        <v>673</v>
      </c>
      <c r="G354" s="470"/>
      <c r="H354" s="369" t="s">
        <v>659</v>
      </c>
      <c r="I354" s="369" t="s">
        <v>1711</v>
      </c>
      <c r="J354" s="367" t="s">
        <v>1712</v>
      </c>
      <c r="K354" s="482" t="s">
        <v>1713</v>
      </c>
      <c r="L354" s="470"/>
      <c r="M354" s="470"/>
      <c r="N354" s="369" t="s">
        <v>655</v>
      </c>
      <c r="O354" s="369" t="s">
        <v>753</v>
      </c>
      <c r="P354" s="369" t="s">
        <v>655</v>
      </c>
      <c r="Q354" s="369" t="s">
        <v>753</v>
      </c>
      <c r="R354" s="367" t="s">
        <v>1714</v>
      </c>
      <c r="S354" s="367">
        <v>4322473</v>
      </c>
      <c r="T354" s="483">
        <v>586.79999999999995</v>
      </c>
      <c r="U354" s="470"/>
      <c r="V354" s="483">
        <v>14.43</v>
      </c>
      <c r="W354" s="470"/>
      <c r="X354" s="470"/>
      <c r="Y354" s="370">
        <f t="shared" si="6"/>
        <v>14.43</v>
      </c>
      <c r="Z354" s="371">
        <v>5</v>
      </c>
    </row>
    <row r="355" spans="1:26" x14ac:dyDescent="0.25">
      <c r="A355" s="481">
        <v>42381</v>
      </c>
      <c r="B355" s="470"/>
      <c r="C355" s="368">
        <v>42382</v>
      </c>
      <c r="F355" s="482" t="s">
        <v>673</v>
      </c>
      <c r="G355" s="470"/>
      <c r="H355" s="369" t="s">
        <v>659</v>
      </c>
      <c r="I355" s="369" t="s">
        <v>1715</v>
      </c>
      <c r="J355" s="367" t="s">
        <v>1250</v>
      </c>
      <c r="K355" s="482" t="s">
        <v>1716</v>
      </c>
      <c r="L355" s="470"/>
      <c r="M355" s="470"/>
      <c r="N355" s="369" t="s">
        <v>655</v>
      </c>
      <c r="O355" s="369" t="s">
        <v>753</v>
      </c>
      <c r="P355" s="369" t="s">
        <v>655</v>
      </c>
      <c r="Q355" s="369" t="s">
        <v>753</v>
      </c>
      <c r="R355" s="367" t="s">
        <v>1717</v>
      </c>
      <c r="S355" s="367">
        <v>4322510</v>
      </c>
      <c r="T355" s="483">
        <v>586.79999999999995</v>
      </c>
      <c r="U355" s="470"/>
      <c r="V355" s="483">
        <v>0</v>
      </c>
      <c r="W355" s="470"/>
      <c r="X355" s="470"/>
      <c r="Y355" s="370">
        <f t="shared" si="6"/>
        <v>0</v>
      </c>
      <c r="Z355" s="371">
        <v>4</v>
      </c>
    </row>
    <row r="356" spans="1:26" x14ac:dyDescent="0.25">
      <c r="A356" s="481">
        <v>42381</v>
      </c>
      <c r="B356" s="470"/>
      <c r="C356" s="368">
        <v>42381</v>
      </c>
      <c r="F356" s="482" t="s">
        <v>684</v>
      </c>
      <c r="G356" s="470"/>
      <c r="H356" s="369" t="s">
        <v>659</v>
      </c>
      <c r="I356" s="369" t="s">
        <v>1718</v>
      </c>
      <c r="J356" s="367" t="s">
        <v>1719</v>
      </c>
      <c r="K356" s="482" t="s">
        <v>1720</v>
      </c>
      <c r="L356" s="470"/>
      <c r="M356" s="470"/>
      <c r="N356" s="369" t="s">
        <v>655</v>
      </c>
      <c r="O356" s="369" t="s">
        <v>753</v>
      </c>
      <c r="P356" s="369" t="s">
        <v>655</v>
      </c>
      <c r="Q356" s="369" t="s">
        <v>655</v>
      </c>
      <c r="R356" s="367" t="s">
        <v>1721</v>
      </c>
      <c r="S356" s="367">
        <v>4322494</v>
      </c>
      <c r="T356" s="483">
        <v>586.79999999999995</v>
      </c>
      <c r="U356" s="470"/>
      <c r="V356" s="483">
        <v>0</v>
      </c>
      <c r="W356" s="470"/>
      <c r="X356" s="470"/>
      <c r="Y356" s="370">
        <f t="shared" si="6"/>
        <v>0</v>
      </c>
      <c r="Z356" s="371">
        <v>5</v>
      </c>
    </row>
    <row r="357" spans="1:26" x14ac:dyDescent="0.25">
      <c r="A357" s="481">
        <v>42382</v>
      </c>
      <c r="B357" s="470"/>
      <c r="C357" s="368">
        <v>42382</v>
      </c>
      <c r="F357" s="482" t="s">
        <v>673</v>
      </c>
      <c r="G357" s="470"/>
      <c r="H357" s="369" t="s">
        <v>659</v>
      </c>
      <c r="I357" s="369" t="s">
        <v>1722</v>
      </c>
      <c r="J357" s="367" t="s">
        <v>1723</v>
      </c>
      <c r="K357" s="482" t="s">
        <v>738</v>
      </c>
      <c r="L357" s="470"/>
      <c r="M357" s="470"/>
      <c r="N357" s="369" t="s">
        <v>655</v>
      </c>
      <c r="O357" s="369" t="s">
        <v>753</v>
      </c>
      <c r="P357" s="369" t="s">
        <v>655</v>
      </c>
      <c r="Q357" s="369" t="s">
        <v>655</v>
      </c>
      <c r="R357" s="367" t="s">
        <v>1724</v>
      </c>
      <c r="S357" s="367">
        <v>4329858</v>
      </c>
      <c r="T357" s="483">
        <v>586.79999999999995</v>
      </c>
      <c r="U357" s="470"/>
      <c r="V357" s="483">
        <v>0</v>
      </c>
      <c r="W357" s="470"/>
      <c r="X357" s="470"/>
      <c r="Y357" s="370">
        <f t="shared" si="6"/>
        <v>0</v>
      </c>
      <c r="Z357" s="371">
        <v>8</v>
      </c>
    </row>
    <row r="358" spans="1:26" x14ac:dyDescent="0.25">
      <c r="A358" s="481">
        <v>42383</v>
      </c>
      <c r="B358" s="470"/>
      <c r="C358" s="368">
        <v>42383</v>
      </c>
      <c r="F358" s="482" t="s">
        <v>684</v>
      </c>
      <c r="G358" s="470"/>
      <c r="H358" s="369" t="s">
        <v>659</v>
      </c>
      <c r="I358" s="369" t="s">
        <v>1725</v>
      </c>
      <c r="J358" s="367" t="s">
        <v>1726</v>
      </c>
      <c r="K358" s="482" t="s">
        <v>939</v>
      </c>
      <c r="L358" s="470"/>
      <c r="M358" s="470"/>
      <c r="N358" s="369" t="s">
        <v>655</v>
      </c>
      <c r="O358" s="369" t="s">
        <v>753</v>
      </c>
      <c r="P358" s="369" t="s">
        <v>655</v>
      </c>
      <c r="Q358" s="369" t="s">
        <v>655</v>
      </c>
      <c r="R358" s="367" t="s">
        <v>1727</v>
      </c>
      <c r="S358" s="367">
        <v>4338592</v>
      </c>
      <c r="T358" s="483">
        <v>586.79999999999995</v>
      </c>
      <c r="U358" s="470"/>
      <c r="V358" s="483">
        <v>1832.31</v>
      </c>
      <c r="W358" s="470"/>
      <c r="X358" s="470"/>
      <c r="Y358" s="370">
        <f t="shared" si="6"/>
        <v>1832.31</v>
      </c>
      <c r="Z358" s="371">
        <v>1</v>
      </c>
    </row>
    <row r="359" spans="1:26" x14ac:dyDescent="0.25">
      <c r="A359" s="481">
        <v>42383</v>
      </c>
      <c r="B359" s="470"/>
      <c r="C359" s="368">
        <v>42383</v>
      </c>
      <c r="F359" s="482" t="s">
        <v>673</v>
      </c>
      <c r="G359" s="470"/>
      <c r="H359" s="369" t="s">
        <v>659</v>
      </c>
      <c r="I359" s="369" t="s">
        <v>1728</v>
      </c>
      <c r="J359" s="367" t="s">
        <v>1729</v>
      </c>
      <c r="K359" s="482" t="s">
        <v>1730</v>
      </c>
      <c r="L359" s="470"/>
      <c r="M359" s="470"/>
      <c r="N359" s="369" t="s">
        <v>655</v>
      </c>
      <c r="O359" s="369" t="s">
        <v>753</v>
      </c>
      <c r="P359" s="369" t="s">
        <v>655</v>
      </c>
      <c r="Q359" s="369" t="s">
        <v>655</v>
      </c>
      <c r="R359" s="367" t="s">
        <v>1731</v>
      </c>
      <c r="S359" s="367">
        <v>4352996</v>
      </c>
      <c r="T359" s="483">
        <v>586.79999999999995</v>
      </c>
      <c r="U359" s="470"/>
      <c r="V359" s="483">
        <v>313.86</v>
      </c>
      <c r="W359" s="470"/>
      <c r="X359" s="470"/>
      <c r="Y359" s="370">
        <f t="shared" si="6"/>
        <v>313.86</v>
      </c>
      <c r="Z359" s="371"/>
    </row>
    <row r="360" spans="1:26" x14ac:dyDescent="0.25">
      <c r="A360" s="481">
        <v>42384</v>
      </c>
      <c r="B360" s="470"/>
      <c r="C360" s="368">
        <v>42384</v>
      </c>
      <c r="F360" s="482" t="s">
        <v>684</v>
      </c>
      <c r="G360" s="470"/>
      <c r="H360" s="369" t="s">
        <v>659</v>
      </c>
      <c r="I360" s="369" t="s">
        <v>1732</v>
      </c>
      <c r="J360" s="367" t="s">
        <v>1325</v>
      </c>
      <c r="K360" s="482" t="s">
        <v>1733</v>
      </c>
      <c r="L360" s="470"/>
      <c r="M360" s="470"/>
      <c r="N360" s="369" t="s">
        <v>655</v>
      </c>
      <c r="O360" s="369" t="s">
        <v>753</v>
      </c>
      <c r="P360" s="369" t="s">
        <v>655</v>
      </c>
      <c r="Q360" s="369" t="s">
        <v>655</v>
      </c>
      <c r="R360" s="367" t="s">
        <v>1734</v>
      </c>
      <c r="S360" s="367">
        <v>4353563</v>
      </c>
      <c r="T360" s="483">
        <v>586.79999999999995</v>
      </c>
      <c r="U360" s="470"/>
      <c r="V360" s="483">
        <v>319.77999999999997</v>
      </c>
      <c r="W360" s="470"/>
      <c r="X360" s="470"/>
      <c r="Y360" s="370">
        <f t="shared" si="6"/>
        <v>319.77999999999997</v>
      </c>
      <c r="Z360" s="371"/>
    </row>
    <row r="361" spans="1:26" x14ac:dyDescent="0.25">
      <c r="A361" s="481">
        <v>42384</v>
      </c>
      <c r="B361" s="470"/>
      <c r="C361" s="368">
        <v>42384</v>
      </c>
      <c r="F361" s="482" t="s">
        <v>684</v>
      </c>
      <c r="G361" s="470"/>
      <c r="H361" s="369" t="s">
        <v>659</v>
      </c>
      <c r="I361" s="369" t="s">
        <v>1735</v>
      </c>
      <c r="J361" s="367" t="s">
        <v>1733</v>
      </c>
      <c r="K361" s="482" t="s">
        <v>1736</v>
      </c>
      <c r="L361" s="470"/>
      <c r="M361" s="470"/>
      <c r="N361" s="369" t="s">
        <v>655</v>
      </c>
      <c r="O361" s="369" t="s">
        <v>655</v>
      </c>
      <c r="P361" s="369" t="s">
        <v>655</v>
      </c>
      <c r="Q361" s="369" t="s">
        <v>655</v>
      </c>
      <c r="R361" s="367" t="s">
        <v>1737</v>
      </c>
      <c r="S361" s="367">
        <v>4341865</v>
      </c>
      <c r="T361" s="483">
        <v>586.79999999999995</v>
      </c>
      <c r="U361" s="470"/>
      <c r="V361" s="483">
        <v>1312.98</v>
      </c>
      <c r="W361" s="470"/>
      <c r="X361" s="470"/>
      <c r="Y361" s="370">
        <f t="shared" si="6"/>
        <v>1312.98</v>
      </c>
      <c r="Z361" s="371"/>
    </row>
    <row r="362" spans="1:26" x14ac:dyDescent="0.25">
      <c r="A362" s="481">
        <v>42387</v>
      </c>
      <c r="B362" s="470"/>
      <c r="C362" s="368">
        <v>42387</v>
      </c>
      <c r="F362" s="482" t="s">
        <v>673</v>
      </c>
      <c r="G362" s="470"/>
      <c r="H362" s="369" t="s">
        <v>659</v>
      </c>
      <c r="I362" s="369" t="s">
        <v>1738</v>
      </c>
      <c r="J362" s="367" t="s">
        <v>1405</v>
      </c>
      <c r="K362" s="482" t="s">
        <v>836</v>
      </c>
      <c r="L362" s="470"/>
      <c r="M362" s="470"/>
      <c r="N362" s="369" t="s">
        <v>655</v>
      </c>
      <c r="O362" s="369" t="s">
        <v>753</v>
      </c>
      <c r="P362" s="369" t="s">
        <v>655</v>
      </c>
      <c r="Q362" s="369" t="s">
        <v>655</v>
      </c>
      <c r="R362" s="367" t="s">
        <v>1739</v>
      </c>
      <c r="S362" s="367">
        <v>4358201</v>
      </c>
      <c r="T362" s="483">
        <v>586.79999999999995</v>
      </c>
      <c r="U362" s="470"/>
      <c r="V362" s="483">
        <v>791.21</v>
      </c>
      <c r="W362" s="470"/>
      <c r="X362" s="470"/>
      <c r="Y362" s="370">
        <f t="shared" si="6"/>
        <v>791.21</v>
      </c>
      <c r="Z362" s="371"/>
    </row>
    <row r="363" spans="1:26" x14ac:dyDescent="0.25">
      <c r="A363" s="481">
        <v>42390</v>
      </c>
      <c r="B363" s="470"/>
      <c r="C363" s="368">
        <v>42391</v>
      </c>
      <c r="F363" s="482" t="s">
        <v>673</v>
      </c>
      <c r="G363" s="470"/>
      <c r="H363" s="369" t="s">
        <v>659</v>
      </c>
      <c r="I363" s="369" t="s">
        <v>1740</v>
      </c>
      <c r="J363" s="367" t="s">
        <v>1741</v>
      </c>
      <c r="K363" s="482" t="s">
        <v>1437</v>
      </c>
      <c r="L363" s="470"/>
      <c r="M363" s="470"/>
      <c r="N363" s="369" t="s">
        <v>655</v>
      </c>
      <c r="O363" s="369" t="s">
        <v>753</v>
      </c>
      <c r="P363" s="369" t="s">
        <v>655</v>
      </c>
      <c r="Q363" s="369" t="s">
        <v>655</v>
      </c>
      <c r="R363" s="367" t="s">
        <v>1742</v>
      </c>
      <c r="S363" s="367">
        <v>4397099</v>
      </c>
      <c r="T363" s="483">
        <v>586.79999999999995</v>
      </c>
      <c r="U363" s="470"/>
      <c r="V363" s="483">
        <v>79.97</v>
      </c>
      <c r="W363" s="470"/>
      <c r="X363" s="470"/>
      <c r="Y363" s="370">
        <f t="shared" si="6"/>
        <v>79.97</v>
      </c>
      <c r="Z363" s="371"/>
    </row>
    <row r="364" spans="1:26" x14ac:dyDescent="0.25">
      <c r="A364" s="481">
        <v>42391</v>
      </c>
      <c r="B364" s="470"/>
      <c r="C364" s="368">
        <v>42392</v>
      </c>
      <c r="F364" s="482" t="s">
        <v>673</v>
      </c>
      <c r="G364" s="470"/>
      <c r="H364" s="369" t="s">
        <v>659</v>
      </c>
      <c r="I364" s="369" t="s">
        <v>1743</v>
      </c>
      <c r="J364" s="367" t="s">
        <v>1744</v>
      </c>
      <c r="K364" s="482" t="s">
        <v>662</v>
      </c>
      <c r="L364" s="470"/>
      <c r="M364" s="470"/>
      <c r="N364" s="369" t="s">
        <v>655</v>
      </c>
      <c r="O364" s="369" t="s">
        <v>753</v>
      </c>
      <c r="P364" s="369" t="s">
        <v>655</v>
      </c>
      <c r="Q364" s="369" t="s">
        <v>753</v>
      </c>
      <c r="R364" s="367" t="s">
        <v>1745</v>
      </c>
      <c r="S364" s="367">
        <v>4400741</v>
      </c>
      <c r="T364" s="483">
        <v>586.79999999999995</v>
      </c>
      <c r="U364" s="470"/>
      <c r="V364" s="483">
        <v>0</v>
      </c>
      <c r="W364" s="470"/>
      <c r="X364" s="470"/>
      <c r="Y364" s="370">
        <f t="shared" si="6"/>
        <v>0</v>
      </c>
      <c r="Z364" s="371">
        <v>1</v>
      </c>
    </row>
    <row r="365" spans="1:26" x14ac:dyDescent="0.25">
      <c r="A365" s="481">
        <v>42392</v>
      </c>
      <c r="B365" s="470"/>
      <c r="C365" s="368">
        <v>42392</v>
      </c>
      <c r="F365" s="482" t="s">
        <v>1746</v>
      </c>
      <c r="G365" s="470"/>
      <c r="H365" s="369" t="s">
        <v>659</v>
      </c>
      <c r="I365" s="369" t="s">
        <v>1747</v>
      </c>
      <c r="J365" s="367" t="s">
        <v>1405</v>
      </c>
      <c r="K365" s="482" t="s">
        <v>1748</v>
      </c>
      <c r="L365" s="470"/>
      <c r="M365" s="470"/>
      <c r="N365" s="369" t="s">
        <v>655</v>
      </c>
      <c r="O365" s="369" t="s">
        <v>753</v>
      </c>
      <c r="P365" s="369" t="s">
        <v>655</v>
      </c>
      <c r="Q365" s="369" t="s">
        <v>655</v>
      </c>
      <c r="R365" s="367" t="s">
        <v>1749</v>
      </c>
      <c r="S365" s="367">
        <v>4438455</v>
      </c>
      <c r="T365" s="483">
        <v>586.79999999999995</v>
      </c>
      <c r="U365" s="470"/>
      <c r="V365" s="483">
        <v>0</v>
      </c>
      <c r="W365" s="470"/>
      <c r="X365" s="470"/>
      <c r="Y365" s="370">
        <f t="shared" si="6"/>
        <v>0</v>
      </c>
      <c r="Z365" s="371"/>
    </row>
    <row r="366" spans="1:26" x14ac:dyDescent="0.25">
      <c r="A366" s="481">
        <v>42393</v>
      </c>
      <c r="B366" s="470"/>
      <c r="C366" s="368">
        <v>42393</v>
      </c>
      <c r="F366" s="482" t="s">
        <v>673</v>
      </c>
      <c r="G366" s="470"/>
      <c r="H366" s="369" t="s">
        <v>659</v>
      </c>
      <c r="I366" s="369" t="s">
        <v>1750</v>
      </c>
      <c r="J366" s="367" t="s">
        <v>1568</v>
      </c>
      <c r="K366" s="482" t="s">
        <v>738</v>
      </c>
      <c r="L366" s="470"/>
      <c r="M366" s="470"/>
      <c r="N366" s="369" t="s">
        <v>655</v>
      </c>
      <c r="O366" s="369" t="s">
        <v>655</v>
      </c>
      <c r="P366" s="369" t="s">
        <v>655</v>
      </c>
      <c r="Q366" s="369" t="s">
        <v>655</v>
      </c>
      <c r="R366" s="367" t="s">
        <v>1751</v>
      </c>
      <c r="S366" s="367">
        <v>4391135</v>
      </c>
      <c r="T366" s="483">
        <v>586.79999999999995</v>
      </c>
      <c r="U366" s="470"/>
      <c r="V366" s="483">
        <v>983.46</v>
      </c>
      <c r="W366" s="470"/>
      <c r="X366" s="470"/>
      <c r="Y366" s="370">
        <f t="shared" si="6"/>
        <v>983.46</v>
      </c>
      <c r="Z366" s="371"/>
    </row>
    <row r="367" spans="1:26" x14ac:dyDescent="0.25">
      <c r="A367" s="481">
        <v>42396</v>
      </c>
      <c r="B367" s="470"/>
      <c r="C367" s="368">
        <v>42396</v>
      </c>
      <c r="F367" s="482" t="s">
        <v>673</v>
      </c>
      <c r="G367" s="470"/>
      <c r="H367" s="369" t="s">
        <v>659</v>
      </c>
      <c r="I367" s="369" t="s">
        <v>1752</v>
      </c>
      <c r="J367" s="367" t="s">
        <v>1536</v>
      </c>
      <c r="K367" s="482" t="s">
        <v>1753</v>
      </c>
      <c r="L367" s="470"/>
      <c r="M367" s="470"/>
      <c r="N367" s="369" t="s">
        <v>655</v>
      </c>
      <c r="O367" s="369" t="s">
        <v>753</v>
      </c>
      <c r="P367" s="369" t="s">
        <v>655</v>
      </c>
      <c r="Q367" s="369" t="s">
        <v>753</v>
      </c>
      <c r="R367" s="367" t="s">
        <v>1754</v>
      </c>
      <c r="S367" s="367">
        <v>4418983</v>
      </c>
      <c r="T367" s="483">
        <v>586.79999999999995</v>
      </c>
      <c r="U367" s="470"/>
      <c r="V367" s="483">
        <v>0</v>
      </c>
      <c r="W367" s="470"/>
      <c r="X367" s="470"/>
      <c r="Y367" s="370">
        <f t="shared" si="6"/>
        <v>0</v>
      </c>
      <c r="Z367" s="371">
        <v>3</v>
      </c>
    </row>
    <row r="368" spans="1:26" x14ac:dyDescent="0.25">
      <c r="A368" s="481">
        <v>42397</v>
      </c>
      <c r="B368" s="470"/>
      <c r="C368" s="368">
        <v>42397</v>
      </c>
      <c r="F368" s="482" t="s">
        <v>686</v>
      </c>
      <c r="G368" s="470"/>
      <c r="H368" s="369" t="s">
        <v>659</v>
      </c>
      <c r="I368" s="369" t="s">
        <v>1755</v>
      </c>
      <c r="J368" s="367" t="s">
        <v>1756</v>
      </c>
      <c r="K368" s="482" t="s">
        <v>1757</v>
      </c>
      <c r="L368" s="470"/>
      <c r="M368" s="470"/>
      <c r="N368" s="369" t="s">
        <v>655</v>
      </c>
      <c r="O368" s="369" t="s">
        <v>655</v>
      </c>
      <c r="P368" s="369" t="s">
        <v>655</v>
      </c>
      <c r="Q368" s="369" t="s">
        <v>655</v>
      </c>
      <c r="R368" s="367" t="s">
        <v>1758</v>
      </c>
      <c r="S368" s="367">
        <v>4422073</v>
      </c>
      <c r="T368" s="483">
        <v>586.79999999999995</v>
      </c>
      <c r="U368" s="470"/>
      <c r="V368" s="483">
        <v>228.66</v>
      </c>
      <c r="W368" s="470"/>
      <c r="X368" s="470"/>
      <c r="Y368" s="370">
        <f t="shared" si="6"/>
        <v>228.66</v>
      </c>
      <c r="Z368" s="371">
        <v>2</v>
      </c>
    </row>
    <row r="369" spans="1:26" x14ac:dyDescent="0.25">
      <c r="A369" s="481">
        <v>42397</v>
      </c>
      <c r="B369" s="470"/>
      <c r="C369" s="368">
        <v>42397</v>
      </c>
      <c r="F369" s="482" t="s">
        <v>1759</v>
      </c>
      <c r="G369" s="470"/>
      <c r="H369" s="369" t="s">
        <v>659</v>
      </c>
      <c r="I369" s="369" t="s">
        <v>1760</v>
      </c>
      <c r="J369" s="367" t="s">
        <v>1761</v>
      </c>
      <c r="K369" s="482" t="s">
        <v>1353</v>
      </c>
      <c r="L369" s="470"/>
      <c r="M369" s="470"/>
      <c r="N369" s="369" t="s">
        <v>655</v>
      </c>
      <c r="O369" s="369" t="s">
        <v>655</v>
      </c>
      <c r="P369" s="369" t="s">
        <v>655</v>
      </c>
      <c r="Q369" s="369" t="s">
        <v>655</v>
      </c>
      <c r="R369" s="367" t="s">
        <v>1762</v>
      </c>
      <c r="S369" s="367">
        <v>4417892</v>
      </c>
      <c r="T369" s="483">
        <v>586.79999999999995</v>
      </c>
      <c r="U369" s="470"/>
      <c r="V369" s="483">
        <v>857.71</v>
      </c>
      <c r="W369" s="470"/>
      <c r="X369" s="470"/>
      <c r="Y369" s="370">
        <f t="shared" si="6"/>
        <v>857.71</v>
      </c>
      <c r="Z369" s="371"/>
    </row>
    <row r="370" spans="1:26" x14ac:dyDescent="0.25">
      <c r="A370" s="481">
        <v>42398</v>
      </c>
      <c r="B370" s="470"/>
      <c r="C370" s="368">
        <v>42398</v>
      </c>
      <c r="F370" s="482" t="s">
        <v>673</v>
      </c>
      <c r="G370" s="470"/>
      <c r="H370" s="369" t="s">
        <v>659</v>
      </c>
      <c r="I370" s="369" t="s">
        <v>1763</v>
      </c>
      <c r="J370" s="367" t="s">
        <v>1764</v>
      </c>
      <c r="K370" s="482" t="s">
        <v>1765</v>
      </c>
      <c r="L370" s="470"/>
      <c r="M370" s="470"/>
      <c r="N370" s="369" t="s">
        <v>655</v>
      </c>
      <c r="O370" s="369" t="s">
        <v>753</v>
      </c>
      <c r="P370" s="369" t="s">
        <v>655</v>
      </c>
      <c r="Q370" s="369" t="s">
        <v>753</v>
      </c>
      <c r="R370" s="367" t="s">
        <v>1766</v>
      </c>
      <c r="S370" s="367">
        <v>4438361</v>
      </c>
      <c r="T370" s="483">
        <v>586.79999999999995</v>
      </c>
      <c r="U370" s="470"/>
      <c r="V370" s="483">
        <v>0</v>
      </c>
      <c r="W370" s="470"/>
      <c r="X370" s="470"/>
      <c r="Y370" s="370">
        <f t="shared" si="6"/>
        <v>0</v>
      </c>
      <c r="Z370" s="371"/>
    </row>
    <row r="371" spans="1:26" x14ac:dyDescent="0.25">
      <c r="A371" s="481">
        <v>42398</v>
      </c>
      <c r="B371" s="470"/>
      <c r="C371" s="368">
        <v>42398</v>
      </c>
      <c r="F371" s="482" t="s">
        <v>673</v>
      </c>
      <c r="G371" s="470"/>
      <c r="H371" s="369" t="s">
        <v>659</v>
      </c>
      <c r="I371" s="369" t="s">
        <v>1767</v>
      </c>
      <c r="J371" s="367" t="s">
        <v>1768</v>
      </c>
      <c r="K371" s="482" t="s">
        <v>1769</v>
      </c>
      <c r="L371" s="470"/>
      <c r="M371" s="470"/>
      <c r="N371" s="369" t="s">
        <v>655</v>
      </c>
      <c r="O371" s="369" t="s">
        <v>753</v>
      </c>
      <c r="P371" s="369" t="s">
        <v>655</v>
      </c>
      <c r="Q371" s="369" t="s">
        <v>655</v>
      </c>
      <c r="R371" s="367" t="s">
        <v>1770</v>
      </c>
      <c r="S371" s="367">
        <v>4438313</v>
      </c>
      <c r="T371" s="483">
        <v>586.79999999999995</v>
      </c>
      <c r="U371" s="470"/>
      <c r="V371" s="483">
        <v>808.7</v>
      </c>
      <c r="W371" s="470"/>
      <c r="X371" s="470"/>
      <c r="Y371" s="370">
        <f t="shared" si="6"/>
        <v>808.7</v>
      </c>
      <c r="Z371" s="371">
        <v>2</v>
      </c>
    </row>
    <row r="372" spans="1:26" x14ac:dyDescent="0.25">
      <c r="A372" s="481">
        <v>42399</v>
      </c>
      <c r="B372" s="470"/>
      <c r="C372" s="368">
        <v>42399</v>
      </c>
      <c r="F372" s="482" t="s">
        <v>673</v>
      </c>
      <c r="G372" s="470"/>
      <c r="H372" s="369" t="s">
        <v>659</v>
      </c>
      <c r="I372" s="369" t="s">
        <v>1771</v>
      </c>
      <c r="J372" s="367" t="s">
        <v>1772</v>
      </c>
      <c r="K372" s="482" t="s">
        <v>1773</v>
      </c>
      <c r="L372" s="470"/>
      <c r="M372" s="470"/>
      <c r="N372" s="369" t="s">
        <v>655</v>
      </c>
      <c r="O372" s="369" t="s">
        <v>753</v>
      </c>
      <c r="P372" s="369" t="s">
        <v>655</v>
      </c>
      <c r="Q372" s="369" t="s">
        <v>655</v>
      </c>
      <c r="R372" s="367" t="s">
        <v>1774</v>
      </c>
      <c r="S372" s="367">
        <v>4442358</v>
      </c>
      <c r="T372" s="483">
        <v>586.79999999999995</v>
      </c>
      <c r="U372" s="470"/>
      <c r="V372" s="483">
        <v>0</v>
      </c>
      <c r="W372" s="470"/>
      <c r="X372" s="470"/>
      <c r="Y372" s="370">
        <f t="shared" si="6"/>
        <v>0</v>
      </c>
      <c r="Z372" s="371">
        <v>4</v>
      </c>
    </row>
    <row r="373" spans="1:26" x14ac:dyDescent="0.25">
      <c r="A373" s="481">
        <v>42399</v>
      </c>
      <c r="B373" s="470"/>
      <c r="C373" s="368">
        <v>42399</v>
      </c>
      <c r="F373" s="482" t="s">
        <v>684</v>
      </c>
      <c r="G373" s="470"/>
      <c r="H373" s="369" t="s">
        <v>659</v>
      </c>
      <c r="I373" s="369" t="s">
        <v>1775</v>
      </c>
      <c r="J373" s="367" t="s">
        <v>1776</v>
      </c>
      <c r="K373" s="482" t="s">
        <v>1336</v>
      </c>
      <c r="L373" s="470"/>
      <c r="M373" s="470"/>
      <c r="N373" s="369" t="s">
        <v>655</v>
      </c>
      <c r="O373" s="369" t="s">
        <v>753</v>
      </c>
      <c r="P373" s="369" t="s">
        <v>655</v>
      </c>
      <c r="Q373" s="369" t="s">
        <v>655</v>
      </c>
      <c r="R373" s="367" t="s">
        <v>1777</v>
      </c>
      <c r="S373" s="367">
        <v>4446239</v>
      </c>
      <c r="T373" s="483">
        <v>586.79999999999995</v>
      </c>
      <c r="U373" s="470"/>
      <c r="V373" s="483">
        <v>0</v>
      </c>
      <c r="W373" s="470"/>
      <c r="X373" s="470"/>
      <c r="Y373" s="370">
        <f t="shared" si="6"/>
        <v>0</v>
      </c>
      <c r="Z373" s="371">
        <v>2</v>
      </c>
    </row>
    <row r="374" spans="1:26" x14ac:dyDescent="0.25">
      <c r="A374" s="481">
        <v>42400</v>
      </c>
      <c r="B374" s="470"/>
      <c r="C374" s="368">
        <v>42400</v>
      </c>
      <c r="F374" s="482" t="s">
        <v>684</v>
      </c>
      <c r="G374" s="470"/>
      <c r="H374" s="369" t="s">
        <v>659</v>
      </c>
      <c r="I374" s="369" t="s">
        <v>1778</v>
      </c>
      <c r="J374" s="367" t="s">
        <v>1779</v>
      </c>
      <c r="K374" s="482" t="s">
        <v>1780</v>
      </c>
      <c r="L374" s="470"/>
      <c r="M374" s="470"/>
      <c r="N374" s="369" t="s">
        <v>655</v>
      </c>
      <c r="O374" s="369" t="s">
        <v>753</v>
      </c>
      <c r="P374" s="369" t="s">
        <v>655</v>
      </c>
      <c r="Q374" s="369" t="s">
        <v>753</v>
      </c>
      <c r="R374" s="367" t="s">
        <v>1781</v>
      </c>
      <c r="S374" s="367">
        <v>4438886</v>
      </c>
      <c r="T374" s="483">
        <v>586.79999999999995</v>
      </c>
      <c r="U374" s="470"/>
      <c r="V374" s="483">
        <v>0</v>
      </c>
      <c r="W374" s="470"/>
      <c r="X374" s="470"/>
      <c r="Y374" s="370">
        <f t="shared" si="6"/>
        <v>0</v>
      </c>
      <c r="Z374" s="371">
        <v>2</v>
      </c>
    </row>
    <row r="375" spans="1:26" x14ac:dyDescent="0.25">
      <c r="A375" s="481">
        <v>42400</v>
      </c>
      <c r="B375" s="470"/>
      <c r="C375" s="368">
        <v>42400</v>
      </c>
      <c r="F375" s="482" t="s">
        <v>684</v>
      </c>
      <c r="G375" s="470"/>
      <c r="H375" s="369" t="s">
        <v>659</v>
      </c>
      <c r="I375" s="369" t="s">
        <v>1782</v>
      </c>
      <c r="J375" s="367" t="s">
        <v>1173</v>
      </c>
      <c r="K375" s="482" t="s">
        <v>1783</v>
      </c>
      <c r="L375" s="470"/>
      <c r="M375" s="470"/>
      <c r="N375" s="369" t="s">
        <v>655</v>
      </c>
      <c r="O375" s="369" t="s">
        <v>753</v>
      </c>
      <c r="P375" s="369" t="s">
        <v>655</v>
      </c>
      <c r="Q375" s="369" t="s">
        <v>655</v>
      </c>
      <c r="R375" s="367" t="s">
        <v>1784</v>
      </c>
      <c r="S375" s="367">
        <v>4438936</v>
      </c>
      <c r="T375" s="483">
        <v>586.79999999999995</v>
      </c>
      <c r="U375" s="470"/>
      <c r="V375" s="483">
        <v>648.1</v>
      </c>
      <c r="W375" s="470"/>
      <c r="X375" s="470"/>
      <c r="Y375" s="370">
        <f t="shared" si="6"/>
        <v>648.1</v>
      </c>
      <c r="Z375" s="371">
        <v>3</v>
      </c>
    </row>
    <row r="376" spans="1:26" x14ac:dyDescent="0.25">
      <c r="A376" s="481">
        <v>42400</v>
      </c>
      <c r="B376" s="470"/>
      <c r="C376" s="368">
        <v>42400</v>
      </c>
      <c r="F376" s="482" t="s">
        <v>673</v>
      </c>
      <c r="G376" s="470"/>
      <c r="H376" s="369" t="s">
        <v>659</v>
      </c>
      <c r="I376" s="369" t="s">
        <v>1785</v>
      </c>
      <c r="J376" s="367" t="s">
        <v>1476</v>
      </c>
      <c r="K376" s="482" t="s">
        <v>1786</v>
      </c>
      <c r="L376" s="470"/>
      <c r="M376" s="470"/>
      <c r="N376" s="369" t="s">
        <v>655</v>
      </c>
      <c r="O376" s="369" t="s">
        <v>753</v>
      </c>
      <c r="P376" s="369" t="s">
        <v>655</v>
      </c>
      <c r="Q376" s="369" t="s">
        <v>655</v>
      </c>
      <c r="R376" s="367" t="s">
        <v>1787</v>
      </c>
      <c r="S376" s="367">
        <v>4442499</v>
      </c>
      <c r="T376" s="483">
        <v>586.79999999999995</v>
      </c>
      <c r="U376" s="470"/>
      <c r="V376" s="483">
        <v>753.01</v>
      </c>
      <c r="W376" s="470"/>
      <c r="X376" s="470"/>
      <c r="Y376" s="370">
        <f t="shared" si="6"/>
        <v>753.01</v>
      </c>
      <c r="Z376" s="371">
        <v>1</v>
      </c>
    </row>
    <row r="377" spans="1:26" x14ac:dyDescent="0.25">
      <c r="A377" s="481">
        <v>42405</v>
      </c>
      <c r="B377" s="470"/>
      <c r="C377" s="368">
        <v>42411</v>
      </c>
      <c r="F377" s="482" t="s">
        <v>1788</v>
      </c>
      <c r="G377" s="470"/>
      <c r="H377" s="369" t="s">
        <v>659</v>
      </c>
      <c r="I377" s="369" t="s">
        <v>1789</v>
      </c>
      <c r="J377" s="367" t="s">
        <v>1790</v>
      </c>
      <c r="K377" s="482" t="s">
        <v>1791</v>
      </c>
      <c r="L377" s="470"/>
      <c r="M377" s="470"/>
      <c r="N377" s="369" t="s">
        <v>655</v>
      </c>
      <c r="O377" s="369" t="s">
        <v>655</v>
      </c>
      <c r="P377" s="369" t="s">
        <v>655</v>
      </c>
      <c r="Q377" s="369" t="s">
        <v>655</v>
      </c>
      <c r="R377" s="367" t="s">
        <v>1792</v>
      </c>
      <c r="S377" s="367">
        <v>4470378</v>
      </c>
      <c r="T377" s="483">
        <v>586.79999999999995</v>
      </c>
      <c r="U377" s="470"/>
      <c r="V377" s="483">
        <v>0</v>
      </c>
      <c r="W377" s="470"/>
      <c r="X377" s="470"/>
      <c r="Y377" s="370">
        <f t="shared" ref="Y377:Y440" si="7">IF(Q377="Y",V377,IF(V377&gt;T377,V377,T377))</f>
        <v>586.79999999999995</v>
      </c>
      <c r="Z377" s="371"/>
    </row>
    <row r="378" spans="1:26" x14ac:dyDescent="0.25">
      <c r="A378" s="481">
        <v>42405</v>
      </c>
      <c r="B378" s="470"/>
      <c r="C378" s="368">
        <v>42406</v>
      </c>
      <c r="F378" s="482" t="s">
        <v>673</v>
      </c>
      <c r="G378" s="470"/>
      <c r="H378" s="369" t="s">
        <v>659</v>
      </c>
      <c r="I378" s="369" t="s">
        <v>1793</v>
      </c>
      <c r="J378" s="367" t="s">
        <v>1794</v>
      </c>
      <c r="K378" s="482" t="s">
        <v>1795</v>
      </c>
      <c r="L378" s="470"/>
      <c r="M378" s="470"/>
      <c r="N378" s="369" t="s">
        <v>655</v>
      </c>
      <c r="O378" s="369" t="s">
        <v>753</v>
      </c>
      <c r="P378" s="369" t="s">
        <v>655</v>
      </c>
      <c r="Q378" s="369" t="s">
        <v>753</v>
      </c>
      <c r="R378" s="367" t="s">
        <v>1796</v>
      </c>
      <c r="S378" s="367">
        <v>4487741</v>
      </c>
      <c r="T378" s="483">
        <v>586.79999999999995</v>
      </c>
      <c r="U378" s="470"/>
      <c r="V378" s="483">
        <v>0</v>
      </c>
      <c r="W378" s="470"/>
      <c r="X378" s="470"/>
      <c r="Y378" s="370">
        <f t="shared" si="7"/>
        <v>0</v>
      </c>
      <c r="Z378" s="371"/>
    </row>
    <row r="379" spans="1:26" x14ac:dyDescent="0.25">
      <c r="A379" s="481">
        <v>42405</v>
      </c>
      <c r="B379" s="470"/>
      <c r="C379" s="368">
        <v>42406</v>
      </c>
      <c r="F379" s="482" t="s">
        <v>899</v>
      </c>
      <c r="G379" s="470"/>
      <c r="H379" s="369" t="s">
        <v>659</v>
      </c>
      <c r="I379" s="369" t="s">
        <v>1797</v>
      </c>
      <c r="J379" s="367" t="s">
        <v>1798</v>
      </c>
      <c r="K379" s="482" t="s">
        <v>1799</v>
      </c>
      <c r="L379" s="470"/>
      <c r="M379" s="470"/>
      <c r="N379" s="369" t="s">
        <v>655</v>
      </c>
      <c r="O379" s="369" t="s">
        <v>753</v>
      </c>
      <c r="P379" s="369" t="s">
        <v>655</v>
      </c>
      <c r="Q379" s="369" t="s">
        <v>753</v>
      </c>
      <c r="R379" s="367" t="s">
        <v>1800</v>
      </c>
      <c r="S379" s="367">
        <v>4487963</v>
      </c>
      <c r="T379" s="483">
        <v>586.79999999999995</v>
      </c>
      <c r="U379" s="470"/>
      <c r="V379" s="483">
        <v>0</v>
      </c>
      <c r="W379" s="470"/>
      <c r="X379" s="470"/>
      <c r="Y379" s="370">
        <f t="shared" si="7"/>
        <v>0</v>
      </c>
      <c r="Z379" s="371"/>
    </row>
    <row r="380" spans="1:26" x14ac:dyDescent="0.25">
      <c r="A380" s="481">
        <v>42406</v>
      </c>
      <c r="B380" s="470"/>
      <c r="C380" s="368">
        <v>42406</v>
      </c>
      <c r="F380" s="482" t="s">
        <v>684</v>
      </c>
      <c r="G380" s="470"/>
      <c r="H380" s="369" t="s">
        <v>659</v>
      </c>
      <c r="I380" s="369" t="s">
        <v>1801</v>
      </c>
      <c r="J380" s="367" t="s">
        <v>1802</v>
      </c>
      <c r="K380" s="482" t="s">
        <v>693</v>
      </c>
      <c r="L380" s="470"/>
      <c r="M380" s="470"/>
      <c r="N380" s="369" t="s">
        <v>655</v>
      </c>
      <c r="O380" s="369" t="s">
        <v>753</v>
      </c>
      <c r="P380" s="369" t="s">
        <v>655</v>
      </c>
      <c r="Q380" s="369" t="s">
        <v>753</v>
      </c>
      <c r="R380" s="367" t="s">
        <v>1803</v>
      </c>
      <c r="S380" s="367">
        <v>4487768</v>
      </c>
      <c r="T380" s="483">
        <v>586.79999999999995</v>
      </c>
      <c r="U380" s="470"/>
      <c r="V380" s="483">
        <v>0</v>
      </c>
      <c r="W380" s="470"/>
      <c r="X380" s="470"/>
      <c r="Y380" s="370">
        <f t="shared" si="7"/>
        <v>0</v>
      </c>
      <c r="Z380" s="371"/>
    </row>
    <row r="381" spans="1:26" x14ac:dyDescent="0.25">
      <c r="A381" s="481">
        <v>42406</v>
      </c>
      <c r="B381" s="470"/>
      <c r="C381" s="368">
        <v>42406</v>
      </c>
      <c r="F381" s="482" t="s">
        <v>1034</v>
      </c>
      <c r="G381" s="470"/>
      <c r="H381" s="369" t="s">
        <v>659</v>
      </c>
      <c r="I381" s="369" t="s">
        <v>1804</v>
      </c>
      <c r="J381" s="367" t="s">
        <v>1805</v>
      </c>
      <c r="K381" s="482" t="s">
        <v>1806</v>
      </c>
      <c r="L381" s="470"/>
      <c r="M381" s="470"/>
      <c r="N381" s="369" t="s">
        <v>655</v>
      </c>
      <c r="O381" s="369" t="s">
        <v>753</v>
      </c>
      <c r="P381" s="369" t="s">
        <v>655</v>
      </c>
      <c r="Q381" s="369" t="s">
        <v>753</v>
      </c>
      <c r="R381" s="367" t="s">
        <v>1807</v>
      </c>
      <c r="S381" s="367">
        <v>4487555</v>
      </c>
      <c r="T381" s="483">
        <v>586.79999999999995</v>
      </c>
      <c r="U381" s="470"/>
      <c r="V381" s="483">
        <v>0</v>
      </c>
      <c r="W381" s="470"/>
      <c r="X381" s="470"/>
      <c r="Y381" s="370">
        <f t="shared" si="7"/>
        <v>0</v>
      </c>
      <c r="Z381" s="371"/>
    </row>
    <row r="382" spans="1:26" x14ac:dyDescent="0.25">
      <c r="A382" s="481">
        <v>42407</v>
      </c>
      <c r="B382" s="470"/>
      <c r="C382" s="368">
        <v>42407</v>
      </c>
      <c r="F382" s="482" t="s">
        <v>740</v>
      </c>
      <c r="G382" s="470"/>
      <c r="H382" s="369" t="s">
        <v>659</v>
      </c>
      <c r="I382" s="369" t="s">
        <v>1808</v>
      </c>
      <c r="J382" s="367" t="s">
        <v>1115</v>
      </c>
      <c r="K382" s="482" t="s">
        <v>1809</v>
      </c>
      <c r="L382" s="470"/>
      <c r="M382" s="470"/>
      <c r="N382" s="369" t="s">
        <v>655</v>
      </c>
      <c r="O382" s="369" t="s">
        <v>753</v>
      </c>
      <c r="P382" s="369" t="s">
        <v>655</v>
      </c>
      <c r="Q382" s="369" t="s">
        <v>753</v>
      </c>
      <c r="R382" s="367" t="s">
        <v>1810</v>
      </c>
      <c r="S382" s="367">
        <v>4483971</v>
      </c>
      <c r="T382" s="483">
        <v>586.79999999999995</v>
      </c>
      <c r="U382" s="470"/>
      <c r="V382" s="483">
        <v>0</v>
      </c>
      <c r="W382" s="470"/>
      <c r="X382" s="470"/>
      <c r="Y382" s="370">
        <f t="shared" si="7"/>
        <v>0</v>
      </c>
      <c r="Z382" s="371"/>
    </row>
    <row r="383" spans="1:26" x14ac:dyDescent="0.25">
      <c r="A383" s="481">
        <v>42407</v>
      </c>
      <c r="B383" s="470"/>
      <c r="C383" s="368">
        <v>42407</v>
      </c>
      <c r="F383" s="482" t="s">
        <v>1811</v>
      </c>
      <c r="G383" s="470"/>
      <c r="H383" s="369" t="s">
        <v>659</v>
      </c>
      <c r="I383" s="369" t="s">
        <v>1812</v>
      </c>
      <c r="J383" s="367" t="s">
        <v>1813</v>
      </c>
      <c r="K383" s="482" t="s">
        <v>1814</v>
      </c>
      <c r="L383" s="470"/>
      <c r="M383" s="470"/>
      <c r="N383" s="369" t="s">
        <v>655</v>
      </c>
      <c r="O383" s="369" t="s">
        <v>655</v>
      </c>
      <c r="P383" s="369" t="s">
        <v>655</v>
      </c>
      <c r="Q383" s="369" t="s">
        <v>655</v>
      </c>
      <c r="R383" s="367" t="s">
        <v>1815</v>
      </c>
      <c r="S383" s="367">
        <v>4481982</v>
      </c>
      <c r="T383" s="483">
        <v>586.79999999999995</v>
      </c>
      <c r="U383" s="470"/>
      <c r="V383" s="483">
        <v>0</v>
      </c>
      <c r="W383" s="470"/>
      <c r="X383" s="470"/>
      <c r="Y383" s="370">
        <f t="shared" si="7"/>
        <v>586.79999999999995</v>
      </c>
      <c r="Z383" s="371"/>
    </row>
    <row r="384" spans="1:26" x14ac:dyDescent="0.25">
      <c r="A384" s="481">
        <v>42407</v>
      </c>
      <c r="B384" s="470"/>
      <c r="C384" s="368">
        <v>42407</v>
      </c>
      <c r="F384" s="482" t="s">
        <v>673</v>
      </c>
      <c r="G384" s="470"/>
      <c r="H384" s="369" t="s">
        <v>659</v>
      </c>
      <c r="I384" s="369" t="s">
        <v>1816</v>
      </c>
      <c r="J384" s="367" t="s">
        <v>1173</v>
      </c>
      <c r="K384" s="482" t="s">
        <v>1817</v>
      </c>
      <c r="L384" s="470"/>
      <c r="M384" s="470"/>
      <c r="N384" s="369" t="s">
        <v>655</v>
      </c>
      <c r="O384" s="369" t="s">
        <v>753</v>
      </c>
      <c r="P384" s="369" t="s">
        <v>655</v>
      </c>
      <c r="Q384" s="369" t="s">
        <v>753</v>
      </c>
      <c r="R384" s="367" t="s">
        <v>1818</v>
      </c>
      <c r="S384" s="367">
        <v>4493239</v>
      </c>
      <c r="T384" s="483">
        <v>586.79999999999995</v>
      </c>
      <c r="U384" s="470"/>
      <c r="V384" s="483">
        <v>0</v>
      </c>
      <c r="W384" s="470"/>
      <c r="X384" s="470"/>
      <c r="Y384" s="370">
        <f t="shared" si="7"/>
        <v>0</v>
      </c>
      <c r="Z384" s="371"/>
    </row>
    <row r="385" spans="1:26" x14ac:dyDescent="0.25">
      <c r="A385" s="481">
        <v>42409</v>
      </c>
      <c r="B385" s="470"/>
      <c r="C385" s="368">
        <v>42410</v>
      </c>
      <c r="F385" s="482" t="s">
        <v>684</v>
      </c>
      <c r="G385" s="470"/>
      <c r="H385" s="369" t="s">
        <v>659</v>
      </c>
      <c r="I385" s="369" t="s">
        <v>1819</v>
      </c>
      <c r="J385" s="367" t="s">
        <v>1820</v>
      </c>
      <c r="K385" s="482" t="s">
        <v>979</v>
      </c>
      <c r="L385" s="470"/>
      <c r="M385" s="470"/>
      <c r="N385" s="369" t="s">
        <v>655</v>
      </c>
      <c r="O385" s="369" t="s">
        <v>655</v>
      </c>
      <c r="P385" s="369" t="s">
        <v>655</v>
      </c>
      <c r="Q385" s="369" t="s">
        <v>655</v>
      </c>
      <c r="R385" s="367" t="s">
        <v>1821</v>
      </c>
      <c r="S385" s="367">
        <v>4504756</v>
      </c>
      <c r="T385" s="483">
        <v>586.79999999999995</v>
      </c>
      <c r="U385" s="470"/>
      <c r="V385" s="483">
        <v>669.92</v>
      </c>
      <c r="W385" s="470"/>
      <c r="X385" s="470"/>
      <c r="Y385" s="370">
        <f t="shared" si="7"/>
        <v>669.92</v>
      </c>
      <c r="Z385" s="371"/>
    </row>
    <row r="386" spans="1:26" x14ac:dyDescent="0.25">
      <c r="A386" s="481">
        <v>42409</v>
      </c>
      <c r="B386" s="470"/>
      <c r="C386" s="368">
        <v>42409</v>
      </c>
      <c r="F386" s="482" t="s">
        <v>673</v>
      </c>
      <c r="G386" s="470"/>
      <c r="H386" s="369" t="s">
        <v>659</v>
      </c>
      <c r="I386" s="369" t="s">
        <v>1822</v>
      </c>
      <c r="J386" s="367" t="s">
        <v>1467</v>
      </c>
      <c r="K386" s="482" t="s">
        <v>1823</v>
      </c>
      <c r="L386" s="470"/>
      <c r="M386" s="470"/>
      <c r="N386" s="369" t="s">
        <v>655</v>
      </c>
      <c r="O386" s="369" t="s">
        <v>753</v>
      </c>
      <c r="P386" s="369" t="s">
        <v>655</v>
      </c>
      <c r="Q386" s="369" t="s">
        <v>753</v>
      </c>
      <c r="R386" s="367" t="s">
        <v>1824</v>
      </c>
      <c r="S386" s="367">
        <v>4515680</v>
      </c>
      <c r="T386" s="483">
        <v>586.79999999999995</v>
      </c>
      <c r="U386" s="470"/>
      <c r="V386" s="483">
        <v>36.43</v>
      </c>
      <c r="W386" s="470"/>
      <c r="X386" s="470"/>
      <c r="Y386" s="370">
        <f t="shared" si="7"/>
        <v>36.43</v>
      </c>
      <c r="Z386" s="371"/>
    </row>
    <row r="387" spans="1:26" x14ac:dyDescent="0.25">
      <c r="A387" s="481">
        <v>42409</v>
      </c>
      <c r="B387" s="470"/>
      <c r="C387" s="368">
        <v>42409</v>
      </c>
      <c r="F387" s="482" t="s">
        <v>673</v>
      </c>
      <c r="G387" s="470"/>
      <c r="H387" s="369" t="s">
        <v>659</v>
      </c>
      <c r="I387" s="369" t="s">
        <v>1775</v>
      </c>
      <c r="J387" s="367" t="s">
        <v>1776</v>
      </c>
      <c r="K387" s="482" t="s">
        <v>1336</v>
      </c>
      <c r="L387" s="470"/>
      <c r="M387" s="470"/>
      <c r="N387" s="369" t="s">
        <v>655</v>
      </c>
      <c r="O387" s="369" t="s">
        <v>655</v>
      </c>
      <c r="P387" s="369" t="s">
        <v>655</v>
      </c>
      <c r="Q387" s="369" t="s">
        <v>655</v>
      </c>
      <c r="R387" s="367" t="s">
        <v>1825</v>
      </c>
      <c r="S387" s="367">
        <v>4492035</v>
      </c>
      <c r="T387" s="483">
        <v>586.79999999999995</v>
      </c>
      <c r="U387" s="470"/>
      <c r="V387" s="483">
        <v>0</v>
      </c>
      <c r="W387" s="470"/>
      <c r="X387" s="470"/>
      <c r="Y387" s="370">
        <f t="shared" si="7"/>
        <v>586.79999999999995</v>
      </c>
      <c r="Z387" s="371"/>
    </row>
    <row r="388" spans="1:26" x14ac:dyDescent="0.25">
      <c r="A388" s="481">
        <v>42410</v>
      </c>
      <c r="B388" s="470"/>
      <c r="C388" s="368">
        <v>42411</v>
      </c>
      <c r="F388" s="482" t="s">
        <v>673</v>
      </c>
      <c r="G388" s="470"/>
      <c r="H388" s="369" t="s">
        <v>659</v>
      </c>
      <c r="I388" s="369" t="s">
        <v>1826</v>
      </c>
      <c r="J388" s="367" t="s">
        <v>1827</v>
      </c>
      <c r="K388" s="482" t="s">
        <v>1828</v>
      </c>
      <c r="L388" s="470"/>
      <c r="M388" s="470"/>
      <c r="N388" s="369" t="s">
        <v>655</v>
      </c>
      <c r="O388" s="369" t="s">
        <v>753</v>
      </c>
      <c r="P388" s="369" t="s">
        <v>655</v>
      </c>
      <c r="Q388" s="369" t="s">
        <v>655</v>
      </c>
      <c r="R388" s="367" t="s">
        <v>1829</v>
      </c>
      <c r="S388" s="367">
        <v>4515348</v>
      </c>
      <c r="T388" s="483">
        <v>586.79999999999995</v>
      </c>
      <c r="U388" s="470"/>
      <c r="V388" s="483">
        <v>580.89</v>
      </c>
      <c r="W388" s="470"/>
      <c r="X388" s="470"/>
      <c r="Y388" s="370">
        <f t="shared" si="7"/>
        <v>586.79999999999995</v>
      </c>
      <c r="Z388" s="371"/>
    </row>
    <row r="389" spans="1:26" x14ac:dyDescent="0.25">
      <c r="A389" s="481">
        <v>42410</v>
      </c>
      <c r="B389" s="470"/>
      <c r="C389" s="368">
        <v>42410</v>
      </c>
      <c r="F389" s="482" t="s">
        <v>684</v>
      </c>
      <c r="G389" s="470"/>
      <c r="H389" s="369" t="s">
        <v>659</v>
      </c>
      <c r="I389" s="369" t="s">
        <v>1830</v>
      </c>
      <c r="J389" s="367" t="s">
        <v>1831</v>
      </c>
      <c r="K389" s="482" t="s">
        <v>1537</v>
      </c>
      <c r="L389" s="470"/>
      <c r="M389" s="470"/>
      <c r="N389" s="369" t="s">
        <v>655</v>
      </c>
      <c r="O389" s="369" t="s">
        <v>753</v>
      </c>
      <c r="P389" s="369" t="s">
        <v>655</v>
      </c>
      <c r="Q389" s="369" t="s">
        <v>655</v>
      </c>
      <c r="R389" s="367" t="s">
        <v>1832</v>
      </c>
      <c r="S389" s="367">
        <v>4515616</v>
      </c>
      <c r="T389" s="483">
        <v>586.79999999999995</v>
      </c>
      <c r="U389" s="470"/>
      <c r="V389" s="483">
        <v>466.66</v>
      </c>
      <c r="W389" s="470"/>
      <c r="X389" s="470"/>
      <c r="Y389" s="370">
        <f t="shared" si="7"/>
        <v>586.79999999999995</v>
      </c>
      <c r="Z389" s="371"/>
    </row>
    <row r="390" spans="1:26" x14ac:dyDescent="0.25">
      <c r="A390" s="481">
        <v>42411</v>
      </c>
      <c r="B390" s="470"/>
      <c r="C390" s="368">
        <v>42412</v>
      </c>
      <c r="F390" s="482" t="s">
        <v>1833</v>
      </c>
      <c r="G390" s="470"/>
      <c r="H390" s="369" t="s">
        <v>659</v>
      </c>
      <c r="I390" s="369" t="s">
        <v>1834</v>
      </c>
      <c r="J390" s="367" t="s">
        <v>1835</v>
      </c>
      <c r="K390" s="482" t="s">
        <v>1836</v>
      </c>
      <c r="L390" s="470"/>
      <c r="M390" s="470"/>
      <c r="N390" s="369" t="s">
        <v>655</v>
      </c>
      <c r="O390" s="369" t="s">
        <v>655</v>
      </c>
      <c r="P390" s="369" t="s">
        <v>655</v>
      </c>
      <c r="Q390" s="369" t="s">
        <v>655</v>
      </c>
      <c r="R390" s="367" t="s">
        <v>1837</v>
      </c>
      <c r="S390" s="367">
        <v>4512133</v>
      </c>
      <c r="T390" s="483">
        <v>586.79999999999995</v>
      </c>
      <c r="U390" s="470"/>
      <c r="V390" s="483">
        <v>0</v>
      </c>
      <c r="W390" s="470"/>
      <c r="X390" s="470"/>
      <c r="Y390" s="370">
        <f t="shared" si="7"/>
        <v>586.79999999999995</v>
      </c>
      <c r="Z390" s="371"/>
    </row>
    <row r="391" spans="1:26" x14ac:dyDescent="0.25">
      <c r="A391" s="481">
        <v>42412</v>
      </c>
      <c r="B391" s="470"/>
      <c r="C391" s="368">
        <v>42413</v>
      </c>
      <c r="F391" s="482" t="s">
        <v>697</v>
      </c>
      <c r="G391" s="470"/>
      <c r="H391" s="369" t="s">
        <v>659</v>
      </c>
      <c r="I391" s="369" t="s">
        <v>1838</v>
      </c>
      <c r="J391" s="367" t="s">
        <v>1839</v>
      </c>
      <c r="K391" s="482" t="s">
        <v>1840</v>
      </c>
      <c r="L391" s="470"/>
      <c r="M391" s="470"/>
      <c r="N391" s="369" t="s">
        <v>655</v>
      </c>
      <c r="O391" s="369" t="s">
        <v>753</v>
      </c>
      <c r="P391" s="369" t="s">
        <v>655</v>
      </c>
      <c r="Q391" s="369" t="s">
        <v>753</v>
      </c>
      <c r="R391" s="367" t="s">
        <v>1841</v>
      </c>
      <c r="S391" s="367">
        <v>4558274</v>
      </c>
      <c r="T391" s="483">
        <v>586.79999999999995</v>
      </c>
      <c r="U391" s="470"/>
      <c r="V391" s="483">
        <v>0</v>
      </c>
      <c r="W391" s="470"/>
      <c r="X391" s="470"/>
      <c r="Y391" s="370">
        <f t="shared" si="7"/>
        <v>0</v>
      </c>
      <c r="Z391" s="371"/>
    </row>
    <row r="392" spans="1:26" x14ac:dyDescent="0.25">
      <c r="A392" s="481">
        <v>42412</v>
      </c>
      <c r="B392" s="470"/>
      <c r="C392" s="368">
        <v>42413</v>
      </c>
      <c r="F392" s="482" t="s">
        <v>684</v>
      </c>
      <c r="G392" s="470"/>
      <c r="H392" s="369" t="s">
        <v>659</v>
      </c>
      <c r="I392" s="369" t="s">
        <v>1842</v>
      </c>
      <c r="J392" s="367" t="s">
        <v>1109</v>
      </c>
      <c r="K392" s="482" t="s">
        <v>738</v>
      </c>
      <c r="L392" s="470"/>
      <c r="M392" s="470"/>
      <c r="N392" s="369" t="s">
        <v>655</v>
      </c>
      <c r="O392" s="369" t="s">
        <v>753</v>
      </c>
      <c r="P392" s="369" t="s">
        <v>655</v>
      </c>
      <c r="Q392" s="369" t="s">
        <v>753</v>
      </c>
      <c r="R392" s="367" t="s">
        <v>1843</v>
      </c>
      <c r="S392" s="367">
        <v>4719486</v>
      </c>
      <c r="T392" s="483">
        <v>586.79999999999995</v>
      </c>
      <c r="U392" s="470"/>
      <c r="V392" s="483">
        <v>0</v>
      </c>
      <c r="W392" s="470"/>
      <c r="X392" s="470"/>
      <c r="Y392" s="370">
        <f t="shared" si="7"/>
        <v>0</v>
      </c>
      <c r="Z392" s="371">
        <v>2</v>
      </c>
    </row>
    <row r="393" spans="1:26" x14ac:dyDescent="0.25">
      <c r="A393" s="481">
        <v>42413</v>
      </c>
      <c r="B393" s="470"/>
      <c r="C393" s="368">
        <v>42413</v>
      </c>
      <c r="F393" s="482" t="s">
        <v>673</v>
      </c>
      <c r="G393" s="470"/>
      <c r="H393" s="369" t="s">
        <v>659</v>
      </c>
      <c r="I393" s="369" t="s">
        <v>1844</v>
      </c>
      <c r="J393" s="367" t="s">
        <v>1845</v>
      </c>
      <c r="K393" s="482" t="s">
        <v>1484</v>
      </c>
      <c r="L393" s="470"/>
      <c r="M393" s="470"/>
      <c r="N393" s="369" t="s">
        <v>655</v>
      </c>
      <c r="O393" s="369" t="s">
        <v>655</v>
      </c>
      <c r="P393" s="369" t="s">
        <v>655</v>
      </c>
      <c r="Q393" s="369" t="s">
        <v>655</v>
      </c>
      <c r="R393" s="367" t="s">
        <v>1846</v>
      </c>
      <c r="S393" s="367">
        <v>4527481</v>
      </c>
      <c r="T393" s="483">
        <v>586.79999999999995</v>
      </c>
      <c r="U393" s="470"/>
      <c r="V393" s="483">
        <v>1307.06</v>
      </c>
      <c r="W393" s="470"/>
      <c r="X393" s="470"/>
      <c r="Y393" s="370">
        <f t="shared" si="7"/>
        <v>1307.06</v>
      </c>
      <c r="Z393" s="371"/>
    </row>
    <row r="394" spans="1:26" x14ac:dyDescent="0.25">
      <c r="A394" s="481">
        <v>42415</v>
      </c>
      <c r="B394" s="470"/>
      <c r="C394" s="368">
        <v>42415</v>
      </c>
      <c r="F394" s="482" t="s">
        <v>1847</v>
      </c>
      <c r="G394" s="470"/>
      <c r="H394" s="369" t="s">
        <v>659</v>
      </c>
      <c r="I394" s="369" t="s">
        <v>1848</v>
      </c>
      <c r="J394" s="367" t="s">
        <v>1849</v>
      </c>
      <c r="K394" s="482" t="s">
        <v>1144</v>
      </c>
      <c r="L394" s="470"/>
      <c r="M394" s="470"/>
      <c r="N394" s="369" t="s">
        <v>655</v>
      </c>
      <c r="O394" s="369" t="s">
        <v>753</v>
      </c>
      <c r="P394" s="369" t="s">
        <v>655</v>
      </c>
      <c r="Q394" s="369" t="s">
        <v>655</v>
      </c>
      <c r="R394" s="367" t="s">
        <v>1850</v>
      </c>
      <c r="S394" s="367">
        <v>4558522</v>
      </c>
      <c r="T394" s="483">
        <v>586.79999999999995</v>
      </c>
      <c r="U394" s="470"/>
      <c r="V394" s="483">
        <v>0</v>
      </c>
      <c r="W394" s="470"/>
      <c r="X394" s="470"/>
      <c r="Y394" s="370">
        <f t="shared" si="7"/>
        <v>586.79999999999995</v>
      </c>
      <c r="Z394" s="371"/>
    </row>
    <row r="395" spans="1:26" x14ac:dyDescent="0.25">
      <c r="A395" s="481">
        <v>42415</v>
      </c>
      <c r="B395" s="470"/>
      <c r="C395" s="368">
        <v>42415</v>
      </c>
      <c r="F395" s="482" t="s">
        <v>1851</v>
      </c>
      <c r="G395" s="470"/>
      <c r="H395" s="369" t="s">
        <v>659</v>
      </c>
      <c r="I395" s="369" t="s">
        <v>1852</v>
      </c>
      <c r="J395" s="367" t="s">
        <v>1853</v>
      </c>
      <c r="K395" s="482" t="s">
        <v>1854</v>
      </c>
      <c r="L395" s="470"/>
      <c r="M395" s="470"/>
      <c r="N395" s="369" t="s">
        <v>655</v>
      </c>
      <c r="O395" s="369" t="s">
        <v>753</v>
      </c>
      <c r="P395" s="369" t="s">
        <v>655</v>
      </c>
      <c r="Q395" s="369" t="s">
        <v>753</v>
      </c>
      <c r="R395" s="367" t="s">
        <v>1855</v>
      </c>
      <c r="S395" s="367">
        <v>4528377</v>
      </c>
      <c r="T395" s="483">
        <v>586.79999999999995</v>
      </c>
      <c r="U395" s="470"/>
      <c r="V395" s="483">
        <v>0</v>
      </c>
      <c r="W395" s="470"/>
      <c r="X395" s="470"/>
      <c r="Y395" s="370">
        <f t="shared" si="7"/>
        <v>0</v>
      </c>
      <c r="Z395" s="371"/>
    </row>
    <row r="396" spans="1:26" x14ac:dyDescent="0.25">
      <c r="A396" s="481">
        <v>42416</v>
      </c>
      <c r="B396" s="470"/>
      <c r="C396" s="368">
        <v>42416</v>
      </c>
      <c r="F396" s="482" t="s">
        <v>1080</v>
      </c>
      <c r="G396" s="470"/>
      <c r="H396" s="369" t="s">
        <v>659</v>
      </c>
      <c r="I396" s="369" t="s">
        <v>1856</v>
      </c>
      <c r="J396" s="367" t="s">
        <v>1857</v>
      </c>
      <c r="K396" s="482" t="s">
        <v>1858</v>
      </c>
      <c r="L396" s="470"/>
      <c r="M396" s="470"/>
      <c r="N396" s="369" t="s">
        <v>1699</v>
      </c>
      <c r="O396" s="369" t="s">
        <v>655</v>
      </c>
      <c r="P396" s="369" t="s">
        <v>655</v>
      </c>
      <c r="Q396" s="369" t="s">
        <v>753</v>
      </c>
      <c r="R396" s="367" t="s">
        <v>1859</v>
      </c>
      <c r="S396" s="367">
        <v>4578970</v>
      </c>
      <c r="T396" s="483">
        <v>586.79999999999995</v>
      </c>
      <c r="U396" s="470"/>
      <c r="V396" s="483">
        <v>737.55</v>
      </c>
      <c r="W396" s="470"/>
      <c r="X396" s="470"/>
      <c r="Y396" s="370">
        <f t="shared" si="7"/>
        <v>737.55</v>
      </c>
      <c r="Z396" s="371"/>
    </row>
    <row r="397" spans="1:26" x14ac:dyDescent="0.25">
      <c r="A397" s="481">
        <v>42419</v>
      </c>
      <c r="B397" s="470"/>
      <c r="C397" s="368">
        <v>42419</v>
      </c>
      <c r="F397" s="482" t="s">
        <v>924</v>
      </c>
      <c r="G397" s="470"/>
      <c r="H397" s="369" t="s">
        <v>659</v>
      </c>
      <c r="I397" s="369" t="s">
        <v>1808</v>
      </c>
      <c r="J397" s="367" t="s">
        <v>1115</v>
      </c>
      <c r="K397" s="482" t="s">
        <v>1809</v>
      </c>
      <c r="L397" s="470"/>
      <c r="M397" s="470"/>
      <c r="N397" s="369" t="s">
        <v>655</v>
      </c>
      <c r="O397" s="369" t="s">
        <v>753</v>
      </c>
      <c r="P397" s="369" t="s">
        <v>655</v>
      </c>
      <c r="Q397" s="369" t="s">
        <v>753</v>
      </c>
      <c r="R397" s="367" t="s">
        <v>1860</v>
      </c>
      <c r="S397" s="367">
        <v>4616222</v>
      </c>
      <c r="T397" s="483">
        <v>586.79999999999995</v>
      </c>
      <c r="U397" s="470"/>
      <c r="V397" s="483">
        <v>0</v>
      </c>
      <c r="W397" s="470"/>
      <c r="X397" s="470"/>
      <c r="Y397" s="370">
        <f t="shared" si="7"/>
        <v>0</v>
      </c>
      <c r="Z397" s="371"/>
    </row>
    <row r="398" spans="1:26" x14ac:dyDescent="0.25">
      <c r="A398" s="481">
        <v>42421</v>
      </c>
      <c r="B398" s="470"/>
      <c r="C398" s="368">
        <v>42421</v>
      </c>
      <c r="F398" s="482" t="s">
        <v>673</v>
      </c>
      <c r="G398" s="470"/>
      <c r="H398" s="369" t="s">
        <v>659</v>
      </c>
      <c r="I398" s="369" t="s">
        <v>1861</v>
      </c>
      <c r="J398" s="367" t="s">
        <v>1862</v>
      </c>
      <c r="K398" s="482" t="s">
        <v>1863</v>
      </c>
      <c r="L398" s="470"/>
      <c r="M398" s="470"/>
      <c r="N398" s="369" t="s">
        <v>655</v>
      </c>
      <c r="O398" s="369" t="s">
        <v>753</v>
      </c>
      <c r="P398" s="369" t="s">
        <v>655</v>
      </c>
      <c r="Q398" s="369" t="s">
        <v>753</v>
      </c>
      <c r="R398" s="367" t="s">
        <v>1864</v>
      </c>
      <c r="S398" s="367">
        <v>4621860</v>
      </c>
      <c r="T398" s="483">
        <v>586.79999999999995</v>
      </c>
      <c r="U398" s="470"/>
      <c r="V398" s="483">
        <v>0</v>
      </c>
      <c r="W398" s="470"/>
      <c r="X398" s="470"/>
      <c r="Y398" s="370">
        <f t="shared" si="7"/>
        <v>0</v>
      </c>
      <c r="Z398" s="371"/>
    </row>
    <row r="399" spans="1:26" x14ac:dyDescent="0.25">
      <c r="A399" s="481">
        <v>42426</v>
      </c>
      <c r="B399" s="470"/>
      <c r="C399" s="368">
        <v>42426</v>
      </c>
      <c r="F399" s="482" t="s">
        <v>673</v>
      </c>
      <c r="G399" s="470"/>
      <c r="H399" s="369" t="s">
        <v>659</v>
      </c>
      <c r="I399" s="369" t="s">
        <v>1865</v>
      </c>
      <c r="J399" s="367" t="s">
        <v>1866</v>
      </c>
      <c r="K399" s="482" t="s">
        <v>1049</v>
      </c>
      <c r="L399" s="470"/>
      <c r="M399" s="470"/>
      <c r="N399" s="369" t="s">
        <v>655</v>
      </c>
      <c r="O399" s="369" t="s">
        <v>753</v>
      </c>
      <c r="P399" s="369" t="s">
        <v>655</v>
      </c>
      <c r="Q399" s="369" t="s">
        <v>655</v>
      </c>
      <c r="R399" s="367" t="s">
        <v>1867</v>
      </c>
      <c r="S399" s="367">
        <v>4646591</v>
      </c>
      <c r="T399" s="483">
        <v>586.79999999999995</v>
      </c>
      <c r="U399" s="470"/>
      <c r="V399" s="483">
        <v>1853.96</v>
      </c>
      <c r="W399" s="470"/>
      <c r="X399" s="470"/>
      <c r="Y399" s="370">
        <f t="shared" si="7"/>
        <v>1853.96</v>
      </c>
      <c r="Z399" s="371">
        <v>1</v>
      </c>
    </row>
    <row r="400" spans="1:26" x14ac:dyDescent="0.25">
      <c r="A400" s="481">
        <v>42427</v>
      </c>
      <c r="B400" s="470"/>
      <c r="C400" s="368">
        <v>42427</v>
      </c>
      <c r="F400" s="482" t="s">
        <v>673</v>
      </c>
      <c r="G400" s="470"/>
      <c r="H400" s="369" t="s">
        <v>659</v>
      </c>
      <c r="I400" s="369" t="s">
        <v>1868</v>
      </c>
      <c r="J400" s="367" t="s">
        <v>1869</v>
      </c>
      <c r="K400" s="482" t="s">
        <v>1870</v>
      </c>
      <c r="L400" s="470"/>
      <c r="M400" s="470"/>
      <c r="N400" s="369" t="s">
        <v>655</v>
      </c>
      <c r="O400" s="369" t="s">
        <v>753</v>
      </c>
      <c r="P400" s="369" t="s">
        <v>655</v>
      </c>
      <c r="Q400" s="369" t="s">
        <v>655</v>
      </c>
      <c r="R400" s="367" t="s">
        <v>1871</v>
      </c>
      <c r="S400" s="367">
        <v>4656412</v>
      </c>
      <c r="T400" s="483">
        <v>586.79999999999995</v>
      </c>
      <c r="U400" s="470"/>
      <c r="V400" s="483">
        <v>947.1</v>
      </c>
      <c r="W400" s="470"/>
      <c r="X400" s="470"/>
      <c r="Y400" s="370">
        <f t="shared" si="7"/>
        <v>947.1</v>
      </c>
      <c r="Z400" s="371"/>
    </row>
    <row r="401" spans="1:26" x14ac:dyDescent="0.25">
      <c r="A401" s="481">
        <v>42427</v>
      </c>
      <c r="B401" s="470"/>
      <c r="C401" s="368">
        <v>42427</v>
      </c>
      <c r="F401" s="482" t="s">
        <v>686</v>
      </c>
      <c r="G401" s="470"/>
      <c r="H401" s="369" t="s">
        <v>659</v>
      </c>
      <c r="I401" s="369" t="s">
        <v>1872</v>
      </c>
      <c r="J401" s="367" t="s">
        <v>1189</v>
      </c>
      <c r="K401" s="482" t="s">
        <v>676</v>
      </c>
      <c r="L401" s="470"/>
      <c r="M401" s="470"/>
      <c r="N401" s="369" t="s">
        <v>655</v>
      </c>
      <c r="O401" s="369" t="s">
        <v>655</v>
      </c>
      <c r="P401" s="369" t="s">
        <v>655</v>
      </c>
      <c r="Q401" s="369" t="s">
        <v>655</v>
      </c>
      <c r="R401" s="367" t="s">
        <v>1873</v>
      </c>
      <c r="S401" s="367">
        <v>4651382</v>
      </c>
      <c r="T401" s="483">
        <v>586.79999999999995</v>
      </c>
      <c r="U401" s="470"/>
      <c r="V401" s="483">
        <v>302.60000000000002</v>
      </c>
      <c r="W401" s="470"/>
      <c r="X401" s="470"/>
      <c r="Y401" s="370">
        <f t="shared" si="7"/>
        <v>586.79999999999995</v>
      </c>
      <c r="Z401" s="371"/>
    </row>
    <row r="402" spans="1:26" x14ac:dyDescent="0.25">
      <c r="A402" s="481">
        <v>42428</v>
      </c>
      <c r="B402" s="470"/>
      <c r="C402" s="368">
        <v>42428</v>
      </c>
      <c r="F402" s="482" t="s">
        <v>673</v>
      </c>
      <c r="G402" s="470"/>
      <c r="H402" s="369" t="s">
        <v>659</v>
      </c>
      <c r="I402" s="369" t="s">
        <v>1874</v>
      </c>
      <c r="J402" s="367" t="s">
        <v>1875</v>
      </c>
      <c r="K402" s="482" t="s">
        <v>1876</v>
      </c>
      <c r="L402" s="470"/>
      <c r="M402" s="470"/>
      <c r="N402" s="369" t="s">
        <v>655</v>
      </c>
      <c r="O402" s="369" t="s">
        <v>753</v>
      </c>
      <c r="P402" s="369" t="s">
        <v>655</v>
      </c>
      <c r="Q402" s="369" t="s">
        <v>655</v>
      </c>
      <c r="R402" s="367" t="s">
        <v>1877</v>
      </c>
      <c r="S402" s="367">
        <v>4658763</v>
      </c>
      <c r="T402" s="483">
        <v>586.79999999999995</v>
      </c>
      <c r="U402" s="470"/>
      <c r="V402" s="483">
        <v>0</v>
      </c>
      <c r="W402" s="470"/>
      <c r="X402" s="470"/>
      <c r="Y402" s="370">
        <f t="shared" si="7"/>
        <v>586.79999999999995</v>
      </c>
      <c r="Z402" s="371"/>
    </row>
    <row r="403" spans="1:26" x14ac:dyDescent="0.25">
      <c r="A403" s="481">
        <v>42429</v>
      </c>
      <c r="B403" s="470"/>
      <c r="C403" s="368">
        <v>42429</v>
      </c>
      <c r="F403" s="482" t="s">
        <v>740</v>
      </c>
      <c r="G403" s="470"/>
      <c r="H403" s="369" t="s">
        <v>659</v>
      </c>
      <c r="I403" s="369" t="s">
        <v>1878</v>
      </c>
      <c r="J403" s="367" t="s">
        <v>1879</v>
      </c>
      <c r="K403" s="482" t="s">
        <v>1449</v>
      </c>
      <c r="L403" s="470"/>
      <c r="M403" s="470"/>
      <c r="N403" s="369" t="s">
        <v>655</v>
      </c>
      <c r="O403" s="369" t="s">
        <v>753</v>
      </c>
      <c r="P403" s="369" t="s">
        <v>655</v>
      </c>
      <c r="Q403" s="369" t="s">
        <v>753</v>
      </c>
      <c r="R403" s="367" t="s">
        <v>1880</v>
      </c>
      <c r="S403" s="367">
        <v>4664081</v>
      </c>
      <c r="T403" s="483">
        <v>586.79999999999995</v>
      </c>
      <c r="U403" s="470"/>
      <c r="V403" s="483">
        <v>0</v>
      </c>
      <c r="W403" s="470"/>
      <c r="X403" s="470"/>
      <c r="Y403" s="370">
        <f t="shared" si="7"/>
        <v>0</v>
      </c>
      <c r="Z403" s="371"/>
    </row>
    <row r="404" spans="1:26" x14ac:dyDescent="0.25">
      <c r="A404" s="481">
        <v>42430</v>
      </c>
      <c r="B404" s="470"/>
      <c r="C404" s="368">
        <v>42431</v>
      </c>
      <c r="F404" s="482" t="s">
        <v>673</v>
      </c>
      <c r="G404" s="470"/>
      <c r="H404" s="369" t="s">
        <v>659</v>
      </c>
      <c r="I404" s="369" t="s">
        <v>1881</v>
      </c>
      <c r="J404" s="367" t="s">
        <v>1882</v>
      </c>
      <c r="K404" s="482" t="s">
        <v>1883</v>
      </c>
      <c r="L404" s="470"/>
      <c r="M404" s="470"/>
      <c r="N404" s="369" t="s">
        <v>655</v>
      </c>
      <c r="O404" s="369" t="s">
        <v>753</v>
      </c>
      <c r="P404" s="369" t="s">
        <v>655</v>
      </c>
      <c r="Q404" s="369" t="s">
        <v>655</v>
      </c>
      <c r="R404" s="367" t="s">
        <v>1884</v>
      </c>
      <c r="S404" s="367">
        <v>4676472</v>
      </c>
      <c r="T404" s="483">
        <v>586.79999999999995</v>
      </c>
      <c r="U404" s="470"/>
      <c r="V404" s="483">
        <v>420.11</v>
      </c>
      <c r="W404" s="470"/>
      <c r="X404" s="470"/>
      <c r="Y404" s="370">
        <f t="shared" si="7"/>
        <v>586.79999999999995</v>
      </c>
      <c r="Z404" s="371">
        <v>1</v>
      </c>
    </row>
    <row r="405" spans="1:26" x14ac:dyDescent="0.25">
      <c r="A405" s="481">
        <v>42433</v>
      </c>
      <c r="B405" s="470"/>
      <c r="C405" s="368">
        <v>42433</v>
      </c>
      <c r="F405" s="482" t="s">
        <v>777</v>
      </c>
      <c r="G405" s="470"/>
      <c r="H405" s="369" t="s">
        <v>659</v>
      </c>
      <c r="I405" s="369" t="s">
        <v>1885</v>
      </c>
      <c r="J405" s="367" t="s">
        <v>1886</v>
      </c>
      <c r="K405" s="482" t="s">
        <v>1887</v>
      </c>
      <c r="L405" s="470"/>
      <c r="M405" s="470"/>
      <c r="N405" s="369" t="s">
        <v>655</v>
      </c>
      <c r="O405" s="369" t="s">
        <v>753</v>
      </c>
      <c r="P405" s="369" t="s">
        <v>655</v>
      </c>
      <c r="Q405" s="369" t="s">
        <v>753</v>
      </c>
      <c r="R405" s="367" t="s">
        <v>1888</v>
      </c>
      <c r="S405" s="367">
        <v>4700943</v>
      </c>
      <c r="T405" s="483">
        <v>586.79999999999995</v>
      </c>
      <c r="U405" s="470"/>
      <c r="V405" s="483">
        <v>0</v>
      </c>
      <c r="W405" s="470"/>
      <c r="X405" s="470"/>
      <c r="Y405" s="370">
        <f t="shared" si="7"/>
        <v>0</v>
      </c>
      <c r="Z405" s="371"/>
    </row>
    <row r="406" spans="1:26" x14ac:dyDescent="0.25">
      <c r="A406" s="481">
        <v>42433</v>
      </c>
      <c r="B406" s="470"/>
      <c r="C406" s="368">
        <v>42434</v>
      </c>
      <c r="F406" s="482" t="s">
        <v>673</v>
      </c>
      <c r="G406" s="470"/>
      <c r="H406" s="369" t="s">
        <v>659</v>
      </c>
      <c r="I406" s="369" t="s">
        <v>1889</v>
      </c>
      <c r="J406" s="367" t="s">
        <v>1890</v>
      </c>
      <c r="K406" s="482" t="s">
        <v>1124</v>
      </c>
      <c r="L406" s="470"/>
      <c r="M406" s="470"/>
      <c r="N406" s="369" t="s">
        <v>655</v>
      </c>
      <c r="O406" s="369" t="s">
        <v>753</v>
      </c>
      <c r="P406" s="369" t="s">
        <v>655</v>
      </c>
      <c r="Q406" s="369" t="s">
        <v>655</v>
      </c>
      <c r="R406" s="367" t="s">
        <v>1891</v>
      </c>
      <c r="S406" s="367">
        <v>4700861</v>
      </c>
      <c r="T406" s="483">
        <v>586.79999999999995</v>
      </c>
      <c r="U406" s="470"/>
      <c r="V406" s="483">
        <v>1815.67</v>
      </c>
      <c r="W406" s="470"/>
      <c r="X406" s="470"/>
      <c r="Y406" s="370">
        <f t="shared" si="7"/>
        <v>1815.67</v>
      </c>
      <c r="Z406" s="371"/>
    </row>
    <row r="407" spans="1:26" x14ac:dyDescent="0.25">
      <c r="A407" s="481">
        <v>42434</v>
      </c>
      <c r="B407" s="470"/>
      <c r="C407" s="368">
        <v>42435</v>
      </c>
      <c r="F407" s="482" t="s">
        <v>697</v>
      </c>
      <c r="G407" s="470"/>
      <c r="H407" s="369" t="s">
        <v>659</v>
      </c>
      <c r="I407" s="369" t="s">
        <v>1892</v>
      </c>
      <c r="J407" s="367" t="s">
        <v>1136</v>
      </c>
      <c r="K407" s="482" t="s">
        <v>1893</v>
      </c>
      <c r="L407" s="470"/>
      <c r="M407" s="470"/>
      <c r="N407" s="369" t="s">
        <v>655</v>
      </c>
      <c r="O407" s="369" t="s">
        <v>753</v>
      </c>
      <c r="P407" s="369" t="s">
        <v>655</v>
      </c>
      <c r="Q407" s="369" t="s">
        <v>753</v>
      </c>
      <c r="R407" s="367" t="s">
        <v>1894</v>
      </c>
      <c r="S407" s="367">
        <v>4701087</v>
      </c>
      <c r="T407" s="483">
        <v>586.79999999999995</v>
      </c>
      <c r="U407" s="470"/>
      <c r="V407" s="483">
        <v>0</v>
      </c>
      <c r="W407" s="470"/>
      <c r="X407" s="470"/>
      <c r="Y407" s="370">
        <f t="shared" si="7"/>
        <v>0</v>
      </c>
      <c r="Z407" s="371"/>
    </row>
    <row r="408" spans="1:26" x14ac:dyDescent="0.25">
      <c r="A408" s="481">
        <v>42434</v>
      </c>
      <c r="B408" s="470"/>
      <c r="C408" s="368">
        <v>42435</v>
      </c>
      <c r="F408" s="482" t="s">
        <v>673</v>
      </c>
      <c r="G408" s="470"/>
      <c r="H408" s="369" t="s">
        <v>659</v>
      </c>
      <c r="I408" s="369" t="s">
        <v>1895</v>
      </c>
      <c r="J408" s="367" t="s">
        <v>1896</v>
      </c>
      <c r="K408" s="482" t="s">
        <v>1897</v>
      </c>
      <c r="L408" s="470"/>
      <c r="M408" s="470"/>
      <c r="N408" s="369" t="s">
        <v>655</v>
      </c>
      <c r="O408" s="369" t="s">
        <v>753</v>
      </c>
      <c r="P408" s="369" t="s">
        <v>655</v>
      </c>
      <c r="Q408" s="369" t="s">
        <v>655</v>
      </c>
      <c r="R408" s="367" t="s">
        <v>1898</v>
      </c>
      <c r="S408" s="367">
        <v>4701438</v>
      </c>
      <c r="T408" s="483">
        <v>586.79999999999995</v>
      </c>
      <c r="U408" s="470"/>
      <c r="V408" s="483">
        <v>397.02</v>
      </c>
      <c r="W408" s="470"/>
      <c r="X408" s="470"/>
      <c r="Y408" s="370">
        <f t="shared" si="7"/>
        <v>586.79999999999995</v>
      </c>
      <c r="Z408" s="371"/>
    </row>
    <row r="409" spans="1:26" x14ac:dyDescent="0.25">
      <c r="A409" s="481">
        <v>42434</v>
      </c>
      <c r="B409" s="470"/>
      <c r="C409" s="368">
        <v>42435</v>
      </c>
      <c r="F409" s="482" t="s">
        <v>684</v>
      </c>
      <c r="G409" s="470"/>
      <c r="H409" s="369" t="s">
        <v>659</v>
      </c>
      <c r="I409" s="369" t="s">
        <v>1899</v>
      </c>
      <c r="J409" s="367" t="s">
        <v>1900</v>
      </c>
      <c r="K409" s="482" t="s">
        <v>689</v>
      </c>
      <c r="L409" s="470"/>
      <c r="M409" s="470"/>
      <c r="N409" s="369" t="s">
        <v>655</v>
      </c>
      <c r="O409" s="369" t="s">
        <v>753</v>
      </c>
      <c r="P409" s="369" t="s">
        <v>655</v>
      </c>
      <c r="Q409" s="369" t="s">
        <v>753</v>
      </c>
      <c r="R409" s="367" t="s">
        <v>1901</v>
      </c>
      <c r="S409" s="367">
        <v>4703772</v>
      </c>
      <c r="T409" s="483">
        <v>586.79999999999995</v>
      </c>
      <c r="U409" s="470"/>
      <c r="V409" s="483">
        <v>0</v>
      </c>
      <c r="W409" s="470"/>
      <c r="X409" s="470"/>
      <c r="Y409" s="370">
        <f t="shared" si="7"/>
        <v>0</v>
      </c>
      <c r="Z409" s="371"/>
    </row>
    <row r="410" spans="1:26" x14ac:dyDescent="0.25">
      <c r="A410" s="481">
        <v>42434</v>
      </c>
      <c r="B410" s="470"/>
      <c r="C410" s="368">
        <v>42434</v>
      </c>
      <c r="F410" s="482" t="s">
        <v>673</v>
      </c>
      <c r="G410" s="470"/>
      <c r="H410" s="369" t="s">
        <v>659</v>
      </c>
      <c r="I410" s="369" t="s">
        <v>1902</v>
      </c>
      <c r="J410" s="367" t="s">
        <v>1547</v>
      </c>
      <c r="K410" s="482" t="s">
        <v>1903</v>
      </c>
      <c r="L410" s="470"/>
      <c r="M410" s="470"/>
      <c r="N410" s="369" t="s">
        <v>655</v>
      </c>
      <c r="O410" s="369" t="s">
        <v>753</v>
      </c>
      <c r="P410" s="369" t="s">
        <v>655</v>
      </c>
      <c r="Q410" s="369" t="s">
        <v>655</v>
      </c>
      <c r="R410" s="367" t="s">
        <v>1904</v>
      </c>
      <c r="S410" s="367">
        <v>4701149</v>
      </c>
      <c r="T410" s="483">
        <v>586.79999999999995</v>
      </c>
      <c r="U410" s="470"/>
      <c r="V410" s="483">
        <v>500.65</v>
      </c>
      <c r="W410" s="470"/>
      <c r="X410" s="470"/>
      <c r="Y410" s="370">
        <f t="shared" si="7"/>
        <v>586.79999999999995</v>
      </c>
      <c r="Z410" s="371"/>
    </row>
    <row r="411" spans="1:26" x14ac:dyDescent="0.25">
      <c r="A411" s="481">
        <v>42435</v>
      </c>
      <c r="B411" s="470"/>
      <c r="C411" s="368">
        <v>42436</v>
      </c>
      <c r="F411" s="482" t="s">
        <v>686</v>
      </c>
      <c r="G411" s="470"/>
      <c r="H411" s="369" t="s">
        <v>659</v>
      </c>
      <c r="I411" s="369" t="s">
        <v>1905</v>
      </c>
      <c r="J411" s="367" t="s">
        <v>1906</v>
      </c>
      <c r="K411" s="482" t="s">
        <v>1449</v>
      </c>
      <c r="L411" s="470"/>
      <c r="M411" s="470"/>
      <c r="N411" s="369" t="s">
        <v>655</v>
      </c>
      <c r="O411" s="369" t="s">
        <v>655</v>
      </c>
      <c r="P411" s="369" t="s">
        <v>655</v>
      </c>
      <c r="Q411" s="369" t="s">
        <v>655</v>
      </c>
      <c r="R411" s="367" t="s">
        <v>1907</v>
      </c>
      <c r="S411" s="367">
        <v>4699076</v>
      </c>
      <c r="T411" s="483">
        <v>586.79999999999995</v>
      </c>
      <c r="U411" s="470"/>
      <c r="V411" s="483">
        <v>371.5</v>
      </c>
      <c r="W411" s="470"/>
      <c r="X411" s="470"/>
      <c r="Y411" s="370">
        <f t="shared" si="7"/>
        <v>586.79999999999995</v>
      </c>
      <c r="Z411" s="371"/>
    </row>
    <row r="412" spans="1:26" x14ac:dyDescent="0.25">
      <c r="A412" s="481">
        <v>42435</v>
      </c>
      <c r="B412" s="470"/>
      <c r="C412" s="368">
        <v>42435</v>
      </c>
      <c r="F412" s="482" t="s">
        <v>1034</v>
      </c>
      <c r="G412" s="470"/>
      <c r="H412" s="369" t="s">
        <v>659</v>
      </c>
      <c r="I412" s="369" t="s">
        <v>1908</v>
      </c>
      <c r="J412" s="367" t="s">
        <v>828</v>
      </c>
      <c r="K412" s="482" t="s">
        <v>1909</v>
      </c>
      <c r="L412" s="470"/>
      <c r="M412" s="470"/>
      <c r="N412" s="369" t="s">
        <v>655</v>
      </c>
      <c r="O412" s="369" t="s">
        <v>655</v>
      </c>
      <c r="P412" s="369" t="s">
        <v>655</v>
      </c>
      <c r="Q412" s="369" t="s">
        <v>655</v>
      </c>
      <c r="R412" s="367" t="s">
        <v>1910</v>
      </c>
      <c r="S412" s="367">
        <v>4697304</v>
      </c>
      <c r="T412" s="483">
        <v>586.79999999999995</v>
      </c>
      <c r="U412" s="470"/>
      <c r="V412" s="483">
        <v>0</v>
      </c>
      <c r="W412" s="470"/>
      <c r="X412" s="470"/>
      <c r="Y412" s="370">
        <f t="shared" si="7"/>
        <v>586.79999999999995</v>
      </c>
      <c r="Z412" s="371"/>
    </row>
    <row r="413" spans="1:26" x14ac:dyDescent="0.25">
      <c r="A413" s="481">
        <v>42435</v>
      </c>
      <c r="B413" s="470"/>
      <c r="C413" s="368">
        <v>42436</v>
      </c>
      <c r="F413" s="482" t="s">
        <v>673</v>
      </c>
      <c r="G413" s="470"/>
      <c r="H413" s="369" t="s">
        <v>659</v>
      </c>
      <c r="I413" s="369" t="s">
        <v>1911</v>
      </c>
      <c r="J413" s="367" t="s">
        <v>1912</v>
      </c>
      <c r="K413" s="482" t="s">
        <v>1622</v>
      </c>
      <c r="L413" s="470"/>
      <c r="M413" s="470"/>
      <c r="N413" s="369" t="s">
        <v>655</v>
      </c>
      <c r="O413" s="369" t="s">
        <v>753</v>
      </c>
      <c r="P413" s="369" t="s">
        <v>655</v>
      </c>
      <c r="Q413" s="369" t="s">
        <v>655</v>
      </c>
      <c r="R413" s="367" t="s">
        <v>1913</v>
      </c>
      <c r="S413" s="367">
        <v>4704533</v>
      </c>
      <c r="T413" s="483">
        <v>586.79999999999995</v>
      </c>
      <c r="U413" s="470"/>
      <c r="V413" s="483">
        <v>1379.35</v>
      </c>
      <c r="W413" s="470"/>
      <c r="X413" s="470"/>
      <c r="Y413" s="370">
        <f t="shared" si="7"/>
        <v>1379.35</v>
      </c>
      <c r="Z413" s="371"/>
    </row>
    <row r="414" spans="1:26" x14ac:dyDescent="0.25">
      <c r="A414" s="481">
        <v>42436</v>
      </c>
      <c r="B414" s="470"/>
      <c r="C414" s="368">
        <v>42436</v>
      </c>
      <c r="F414" s="482" t="s">
        <v>697</v>
      </c>
      <c r="G414" s="470"/>
      <c r="H414" s="369" t="s">
        <v>659</v>
      </c>
      <c r="I414" s="369" t="s">
        <v>1914</v>
      </c>
      <c r="J414" s="367" t="s">
        <v>1148</v>
      </c>
      <c r="K414" s="482" t="s">
        <v>1915</v>
      </c>
      <c r="L414" s="470"/>
      <c r="M414" s="470"/>
      <c r="N414" s="369" t="s">
        <v>655</v>
      </c>
      <c r="O414" s="369" t="s">
        <v>753</v>
      </c>
      <c r="P414" s="369" t="s">
        <v>655</v>
      </c>
      <c r="Q414" s="369" t="s">
        <v>753</v>
      </c>
      <c r="R414" s="367" t="s">
        <v>1916</v>
      </c>
      <c r="S414" s="367">
        <v>4717860</v>
      </c>
      <c r="T414" s="483">
        <v>586.79999999999995</v>
      </c>
      <c r="U414" s="470"/>
      <c r="V414" s="483">
        <v>0</v>
      </c>
      <c r="W414" s="470"/>
      <c r="X414" s="470"/>
      <c r="Y414" s="370">
        <f t="shared" si="7"/>
        <v>0</v>
      </c>
      <c r="Z414" s="371"/>
    </row>
    <row r="415" spans="1:26" x14ac:dyDescent="0.25">
      <c r="A415" s="481">
        <v>42436</v>
      </c>
      <c r="B415" s="470"/>
      <c r="C415" s="368">
        <v>42436</v>
      </c>
      <c r="F415" s="482" t="s">
        <v>673</v>
      </c>
      <c r="G415" s="470"/>
      <c r="H415" s="369" t="s">
        <v>659</v>
      </c>
      <c r="I415" s="369" t="s">
        <v>1917</v>
      </c>
      <c r="J415" s="367" t="s">
        <v>1918</v>
      </c>
      <c r="K415" s="482" t="s">
        <v>1919</v>
      </c>
      <c r="L415" s="470"/>
      <c r="M415" s="470"/>
      <c r="N415" s="369" t="s">
        <v>655</v>
      </c>
      <c r="O415" s="369" t="s">
        <v>753</v>
      </c>
      <c r="P415" s="369" t="s">
        <v>655</v>
      </c>
      <c r="Q415" s="369" t="s">
        <v>655</v>
      </c>
      <c r="R415" s="367" t="s">
        <v>1920</v>
      </c>
      <c r="S415" s="367">
        <v>4704647</v>
      </c>
      <c r="T415" s="483">
        <v>586.79999999999995</v>
      </c>
      <c r="U415" s="470"/>
      <c r="V415" s="483">
        <v>152.69999999999999</v>
      </c>
      <c r="W415" s="470"/>
      <c r="X415" s="470"/>
      <c r="Y415" s="370">
        <f t="shared" si="7"/>
        <v>586.79999999999995</v>
      </c>
      <c r="Z415" s="371"/>
    </row>
    <row r="416" spans="1:26" x14ac:dyDescent="0.25">
      <c r="A416" s="481">
        <v>42438</v>
      </c>
      <c r="B416" s="470"/>
      <c r="C416" s="368">
        <v>42439</v>
      </c>
      <c r="F416" s="482" t="s">
        <v>673</v>
      </c>
      <c r="G416" s="470"/>
      <c r="H416" s="369" t="s">
        <v>659</v>
      </c>
      <c r="I416" s="369" t="s">
        <v>1921</v>
      </c>
      <c r="J416" s="367" t="s">
        <v>1922</v>
      </c>
      <c r="K416" s="482" t="s">
        <v>1923</v>
      </c>
      <c r="L416" s="470"/>
      <c r="M416" s="470"/>
      <c r="N416" s="369" t="s">
        <v>655</v>
      </c>
      <c r="O416" s="369" t="s">
        <v>753</v>
      </c>
      <c r="P416" s="369" t="s">
        <v>655</v>
      </c>
      <c r="Q416" s="369" t="s">
        <v>655</v>
      </c>
      <c r="R416" s="367" t="s">
        <v>1924</v>
      </c>
      <c r="S416" s="367">
        <v>4726180</v>
      </c>
      <c r="T416" s="483">
        <v>586.79999999999995</v>
      </c>
      <c r="U416" s="470"/>
      <c r="V416" s="483">
        <v>152.69999999999999</v>
      </c>
      <c r="W416" s="470"/>
      <c r="X416" s="470"/>
      <c r="Y416" s="370">
        <f t="shared" si="7"/>
        <v>586.79999999999995</v>
      </c>
      <c r="Z416" s="371"/>
    </row>
    <row r="417" spans="1:26" x14ac:dyDescent="0.25">
      <c r="A417" s="481">
        <v>42439</v>
      </c>
      <c r="B417" s="470"/>
      <c r="C417" s="368">
        <v>42440</v>
      </c>
      <c r="F417" s="482" t="s">
        <v>673</v>
      </c>
      <c r="G417" s="470"/>
      <c r="H417" s="369" t="s">
        <v>659</v>
      </c>
      <c r="I417" s="369" t="s">
        <v>1925</v>
      </c>
      <c r="J417" s="367" t="s">
        <v>1926</v>
      </c>
      <c r="K417" s="482" t="s">
        <v>1927</v>
      </c>
      <c r="L417" s="470"/>
      <c r="M417" s="470"/>
      <c r="N417" s="369" t="s">
        <v>655</v>
      </c>
      <c r="O417" s="369" t="s">
        <v>753</v>
      </c>
      <c r="P417" s="369" t="s">
        <v>655</v>
      </c>
      <c r="Q417" s="369" t="s">
        <v>753</v>
      </c>
      <c r="R417" s="367" t="s">
        <v>1928</v>
      </c>
      <c r="S417" s="367">
        <v>4731774</v>
      </c>
      <c r="T417" s="483">
        <v>586.79999999999995</v>
      </c>
      <c r="U417" s="470"/>
      <c r="V417" s="483">
        <v>0</v>
      </c>
      <c r="W417" s="470"/>
      <c r="X417" s="470"/>
      <c r="Y417" s="370">
        <f t="shared" si="7"/>
        <v>0</v>
      </c>
      <c r="Z417" s="371">
        <v>17</v>
      </c>
    </row>
    <row r="418" spans="1:26" x14ac:dyDescent="0.25">
      <c r="A418" s="481">
        <v>42439</v>
      </c>
      <c r="B418" s="470"/>
      <c r="C418" s="368">
        <v>42440</v>
      </c>
      <c r="F418" s="482" t="s">
        <v>745</v>
      </c>
      <c r="G418" s="470"/>
      <c r="H418" s="369" t="s">
        <v>659</v>
      </c>
      <c r="I418" s="369" t="s">
        <v>1929</v>
      </c>
      <c r="J418" s="367" t="s">
        <v>1115</v>
      </c>
      <c r="K418" s="482" t="s">
        <v>1930</v>
      </c>
      <c r="L418" s="470"/>
      <c r="M418" s="470"/>
      <c r="N418" s="369" t="s">
        <v>655</v>
      </c>
      <c r="O418" s="369" t="s">
        <v>655</v>
      </c>
      <c r="P418" s="369" t="s">
        <v>655</v>
      </c>
      <c r="Q418" s="369" t="s">
        <v>655</v>
      </c>
      <c r="R418" s="367" t="s">
        <v>1931</v>
      </c>
      <c r="S418" s="367">
        <v>4727059</v>
      </c>
      <c r="T418" s="483">
        <v>586.79999999999995</v>
      </c>
      <c r="U418" s="470"/>
      <c r="V418" s="483">
        <v>1198.4000000000001</v>
      </c>
      <c r="W418" s="470"/>
      <c r="X418" s="470"/>
      <c r="Y418" s="370">
        <f t="shared" si="7"/>
        <v>1198.4000000000001</v>
      </c>
      <c r="Z418" s="371"/>
    </row>
    <row r="419" spans="1:26" x14ac:dyDescent="0.25">
      <c r="A419" s="481">
        <v>42441</v>
      </c>
      <c r="B419" s="470"/>
      <c r="C419" s="368">
        <v>42442</v>
      </c>
      <c r="F419" s="482" t="s">
        <v>777</v>
      </c>
      <c r="G419" s="470"/>
      <c r="H419" s="369" t="s">
        <v>659</v>
      </c>
      <c r="I419" s="369" t="s">
        <v>1932</v>
      </c>
      <c r="J419" s="367" t="s">
        <v>1933</v>
      </c>
      <c r="K419" s="482" t="s">
        <v>1353</v>
      </c>
      <c r="L419" s="470"/>
      <c r="M419" s="470"/>
      <c r="N419" s="369" t="s">
        <v>655</v>
      </c>
      <c r="O419" s="369" t="s">
        <v>753</v>
      </c>
      <c r="P419" s="369" t="s">
        <v>655</v>
      </c>
      <c r="Q419" s="369" t="s">
        <v>753</v>
      </c>
      <c r="R419" s="367" t="s">
        <v>1934</v>
      </c>
      <c r="S419" s="367">
        <v>4773663</v>
      </c>
      <c r="T419" s="483">
        <v>586.79999999999995</v>
      </c>
      <c r="U419" s="470"/>
      <c r="V419" s="483">
        <v>0</v>
      </c>
      <c r="W419" s="470"/>
      <c r="X419" s="470"/>
      <c r="Y419" s="370">
        <f t="shared" si="7"/>
        <v>0</v>
      </c>
      <c r="Z419" s="371"/>
    </row>
    <row r="420" spans="1:26" x14ac:dyDescent="0.25">
      <c r="A420" s="481">
        <v>42441</v>
      </c>
      <c r="B420" s="470"/>
      <c r="C420" s="368">
        <v>42442</v>
      </c>
      <c r="F420" s="482" t="s">
        <v>673</v>
      </c>
      <c r="G420" s="470"/>
      <c r="H420" s="369" t="s">
        <v>659</v>
      </c>
      <c r="I420" s="369" t="s">
        <v>1935</v>
      </c>
      <c r="J420" s="367" t="s">
        <v>1936</v>
      </c>
      <c r="K420" s="482" t="s">
        <v>795</v>
      </c>
      <c r="L420" s="470"/>
      <c r="M420" s="470"/>
      <c r="N420" s="369" t="s">
        <v>655</v>
      </c>
      <c r="O420" s="369" t="s">
        <v>753</v>
      </c>
      <c r="P420" s="369" t="s">
        <v>655</v>
      </c>
      <c r="Q420" s="369" t="s">
        <v>655</v>
      </c>
      <c r="R420" s="367" t="s">
        <v>1937</v>
      </c>
      <c r="S420" s="367">
        <v>4773519</v>
      </c>
      <c r="T420" s="483">
        <v>586.79999999999995</v>
      </c>
      <c r="U420" s="470"/>
      <c r="V420" s="483">
        <v>802.06</v>
      </c>
      <c r="W420" s="470"/>
      <c r="X420" s="470"/>
      <c r="Y420" s="370">
        <f t="shared" si="7"/>
        <v>802.06</v>
      </c>
      <c r="Z420" s="371">
        <v>1</v>
      </c>
    </row>
    <row r="421" spans="1:26" x14ac:dyDescent="0.25">
      <c r="A421" s="481">
        <v>42441</v>
      </c>
      <c r="B421" s="470"/>
      <c r="C421" s="368">
        <v>42441</v>
      </c>
      <c r="F421" s="482" t="s">
        <v>673</v>
      </c>
      <c r="G421" s="470"/>
      <c r="H421" s="369" t="s">
        <v>659</v>
      </c>
      <c r="I421" s="369" t="s">
        <v>1938</v>
      </c>
      <c r="J421" s="367" t="s">
        <v>1939</v>
      </c>
      <c r="K421" s="482" t="s">
        <v>1940</v>
      </c>
      <c r="L421" s="470"/>
      <c r="M421" s="470"/>
      <c r="N421" s="369" t="s">
        <v>655</v>
      </c>
      <c r="O421" s="369" t="s">
        <v>753</v>
      </c>
      <c r="P421" s="369" t="s">
        <v>655</v>
      </c>
      <c r="Q421" s="369" t="s">
        <v>655</v>
      </c>
      <c r="R421" s="367" t="s">
        <v>1941</v>
      </c>
      <c r="S421" s="367">
        <v>4770795</v>
      </c>
      <c r="T421" s="483">
        <v>586.79999999999995</v>
      </c>
      <c r="U421" s="470"/>
      <c r="V421" s="483">
        <v>500.76</v>
      </c>
      <c r="W421" s="470"/>
      <c r="X421" s="470"/>
      <c r="Y421" s="370">
        <f t="shared" si="7"/>
        <v>586.79999999999995</v>
      </c>
      <c r="Z421" s="371"/>
    </row>
    <row r="422" spans="1:26" x14ac:dyDescent="0.25">
      <c r="A422" s="481">
        <v>42441</v>
      </c>
      <c r="B422" s="470"/>
      <c r="C422" s="368">
        <v>42442</v>
      </c>
      <c r="F422" s="482" t="s">
        <v>777</v>
      </c>
      <c r="G422" s="470"/>
      <c r="H422" s="369" t="s">
        <v>659</v>
      </c>
      <c r="I422" s="369" t="s">
        <v>1942</v>
      </c>
      <c r="J422" s="367" t="s">
        <v>1467</v>
      </c>
      <c r="K422" s="482" t="s">
        <v>1406</v>
      </c>
      <c r="L422" s="470"/>
      <c r="M422" s="470"/>
      <c r="N422" s="369" t="s">
        <v>655</v>
      </c>
      <c r="O422" s="369" t="s">
        <v>753</v>
      </c>
      <c r="P422" s="369" t="s">
        <v>655</v>
      </c>
      <c r="Q422" s="369" t="s">
        <v>753</v>
      </c>
      <c r="R422" s="367" t="s">
        <v>1943</v>
      </c>
      <c r="S422" s="367">
        <v>4773619</v>
      </c>
      <c r="T422" s="483">
        <v>586.79999999999995</v>
      </c>
      <c r="U422" s="470"/>
      <c r="V422" s="483">
        <v>0</v>
      </c>
      <c r="W422" s="470"/>
      <c r="X422" s="470"/>
      <c r="Y422" s="370">
        <f t="shared" si="7"/>
        <v>0</v>
      </c>
      <c r="Z422" s="371"/>
    </row>
    <row r="423" spans="1:26" ht="22.5" x14ac:dyDescent="0.25">
      <c r="A423" s="481">
        <v>42442</v>
      </c>
      <c r="B423" s="470"/>
      <c r="C423" s="368">
        <v>42443</v>
      </c>
      <c r="F423" s="482" t="s">
        <v>924</v>
      </c>
      <c r="G423" s="470"/>
      <c r="H423" s="369" t="s">
        <v>659</v>
      </c>
      <c r="I423" s="369" t="s">
        <v>1944</v>
      </c>
      <c r="J423" s="367" t="s">
        <v>1945</v>
      </c>
      <c r="K423" s="482" t="s">
        <v>1473</v>
      </c>
      <c r="L423" s="470"/>
      <c r="M423" s="470"/>
      <c r="N423" s="369" t="s">
        <v>655</v>
      </c>
      <c r="O423" s="369" t="s">
        <v>753</v>
      </c>
      <c r="P423" s="369" t="s">
        <v>655</v>
      </c>
      <c r="Q423" s="369" t="s">
        <v>753</v>
      </c>
      <c r="R423" s="367" t="s">
        <v>1946</v>
      </c>
      <c r="S423" s="367">
        <v>4773777</v>
      </c>
      <c r="T423" s="483">
        <v>586.79999999999995</v>
      </c>
      <c r="U423" s="470"/>
      <c r="V423" s="483">
        <v>0</v>
      </c>
      <c r="W423" s="470"/>
      <c r="X423" s="470"/>
      <c r="Y423" s="370">
        <f t="shared" si="7"/>
        <v>0</v>
      </c>
      <c r="Z423" s="371"/>
    </row>
    <row r="424" spans="1:26" ht="22.5" x14ac:dyDescent="0.25">
      <c r="A424" s="481">
        <v>42442</v>
      </c>
      <c r="B424" s="470"/>
      <c r="C424" s="368">
        <v>42443</v>
      </c>
      <c r="F424" s="482" t="s">
        <v>697</v>
      </c>
      <c r="G424" s="470"/>
      <c r="H424" s="369" t="s">
        <v>659</v>
      </c>
      <c r="I424" s="369" t="s">
        <v>1947</v>
      </c>
      <c r="J424" s="367" t="s">
        <v>1948</v>
      </c>
      <c r="K424" s="482" t="s">
        <v>1949</v>
      </c>
      <c r="L424" s="470"/>
      <c r="M424" s="470"/>
      <c r="N424" s="369" t="s">
        <v>655</v>
      </c>
      <c r="O424" s="369" t="s">
        <v>753</v>
      </c>
      <c r="P424" s="369" t="s">
        <v>655</v>
      </c>
      <c r="Q424" s="369" t="s">
        <v>753</v>
      </c>
      <c r="R424" s="367" t="s">
        <v>1950</v>
      </c>
      <c r="S424" s="367">
        <v>4773301</v>
      </c>
      <c r="T424" s="483">
        <v>586.79999999999995</v>
      </c>
      <c r="U424" s="470"/>
      <c r="V424" s="483">
        <v>0</v>
      </c>
      <c r="W424" s="470"/>
      <c r="X424" s="470"/>
      <c r="Y424" s="370">
        <f t="shared" si="7"/>
        <v>0</v>
      </c>
      <c r="Z424" s="371"/>
    </row>
    <row r="425" spans="1:26" x14ac:dyDescent="0.25">
      <c r="A425" s="481">
        <v>42443</v>
      </c>
      <c r="B425" s="470"/>
      <c r="C425" s="368">
        <v>42443</v>
      </c>
      <c r="F425" s="482" t="s">
        <v>673</v>
      </c>
      <c r="G425" s="470"/>
      <c r="H425" s="369" t="s">
        <v>659</v>
      </c>
      <c r="I425" s="369" t="s">
        <v>1951</v>
      </c>
      <c r="J425" s="367" t="s">
        <v>1487</v>
      </c>
      <c r="K425" s="482" t="s">
        <v>1952</v>
      </c>
      <c r="L425" s="470"/>
      <c r="M425" s="470"/>
      <c r="N425" s="369" t="s">
        <v>655</v>
      </c>
      <c r="O425" s="369" t="s">
        <v>753</v>
      </c>
      <c r="P425" s="369" t="s">
        <v>655</v>
      </c>
      <c r="Q425" s="369" t="s">
        <v>655</v>
      </c>
      <c r="R425" s="367" t="s">
        <v>1953</v>
      </c>
      <c r="S425" s="367">
        <v>4770713</v>
      </c>
      <c r="T425" s="483">
        <v>586.79999999999995</v>
      </c>
      <c r="U425" s="470"/>
      <c r="V425" s="483">
        <v>2370.56</v>
      </c>
      <c r="W425" s="470"/>
      <c r="X425" s="470"/>
      <c r="Y425" s="370">
        <f t="shared" si="7"/>
        <v>2370.56</v>
      </c>
      <c r="Z425" s="371">
        <v>2</v>
      </c>
    </row>
    <row r="426" spans="1:26" x14ac:dyDescent="0.25">
      <c r="A426" s="481">
        <v>42443</v>
      </c>
      <c r="B426" s="470"/>
      <c r="C426" s="368">
        <v>42443</v>
      </c>
      <c r="F426" s="482" t="s">
        <v>673</v>
      </c>
      <c r="G426" s="470"/>
      <c r="H426" s="369" t="s">
        <v>659</v>
      </c>
      <c r="I426" s="369" t="s">
        <v>1954</v>
      </c>
      <c r="J426" s="367" t="s">
        <v>1955</v>
      </c>
      <c r="K426" s="482" t="s">
        <v>1791</v>
      </c>
      <c r="L426" s="470"/>
      <c r="M426" s="470"/>
      <c r="N426" s="369" t="s">
        <v>655</v>
      </c>
      <c r="O426" s="369" t="s">
        <v>753</v>
      </c>
      <c r="P426" s="369" t="s">
        <v>655</v>
      </c>
      <c r="Q426" s="369" t="s">
        <v>655</v>
      </c>
      <c r="R426" s="367" t="s">
        <v>1956</v>
      </c>
      <c r="S426" s="367">
        <v>4770602</v>
      </c>
      <c r="T426" s="483">
        <v>586.79999999999995</v>
      </c>
      <c r="U426" s="470"/>
      <c r="V426" s="483">
        <v>278.72000000000003</v>
      </c>
      <c r="W426" s="470"/>
      <c r="X426" s="470"/>
      <c r="Y426" s="370">
        <f t="shared" si="7"/>
        <v>586.79999999999995</v>
      </c>
      <c r="Z426" s="371"/>
    </row>
    <row r="427" spans="1:26" x14ac:dyDescent="0.25">
      <c r="A427" s="481">
        <v>42444</v>
      </c>
      <c r="B427" s="470"/>
      <c r="C427" s="368">
        <v>42444</v>
      </c>
      <c r="F427" s="482" t="s">
        <v>1034</v>
      </c>
      <c r="G427" s="470"/>
      <c r="H427" s="369" t="s">
        <v>659</v>
      </c>
      <c r="I427" s="369" t="s">
        <v>1957</v>
      </c>
      <c r="J427" s="367" t="s">
        <v>1377</v>
      </c>
      <c r="K427" s="482" t="s">
        <v>1958</v>
      </c>
      <c r="L427" s="470"/>
      <c r="M427" s="470"/>
      <c r="N427" s="369" t="s">
        <v>655</v>
      </c>
      <c r="O427" s="369" t="s">
        <v>655</v>
      </c>
      <c r="P427" s="369" t="s">
        <v>655</v>
      </c>
      <c r="Q427" s="369" t="s">
        <v>655</v>
      </c>
      <c r="R427" s="367" t="s">
        <v>1959</v>
      </c>
      <c r="S427" s="367">
        <v>4751344</v>
      </c>
      <c r="T427" s="483">
        <v>586.79999999999995</v>
      </c>
      <c r="U427" s="470"/>
      <c r="V427" s="483">
        <v>0</v>
      </c>
      <c r="W427" s="470"/>
      <c r="X427" s="470"/>
      <c r="Y427" s="370">
        <f t="shared" si="7"/>
        <v>586.79999999999995</v>
      </c>
      <c r="Z427" s="371"/>
    </row>
    <row r="428" spans="1:26" x14ac:dyDescent="0.25">
      <c r="A428" s="481">
        <v>42445</v>
      </c>
      <c r="B428" s="470"/>
      <c r="C428" s="368">
        <v>42448</v>
      </c>
      <c r="F428" s="482" t="s">
        <v>1034</v>
      </c>
      <c r="G428" s="470"/>
      <c r="H428" s="369" t="s">
        <v>659</v>
      </c>
      <c r="I428" s="369" t="s">
        <v>765</v>
      </c>
      <c r="J428" s="367" t="s">
        <v>766</v>
      </c>
      <c r="K428" s="482" t="s">
        <v>767</v>
      </c>
      <c r="L428" s="470"/>
      <c r="M428" s="470"/>
      <c r="N428" s="369" t="s">
        <v>655</v>
      </c>
      <c r="O428" s="369" t="s">
        <v>655</v>
      </c>
      <c r="P428" s="369" t="s">
        <v>655</v>
      </c>
      <c r="Q428" s="369" t="s">
        <v>655</v>
      </c>
      <c r="R428" s="367" t="s">
        <v>1960</v>
      </c>
      <c r="S428" s="367">
        <v>4761334</v>
      </c>
      <c r="T428" s="483">
        <v>586.79999999999995</v>
      </c>
      <c r="U428" s="470"/>
      <c r="V428" s="483">
        <v>0</v>
      </c>
      <c r="W428" s="470"/>
      <c r="X428" s="470"/>
      <c r="Y428" s="370">
        <f t="shared" si="7"/>
        <v>586.79999999999995</v>
      </c>
      <c r="Z428" s="371"/>
    </row>
    <row r="429" spans="1:26" x14ac:dyDescent="0.25">
      <c r="A429" s="481">
        <v>42446</v>
      </c>
      <c r="B429" s="470"/>
      <c r="C429" s="368">
        <v>42447</v>
      </c>
      <c r="F429" s="482" t="s">
        <v>899</v>
      </c>
      <c r="G429" s="470"/>
      <c r="H429" s="369" t="s">
        <v>659</v>
      </c>
      <c r="I429" s="369" t="s">
        <v>1961</v>
      </c>
      <c r="J429" s="367" t="s">
        <v>1173</v>
      </c>
      <c r="K429" s="482" t="s">
        <v>1962</v>
      </c>
      <c r="L429" s="470"/>
      <c r="M429" s="470"/>
      <c r="N429" s="369" t="s">
        <v>655</v>
      </c>
      <c r="O429" s="369" t="s">
        <v>753</v>
      </c>
      <c r="P429" s="369" t="s">
        <v>655</v>
      </c>
      <c r="Q429" s="369" t="s">
        <v>753</v>
      </c>
      <c r="R429" s="367" t="s">
        <v>1963</v>
      </c>
      <c r="S429" s="367">
        <v>4784786</v>
      </c>
      <c r="T429" s="483">
        <v>586.79999999999995</v>
      </c>
      <c r="U429" s="470"/>
      <c r="V429" s="483">
        <v>0</v>
      </c>
      <c r="W429" s="470"/>
      <c r="X429" s="470"/>
      <c r="Y429" s="370">
        <f t="shared" si="7"/>
        <v>0</v>
      </c>
      <c r="Z429" s="371"/>
    </row>
    <row r="430" spans="1:26" x14ac:dyDescent="0.25">
      <c r="A430" s="481">
        <v>42446</v>
      </c>
      <c r="B430" s="470"/>
      <c r="C430" s="368">
        <v>42446</v>
      </c>
      <c r="F430" s="482" t="s">
        <v>673</v>
      </c>
      <c r="G430" s="470"/>
      <c r="H430" s="369" t="s">
        <v>659</v>
      </c>
      <c r="I430" s="369" t="s">
        <v>750</v>
      </c>
      <c r="J430" s="367" t="s">
        <v>751</v>
      </c>
      <c r="K430" s="482" t="s">
        <v>752</v>
      </c>
      <c r="L430" s="470"/>
      <c r="M430" s="470"/>
      <c r="N430" s="369" t="s">
        <v>655</v>
      </c>
      <c r="O430" s="369" t="s">
        <v>753</v>
      </c>
      <c r="P430" s="369" t="s">
        <v>655</v>
      </c>
      <c r="Q430" s="369" t="s">
        <v>655</v>
      </c>
      <c r="R430" s="367" t="s">
        <v>754</v>
      </c>
      <c r="S430" s="367">
        <v>4767994</v>
      </c>
      <c r="T430" s="483">
        <v>586.79999999999995</v>
      </c>
      <c r="U430" s="470"/>
      <c r="V430" s="483">
        <v>39.03</v>
      </c>
      <c r="W430" s="470"/>
      <c r="X430" s="470"/>
      <c r="Y430" s="370">
        <f t="shared" si="7"/>
        <v>586.79999999999995</v>
      </c>
      <c r="Z430" s="371"/>
    </row>
    <row r="431" spans="1:26" x14ac:dyDescent="0.25">
      <c r="A431" s="481">
        <v>42452</v>
      </c>
      <c r="B431" s="470"/>
      <c r="C431" s="368">
        <v>42453</v>
      </c>
      <c r="F431" s="482" t="s">
        <v>697</v>
      </c>
      <c r="G431" s="470"/>
      <c r="H431" s="369" t="s">
        <v>659</v>
      </c>
      <c r="I431" s="369" t="s">
        <v>1964</v>
      </c>
      <c r="J431" s="367" t="s">
        <v>1965</v>
      </c>
      <c r="K431" s="482" t="s">
        <v>1966</v>
      </c>
      <c r="L431" s="470"/>
      <c r="M431" s="470"/>
      <c r="N431" s="369" t="s">
        <v>655</v>
      </c>
      <c r="O431" s="369" t="s">
        <v>753</v>
      </c>
      <c r="P431" s="369" t="s">
        <v>655</v>
      </c>
      <c r="Q431" s="369" t="s">
        <v>753</v>
      </c>
      <c r="R431" s="367" t="s">
        <v>1967</v>
      </c>
      <c r="S431" s="367">
        <v>4808166</v>
      </c>
      <c r="T431" s="483">
        <v>586.79999999999995</v>
      </c>
      <c r="U431" s="470"/>
      <c r="V431" s="483">
        <v>0</v>
      </c>
      <c r="W431" s="470"/>
      <c r="X431" s="470"/>
      <c r="Y431" s="370">
        <f t="shared" si="7"/>
        <v>0</v>
      </c>
      <c r="Z431" s="371"/>
    </row>
    <row r="432" spans="1:26" x14ac:dyDescent="0.25">
      <c r="A432" s="481">
        <v>42452</v>
      </c>
      <c r="B432" s="470"/>
      <c r="C432" s="368">
        <v>42453</v>
      </c>
      <c r="F432" s="482" t="s">
        <v>673</v>
      </c>
      <c r="G432" s="470"/>
      <c r="H432" s="369" t="s">
        <v>659</v>
      </c>
      <c r="I432" s="369" t="s">
        <v>1968</v>
      </c>
      <c r="J432" s="367" t="s">
        <v>1969</v>
      </c>
      <c r="K432" s="482" t="s">
        <v>1970</v>
      </c>
      <c r="L432" s="470"/>
      <c r="M432" s="470"/>
      <c r="N432" s="369" t="s">
        <v>655</v>
      </c>
      <c r="O432" s="369" t="s">
        <v>753</v>
      </c>
      <c r="P432" s="369" t="s">
        <v>655</v>
      </c>
      <c r="Q432" s="369" t="s">
        <v>753</v>
      </c>
      <c r="R432" s="367" t="s">
        <v>1971</v>
      </c>
      <c r="S432" s="367">
        <v>4836221</v>
      </c>
      <c r="T432" s="483">
        <v>586.79999999999995</v>
      </c>
      <c r="U432" s="470"/>
      <c r="V432" s="483">
        <v>0</v>
      </c>
      <c r="W432" s="470"/>
      <c r="X432" s="470"/>
      <c r="Y432" s="370">
        <f t="shared" si="7"/>
        <v>0</v>
      </c>
      <c r="Z432" s="371">
        <v>1</v>
      </c>
    </row>
    <row r="433" spans="1:26" x14ac:dyDescent="0.25">
      <c r="A433" s="481">
        <v>42452</v>
      </c>
      <c r="B433" s="470"/>
      <c r="C433" s="368">
        <v>42452</v>
      </c>
      <c r="F433" s="482" t="s">
        <v>673</v>
      </c>
      <c r="G433" s="470"/>
      <c r="H433" s="369" t="s">
        <v>659</v>
      </c>
      <c r="I433" s="369" t="s">
        <v>1972</v>
      </c>
      <c r="J433" s="367" t="s">
        <v>1973</v>
      </c>
      <c r="K433" s="482" t="s">
        <v>1974</v>
      </c>
      <c r="L433" s="470"/>
      <c r="M433" s="470"/>
      <c r="N433" s="369" t="s">
        <v>655</v>
      </c>
      <c r="O433" s="369" t="s">
        <v>753</v>
      </c>
      <c r="P433" s="369" t="s">
        <v>655</v>
      </c>
      <c r="Q433" s="369" t="s">
        <v>655</v>
      </c>
      <c r="R433" s="367" t="s">
        <v>1975</v>
      </c>
      <c r="S433" s="367">
        <v>4807971</v>
      </c>
      <c r="T433" s="483">
        <v>586.79999999999995</v>
      </c>
      <c r="U433" s="470"/>
      <c r="V433" s="483">
        <v>306.31</v>
      </c>
      <c r="W433" s="470"/>
      <c r="X433" s="470"/>
      <c r="Y433" s="370">
        <f t="shared" si="7"/>
        <v>586.79999999999995</v>
      </c>
      <c r="Z433" s="371"/>
    </row>
    <row r="434" spans="1:26" x14ac:dyDescent="0.25">
      <c r="A434" s="481">
        <v>42452</v>
      </c>
      <c r="B434" s="470"/>
      <c r="C434" s="368">
        <v>42453</v>
      </c>
      <c r="F434" s="482" t="s">
        <v>673</v>
      </c>
      <c r="G434" s="470"/>
      <c r="H434" s="369" t="s">
        <v>659</v>
      </c>
      <c r="I434" s="369" t="s">
        <v>1976</v>
      </c>
      <c r="J434" s="367" t="s">
        <v>1008</v>
      </c>
      <c r="K434" s="482" t="s">
        <v>1977</v>
      </c>
      <c r="L434" s="470"/>
      <c r="M434" s="470"/>
      <c r="N434" s="369" t="s">
        <v>655</v>
      </c>
      <c r="O434" s="369" t="s">
        <v>753</v>
      </c>
      <c r="P434" s="369" t="s">
        <v>655</v>
      </c>
      <c r="Q434" s="369" t="s">
        <v>753</v>
      </c>
      <c r="R434" s="367" t="s">
        <v>1978</v>
      </c>
      <c r="S434" s="367">
        <v>4808221</v>
      </c>
      <c r="T434" s="483">
        <v>586.79999999999995</v>
      </c>
      <c r="U434" s="470"/>
      <c r="V434" s="483">
        <v>6.68</v>
      </c>
      <c r="W434" s="470"/>
      <c r="X434" s="470"/>
      <c r="Y434" s="370">
        <f t="shared" si="7"/>
        <v>6.68</v>
      </c>
      <c r="Z434" s="371">
        <v>2</v>
      </c>
    </row>
    <row r="435" spans="1:26" x14ac:dyDescent="0.25">
      <c r="A435" s="481">
        <v>42453</v>
      </c>
      <c r="B435" s="470"/>
      <c r="C435" s="368">
        <v>42454</v>
      </c>
      <c r="F435" s="482" t="s">
        <v>673</v>
      </c>
      <c r="G435" s="470"/>
      <c r="H435" s="369" t="s">
        <v>659</v>
      </c>
      <c r="I435" s="369" t="s">
        <v>1979</v>
      </c>
      <c r="J435" s="367" t="s">
        <v>1980</v>
      </c>
      <c r="K435" s="482" t="s">
        <v>1981</v>
      </c>
      <c r="L435" s="470"/>
      <c r="M435" s="470"/>
      <c r="N435" s="369" t="s">
        <v>655</v>
      </c>
      <c r="O435" s="369" t="s">
        <v>655</v>
      </c>
      <c r="P435" s="369" t="s">
        <v>655</v>
      </c>
      <c r="Q435" s="369" t="s">
        <v>655</v>
      </c>
      <c r="R435" s="367" t="s">
        <v>1982</v>
      </c>
      <c r="S435" s="367">
        <v>4815831</v>
      </c>
      <c r="T435" s="483">
        <v>586.79999999999995</v>
      </c>
      <c r="U435" s="470"/>
      <c r="V435" s="483">
        <v>859.34</v>
      </c>
      <c r="W435" s="470"/>
      <c r="X435" s="470"/>
      <c r="Y435" s="370">
        <f t="shared" si="7"/>
        <v>859.34</v>
      </c>
      <c r="Z435" s="371"/>
    </row>
    <row r="436" spans="1:26" x14ac:dyDescent="0.25">
      <c r="A436" s="481">
        <v>42454</v>
      </c>
      <c r="B436" s="470"/>
      <c r="C436" s="368">
        <v>42454</v>
      </c>
      <c r="F436" s="482" t="s">
        <v>686</v>
      </c>
      <c r="G436" s="470"/>
      <c r="H436" s="369" t="s">
        <v>659</v>
      </c>
      <c r="I436" s="369" t="s">
        <v>916</v>
      </c>
      <c r="J436" s="367" t="s">
        <v>917</v>
      </c>
      <c r="K436" s="482" t="s">
        <v>918</v>
      </c>
      <c r="L436" s="470"/>
      <c r="M436" s="470"/>
      <c r="N436" s="369" t="s">
        <v>655</v>
      </c>
      <c r="O436" s="369" t="s">
        <v>753</v>
      </c>
      <c r="P436" s="369" t="s">
        <v>655</v>
      </c>
      <c r="Q436" s="369" t="s">
        <v>753</v>
      </c>
      <c r="R436" s="367" t="s">
        <v>1983</v>
      </c>
      <c r="S436" s="367">
        <v>4820745</v>
      </c>
      <c r="T436" s="483">
        <v>586.79999999999995</v>
      </c>
      <c r="U436" s="470"/>
      <c r="V436" s="483">
        <v>7.75</v>
      </c>
      <c r="W436" s="470"/>
      <c r="X436" s="470"/>
      <c r="Y436" s="370">
        <f t="shared" si="7"/>
        <v>7.75</v>
      </c>
      <c r="Z436" s="371"/>
    </row>
    <row r="437" spans="1:26" x14ac:dyDescent="0.25">
      <c r="A437" s="481">
        <v>42455</v>
      </c>
      <c r="B437" s="470"/>
      <c r="C437" s="368">
        <v>42455</v>
      </c>
      <c r="F437" s="482" t="s">
        <v>899</v>
      </c>
      <c r="G437" s="470"/>
      <c r="H437" s="369" t="s">
        <v>659</v>
      </c>
      <c r="I437" s="369" t="s">
        <v>1984</v>
      </c>
      <c r="J437" s="367" t="s">
        <v>1985</v>
      </c>
      <c r="K437" s="482" t="s">
        <v>993</v>
      </c>
      <c r="L437" s="470"/>
      <c r="M437" s="470"/>
      <c r="N437" s="369" t="s">
        <v>655</v>
      </c>
      <c r="O437" s="369" t="s">
        <v>753</v>
      </c>
      <c r="P437" s="369" t="s">
        <v>655</v>
      </c>
      <c r="Q437" s="369" t="s">
        <v>753</v>
      </c>
      <c r="R437" s="367" t="s">
        <v>1986</v>
      </c>
      <c r="S437" s="367">
        <v>4830066</v>
      </c>
      <c r="T437" s="483">
        <v>586.79999999999995</v>
      </c>
      <c r="U437" s="470"/>
      <c r="V437" s="483">
        <v>0</v>
      </c>
      <c r="W437" s="470"/>
      <c r="X437" s="470"/>
      <c r="Y437" s="370">
        <f t="shared" si="7"/>
        <v>0</v>
      </c>
      <c r="Z437" s="371"/>
    </row>
    <row r="438" spans="1:26" x14ac:dyDescent="0.25">
      <c r="A438" s="481">
        <v>42455</v>
      </c>
      <c r="B438" s="470"/>
      <c r="C438" s="368">
        <v>42455</v>
      </c>
      <c r="F438" s="482" t="s">
        <v>684</v>
      </c>
      <c r="G438" s="470"/>
      <c r="H438" s="369" t="s">
        <v>659</v>
      </c>
      <c r="I438" s="369" t="s">
        <v>1987</v>
      </c>
      <c r="J438" s="367" t="s">
        <v>1988</v>
      </c>
      <c r="K438" s="482" t="s">
        <v>1989</v>
      </c>
      <c r="L438" s="470"/>
      <c r="M438" s="470"/>
      <c r="N438" s="369" t="s">
        <v>655</v>
      </c>
      <c r="O438" s="369" t="s">
        <v>753</v>
      </c>
      <c r="P438" s="369" t="s">
        <v>655</v>
      </c>
      <c r="Q438" s="369" t="s">
        <v>655</v>
      </c>
      <c r="R438" s="367" t="s">
        <v>1990</v>
      </c>
      <c r="S438" s="367">
        <v>4830128</v>
      </c>
      <c r="T438" s="483">
        <v>586.79999999999995</v>
      </c>
      <c r="U438" s="470"/>
      <c r="V438" s="483">
        <v>1408.26</v>
      </c>
      <c r="W438" s="470"/>
      <c r="X438" s="470"/>
      <c r="Y438" s="370">
        <f t="shared" si="7"/>
        <v>1408.26</v>
      </c>
      <c r="Z438" s="371"/>
    </row>
    <row r="439" spans="1:26" x14ac:dyDescent="0.25">
      <c r="A439" s="481">
        <v>42455</v>
      </c>
      <c r="B439" s="470"/>
      <c r="C439" s="368">
        <v>42455</v>
      </c>
      <c r="F439" s="482" t="s">
        <v>673</v>
      </c>
      <c r="G439" s="470"/>
      <c r="H439" s="369" t="s">
        <v>659</v>
      </c>
      <c r="I439" s="369" t="s">
        <v>1991</v>
      </c>
      <c r="J439" s="367" t="s">
        <v>1882</v>
      </c>
      <c r="K439" s="482" t="s">
        <v>865</v>
      </c>
      <c r="L439" s="470"/>
      <c r="M439" s="470"/>
      <c r="N439" s="369" t="s">
        <v>655</v>
      </c>
      <c r="O439" s="369" t="s">
        <v>753</v>
      </c>
      <c r="P439" s="369" t="s">
        <v>655</v>
      </c>
      <c r="Q439" s="369" t="s">
        <v>655</v>
      </c>
      <c r="R439" s="367" t="s">
        <v>1992</v>
      </c>
      <c r="S439" s="367">
        <v>4830165</v>
      </c>
      <c r="T439" s="483">
        <v>586.79999999999995</v>
      </c>
      <c r="U439" s="470"/>
      <c r="V439" s="483">
        <v>54.41</v>
      </c>
      <c r="W439" s="470"/>
      <c r="X439" s="470"/>
      <c r="Y439" s="370">
        <f t="shared" si="7"/>
        <v>586.79999999999995</v>
      </c>
      <c r="Z439" s="371"/>
    </row>
    <row r="440" spans="1:26" x14ac:dyDescent="0.25">
      <c r="A440" s="481">
        <v>42457</v>
      </c>
      <c r="B440" s="470"/>
      <c r="C440" s="368">
        <v>42457</v>
      </c>
      <c r="F440" s="482" t="s">
        <v>673</v>
      </c>
      <c r="G440" s="470"/>
      <c r="H440" s="369" t="s">
        <v>659</v>
      </c>
      <c r="I440" s="369" t="s">
        <v>1993</v>
      </c>
      <c r="J440" s="367" t="s">
        <v>1476</v>
      </c>
      <c r="K440" s="482" t="s">
        <v>1153</v>
      </c>
      <c r="L440" s="470"/>
      <c r="M440" s="470"/>
      <c r="N440" s="369" t="s">
        <v>1699</v>
      </c>
      <c r="O440" s="369" t="s">
        <v>655</v>
      </c>
      <c r="P440" s="369" t="s">
        <v>655</v>
      </c>
      <c r="Q440" s="369" t="s">
        <v>753</v>
      </c>
      <c r="R440" s="367" t="s">
        <v>1994</v>
      </c>
      <c r="S440" s="367">
        <v>4835646</v>
      </c>
      <c r="T440" s="483">
        <v>586.79999999999995</v>
      </c>
      <c r="U440" s="470"/>
      <c r="V440" s="483">
        <v>0</v>
      </c>
      <c r="W440" s="470"/>
      <c r="X440" s="470"/>
      <c r="Y440" s="370">
        <f t="shared" si="7"/>
        <v>0</v>
      </c>
      <c r="Z440" s="371"/>
    </row>
    <row r="441" spans="1:26" x14ac:dyDescent="0.25">
      <c r="A441" s="481">
        <v>42458</v>
      </c>
      <c r="B441" s="470"/>
      <c r="C441" s="368">
        <v>42458</v>
      </c>
      <c r="F441" s="482" t="s">
        <v>673</v>
      </c>
      <c r="G441" s="470"/>
      <c r="H441" s="369" t="s">
        <v>659</v>
      </c>
      <c r="I441" s="369" t="s">
        <v>1995</v>
      </c>
      <c r="J441" s="367" t="s">
        <v>1996</v>
      </c>
      <c r="K441" s="482" t="s">
        <v>1089</v>
      </c>
      <c r="L441" s="470"/>
      <c r="M441" s="470"/>
      <c r="N441" s="369" t="s">
        <v>655</v>
      </c>
      <c r="O441" s="369" t="s">
        <v>753</v>
      </c>
      <c r="P441" s="369" t="s">
        <v>655</v>
      </c>
      <c r="Q441" s="369" t="s">
        <v>655</v>
      </c>
      <c r="R441" s="367" t="s">
        <v>1997</v>
      </c>
      <c r="S441" s="367">
        <v>4843913</v>
      </c>
      <c r="T441" s="483">
        <v>586.79999999999995</v>
      </c>
      <c r="U441" s="470"/>
      <c r="V441" s="483">
        <v>1362.93</v>
      </c>
      <c r="W441" s="470"/>
      <c r="X441" s="470"/>
      <c r="Y441" s="370">
        <f t="shared" ref="Y441:Y504" si="8">IF(Q441="Y",V441,IF(V441&gt;T441,V441,T441))</f>
        <v>1362.93</v>
      </c>
      <c r="Z441" s="371"/>
    </row>
    <row r="442" spans="1:26" x14ac:dyDescent="0.25">
      <c r="A442" s="481">
        <v>42459</v>
      </c>
      <c r="B442" s="470"/>
      <c r="C442" s="368">
        <v>42460</v>
      </c>
      <c r="F442" s="482" t="s">
        <v>720</v>
      </c>
      <c r="G442" s="470"/>
      <c r="H442" s="369" t="s">
        <v>659</v>
      </c>
      <c r="I442" s="369" t="s">
        <v>1998</v>
      </c>
      <c r="J442" s="367" t="s">
        <v>680</v>
      </c>
      <c r="K442" s="482" t="s">
        <v>1999</v>
      </c>
      <c r="L442" s="470"/>
      <c r="M442" s="470"/>
      <c r="N442" s="369" t="s">
        <v>655</v>
      </c>
      <c r="O442" s="369" t="s">
        <v>753</v>
      </c>
      <c r="P442" s="369" t="s">
        <v>655</v>
      </c>
      <c r="Q442" s="369" t="s">
        <v>753</v>
      </c>
      <c r="R442" s="367" t="s">
        <v>2000</v>
      </c>
      <c r="S442" s="367">
        <v>4852482</v>
      </c>
      <c r="T442" s="483">
        <v>586.79999999999995</v>
      </c>
      <c r="U442" s="470"/>
      <c r="V442" s="483">
        <v>0</v>
      </c>
      <c r="W442" s="470"/>
      <c r="X442" s="470"/>
      <c r="Y442" s="370">
        <f t="shared" si="8"/>
        <v>0</v>
      </c>
      <c r="Z442" s="371"/>
    </row>
    <row r="443" spans="1:26" x14ac:dyDescent="0.25">
      <c r="A443" s="481">
        <v>42459</v>
      </c>
      <c r="B443" s="470"/>
      <c r="C443" s="368">
        <v>42460</v>
      </c>
      <c r="F443" s="482" t="s">
        <v>673</v>
      </c>
      <c r="G443" s="470"/>
      <c r="H443" s="369" t="s">
        <v>659</v>
      </c>
      <c r="I443" s="369" t="s">
        <v>1130</v>
      </c>
      <c r="J443" s="367" t="s">
        <v>799</v>
      </c>
      <c r="K443" s="482" t="s">
        <v>918</v>
      </c>
      <c r="L443" s="470"/>
      <c r="M443" s="470"/>
      <c r="N443" s="369" t="s">
        <v>655</v>
      </c>
      <c r="O443" s="369" t="s">
        <v>753</v>
      </c>
      <c r="P443" s="369" t="s">
        <v>655</v>
      </c>
      <c r="Q443" s="369" t="s">
        <v>655</v>
      </c>
      <c r="R443" s="367" t="s">
        <v>2001</v>
      </c>
      <c r="S443" s="367">
        <v>4852370</v>
      </c>
      <c r="T443" s="483">
        <v>586.79999999999995</v>
      </c>
      <c r="U443" s="470"/>
      <c r="V443" s="483">
        <v>152.69999999999999</v>
      </c>
      <c r="W443" s="470"/>
      <c r="X443" s="470"/>
      <c r="Y443" s="370">
        <f t="shared" si="8"/>
        <v>586.79999999999995</v>
      </c>
      <c r="Z443" s="371"/>
    </row>
    <row r="444" spans="1:26" x14ac:dyDescent="0.25">
      <c r="A444" s="481">
        <v>42460</v>
      </c>
      <c r="B444" s="470"/>
      <c r="C444" s="368">
        <v>42460</v>
      </c>
      <c r="F444" s="482" t="s">
        <v>673</v>
      </c>
      <c r="G444" s="470"/>
      <c r="H444" s="369" t="s">
        <v>659</v>
      </c>
      <c r="I444" s="369" t="s">
        <v>2002</v>
      </c>
      <c r="J444" s="367" t="s">
        <v>2003</v>
      </c>
      <c r="K444" s="482" t="s">
        <v>2004</v>
      </c>
      <c r="L444" s="470"/>
      <c r="M444" s="470"/>
      <c r="N444" s="369" t="s">
        <v>655</v>
      </c>
      <c r="O444" s="369" t="s">
        <v>753</v>
      </c>
      <c r="P444" s="369" t="s">
        <v>655</v>
      </c>
      <c r="Q444" s="369" t="s">
        <v>655</v>
      </c>
      <c r="R444" s="367" t="s">
        <v>2005</v>
      </c>
      <c r="S444" s="367">
        <v>4858637</v>
      </c>
      <c r="T444" s="483">
        <v>586.79999999999995</v>
      </c>
      <c r="U444" s="470"/>
      <c r="V444" s="483">
        <v>228.66</v>
      </c>
      <c r="W444" s="470"/>
      <c r="X444" s="470"/>
      <c r="Y444" s="370">
        <f t="shared" si="8"/>
        <v>586.79999999999995</v>
      </c>
      <c r="Z444" s="371"/>
    </row>
    <row r="445" spans="1:26" x14ac:dyDescent="0.25">
      <c r="A445" s="481">
        <v>42462</v>
      </c>
      <c r="B445" s="470"/>
      <c r="C445" s="368">
        <v>42462</v>
      </c>
      <c r="F445" s="482" t="s">
        <v>684</v>
      </c>
      <c r="G445" s="470"/>
      <c r="H445" s="369" t="s">
        <v>659</v>
      </c>
      <c r="I445" s="369" t="s">
        <v>2006</v>
      </c>
      <c r="J445" s="367" t="s">
        <v>1401</v>
      </c>
      <c r="K445" s="482" t="s">
        <v>1415</v>
      </c>
      <c r="L445" s="470"/>
      <c r="M445" s="470"/>
      <c r="N445" s="369" t="s">
        <v>655</v>
      </c>
      <c r="O445" s="369" t="s">
        <v>753</v>
      </c>
      <c r="P445" s="369" t="s">
        <v>655</v>
      </c>
      <c r="Q445" s="369" t="s">
        <v>655</v>
      </c>
      <c r="R445" s="367" t="s">
        <v>2007</v>
      </c>
      <c r="S445" s="367">
        <v>4870378</v>
      </c>
      <c r="T445" s="483">
        <v>586.79999999999995</v>
      </c>
      <c r="U445" s="470"/>
      <c r="V445" s="483">
        <v>0</v>
      </c>
      <c r="W445" s="470"/>
      <c r="X445" s="470"/>
      <c r="Y445" s="370">
        <f t="shared" si="8"/>
        <v>586.79999999999995</v>
      </c>
      <c r="Z445" s="371">
        <v>2</v>
      </c>
    </row>
    <row r="446" spans="1:26" x14ac:dyDescent="0.25">
      <c r="A446" s="481">
        <v>42462</v>
      </c>
      <c r="B446" s="470"/>
      <c r="C446" s="368">
        <v>42463</v>
      </c>
      <c r="F446" s="482" t="s">
        <v>678</v>
      </c>
      <c r="G446" s="470"/>
      <c r="H446" s="369" t="s">
        <v>659</v>
      </c>
      <c r="I446" s="369" t="s">
        <v>2008</v>
      </c>
      <c r="J446" s="367" t="s">
        <v>828</v>
      </c>
      <c r="K446" s="482" t="s">
        <v>1640</v>
      </c>
      <c r="L446" s="470"/>
      <c r="M446" s="470"/>
      <c r="N446" s="369" t="s">
        <v>655</v>
      </c>
      <c r="O446" s="369" t="s">
        <v>655</v>
      </c>
      <c r="P446" s="369" t="s">
        <v>655</v>
      </c>
      <c r="Q446" s="369" t="s">
        <v>655</v>
      </c>
      <c r="R446" s="367" t="s">
        <v>2009</v>
      </c>
      <c r="S446" s="367">
        <v>4865372</v>
      </c>
      <c r="T446" s="483">
        <v>586.79999999999995</v>
      </c>
      <c r="U446" s="470"/>
      <c r="V446" s="483">
        <v>6.68</v>
      </c>
      <c r="W446" s="470"/>
      <c r="X446" s="470"/>
      <c r="Y446" s="370">
        <f t="shared" si="8"/>
        <v>586.79999999999995</v>
      </c>
      <c r="Z446" s="371"/>
    </row>
    <row r="447" spans="1:26" x14ac:dyDescent="0.25">
      <c r="A447" s="481">
        <v>42462</v>
      </c>
      <c r="B447" s="470"/>
      <c r="C447" s="368">
        <v>42463</v>
      </c>
      <c r="F447" s="482" t="s">
        <v>673</v>
      </c>
      <c r="G447" s="470"/>
      <c r="H447" s="369" t="s">
        <v>659</v>
      </c>
      <c r="I447" s="369" t="s">
        <v>2010</v>
      </c>
      <c r="J447" s="367" t="s">
        <v>2011</v>
      </c>
      <c r="K447" s="482" t="s">
        <v>2012</v>
      </c>
      <c r="L447" s="470"/>
      <c r="M447" s="470"/>
      <c r="N447" s="369" t="s">
        <v>655</v>
      </c>
      <c r="O447" s="369" t="s">
        <v>753</v>
      </c>
      <c r="P447" s="369" t="s">
        <v>655</v>
      </c>
      <c r="Q447" s="369" t="s">
        <v>655</v>
      </c>
      <c r="R447" s="367" t="s">
        <v>2013</v>
      </c>
      <c r="S447" s="367">
        <v>4870567</v>
      </c>
      <c r="T447" s="483">
        <v>586.79999999999995</v>
      </c>
      <c r="U447" s="470"/>
      <c r="V447" s="483">
        <v>0</v>
      </c>
      <c r="W447" s="470"/>
      <c r="X447" s="470"/>
      <c r="Y447" s="370">
        <f t="shared" si="8"/>
        <v>586.79999999999995</v>
      </c>
      <c r="Z447" s="371">
        <v>2</v>
      </c>
    </row>
    <row r="448" spans="1:26" x14ac:dyDescent="0.25">
      <c r="A448" s="481">
        <v>42462</v>
      </c>
      <c r="B448" s="470"/>
      <c r="C448" s="368">
        <v>42462</v>
      </c>
      <c r="F448" s="482" t="s">
        <v>673</v>
      </c>
      <c r="G448" s="470"/>
      <c r="H448" s="369" t="s">
        <v>659</v>
      </c>
      <c r="I448" s="369" t="s">
        <v>665</v>
      </c>
      <c r="J448" s="367" t="s">
        <v>666</v>
      </c>
      <c r="K448" s="482" t="s">
        <v>667</v>
      </c>
      <c r="L448" s="470"/>
      <c r="M448" s="470"/>
      <c r="N448" s="369" t="s">
        <v>655</v>
      </c>
      <c r="O448" s="369" t="s">
        <v>655</v>
      </c>
      <c r="P448" s="369" t="s">
        <v>655</v>
      </c>
      <c r="Q448" s="369" t="s">
        <v>655</v>
      </c>
      <c r="R448" s="367" t="s">
        <v>755</v>
      </c>
      <c r="S448" s="367">
        <v>4870240</v>
      </c>
      <c r="T448" s="483">
        <v>586.79999999999995</v>
      </c>
      <c r="U448" s="470"/>
      <c r="V448" s="483">
        <v>0</v>
      </c>
      <c r="W448" s="470"/>
      <c r="X448" s="470"/>
      <c r="Y448" s="370">
        <f t="shared" si="8"/>
        <v>586.79999999999995</v>
      </c>
      <c r="Z448" s="371">
        <v>3</v>
      </c>
    </row>
    <row r="449" spans="1:26" x14ac:dyDescent="0.25">
      <c r="A449" s="481">
        <v>42462</v>
      </c>
      <c r="B449" s="470"/>
      <c r="C449" s="368">
        <v>42465</v>
      </c>
      <c r="F449" s="482" t="s">
        <v>664</v>
      </c>
      <c r="G449" s="470"/>
      <c r="H449" s="369" t="s">
        <v>659</v>
      </c>
      <c r="I449" s="369" t="s">
        <v>665</v>
      </c>
      <c r="J449" s="367" t="s">
        <v>666</v>
      </c>
      <c r="K449" s="482" t="s">
        <v>667</v>
      </c>
      <c r="L449" s="470"/>
      <c r="M449" s="470"/>
      <c r="N449" s="369" t="s">
        <v>655</v>
      </c>
      <c r="O449" s="369" t="s">
        <v>655</v>
      </c>
      <c r="P449" s="369" t="s">
        <v>655</v>
      </c>
      <c r="Q449" s="369" t="s">
        <v>655</v>
      </c>
      <c r="R449" s="367" t="s">
        <v>668</v>
      </c>
      <c r="S449" s="367">
        <v>4870972</v>
      </c>
      <c r="T449" s="483">
        <v>586.79999999999995</v>
      </c>
      <c r="U449" s="470"/>
      <c r="V449" s="483">
        <v>0</v>
      </c>
      <c r="W449" s="470"/>
      <c r="X449" s="470"/>
      <c r="Y449" s="370">
        <f t="shared" si="8"/>
        <v>586.79999999999995</v>
      </c>
      <c r="Z449" s="371">
        <v>1</v>
      </c>
    </row>
    <row r="450" spans="1:26" x14ac:dyDescent="0.25">
      <c r="A450" s="481">
        <v>42462</v>
      </c>
      <c r="B450" s="470"/>
      <c r="C450" s="368">
        <v>42462</v>
      </c>
      <c r="F450" s="482" t="s">
        <v>673</v>
      </c>
      <c r="G450" s="470"/>
      <c r="H450" s="369" t="s">
        <v>659</v>
      </c>
      <c r="I450" s="369" t="s">
        <v>2014</v>
      </c>
      <c r="J450" s="367" t="s">
        <v>2015</v>
      </c>
      <c r="K450" s="482" t="s">
        <v>2016</v>
      </c>
      <c r="L450" s="470"/>
      <c r="M450" s="470"/>
      <c r="N450" s="369" t="s">
        <v>655</v>
      </c>
      <c r="O450" s="369" t="s">
        <v>753</v>
      </c>
      <c r="P450" s="369" t="s">
        <v>655</v>
      </c>
      <c r="Q450" s="369" t="s">
        <v>655</v>
      </c>
      <c r="R450" s="367" t="s">
        <v>2017</v>
      </c>
      <c r="S450" s="367">
        <v>4870425</v>
      </c>
      <c r="T450" s="483">
        <v>586.79999999999995</v>
      </c>
      <c r="U450" s="470"/>
      <c r="V450" s="483">
        <v>6.95</v>
      </c>
      <c r="W450" s="470"/>
      <c r="X450" s="470"/>
      <c r="Y450" s="370">
        <f t="shared" si="8"/>
        <v>586.79999999999995</v>
      </c>
      <c r="Z450" s="371"/>
    </row>
    <row r="451" spans="1:26" x14ac:dyDescent="0.25">
      <c r="A451" s="481">
        <v>42463</v>
      </c>
      <c r="B451" s="470"/>
      <c r="C451" s="368">
        <v>42463</v>
      </c>
      <c r="F451" s="482" t="s">
        <v>673</v>
      </c>
      <c r="G451" s="470"/>
      <c r="H451" s="369" t="s">
        <v>659</v>
      </c>
      <c r="I451" s="369" t="s">
        <v>2018</v>
      </c>
      <c r="J451" s="367" t="s">
        <v>2019</v>
      </c>
      <c r="K451" s="482" t="s">
        <v>2020</v>
      </c>
      <c r="L451" s="470"/>
      <c r="M451" s="470"/>
      <c r="N451" s="369" t="s">
        <v>655</v>
      </c>
      <c r="O451" s="369" t="s">
        <v>655</v>
      </c>
      <c r="P451" s="369" t="s">
        <v>655</v>
      </c>
      <c r="Q451" s="369" t="s">
        <v>655</v>
      </c>
      <c r="R451" s="367" t="s">
        <v>2021</v>
      </c>
      <c r="S451" s="367">
        <v>4870507</v>
      </c>
      <c r="T451" s="483">
        <v>586.79999999999995</v>
      </c>
      <c r="U451" s="470"/>
      <c r="V451" s="483">
        <v>106.38</v>
      </c>
      <c r="W451" s="470"/>
      <c r="X451" s="470"/>
      <c r="Y451" s="370">
        <f t="shared" si="8"/>
        <v>586.79999999999995</v>
      </c>
      <c r="Z451" s="371"/>
    </row>
    <row r="452" spans="1:26" x14ac:dyDescent="0.25">
      <c r="A452" s="481">
        <v>42463</v>
      </c>
      <c r="B452" s="470"/>
      <c r="C452" s="368">
        <v>42463</v>
      </c>
      <c r="F452" s="482" t="s">
        <v>673</v>
      </c>
      <c r="G452" s="470"/>
      <c r="H452" s="369" t="s">
        <v>659</v>
      </c>
      <c r="I452" s="369" t="s">
        <v>2022</v>
      </c>
      <c r="J452" s="367" t="s">
        <v>2023</v>
      </c>
      <c r="K452" s="482" t="s">
        <v>2024</v>
      </c>
      <c r="L452" s="470"/>
      <c r="M452" s="470"/>
      <c r="N452" s="369" t="s">
        <v>655</v>
      </c>
      <c r="O452" s="369" t="s">
        <v>753</v>
      </c>
      <c r="P452" s="369" t="s">
        <v>655</v>
      </c>
      <c r="Q452" s="369" t="s">
        <v>655</v>
      </c>
      <c r="R452" s="367" t="s">
        <v>2025</v>
      </c>
      <c r="S452" s="367">
        <v>4870335</v>
      </c>
      <c r="T452" s="483">
        <v>586.79999999999995</v>
      </c>
      <c r="U452" s="470"/>
      <c r="V452" s="483">
        <v>188.71</v>
      </c>
      <c r="W452" s="470"/>
      <c r="X452" s="470"/>
      <c r="Y452" s="370">
        <f t="shared" si="8"/>
        <v>586.79999999999995</v>
      </c>
      <c r="Z452" s="371"/>
    </row>
    <row r="453" spans="1:26" x14ac:dyDescent="0.25">
      <c r="A453" s="481">
        <v>42464</v>
      </c>
      <c r="B453" s="470"/>
      <c r="C453" s="368">
        <v>42466</v>
      </c>
      <c r="F453" s="482" t="s">
        <v>673</v>
      </c>
      <c r="G453" s="470"/>
      <c r="H453" s="369" t="s">
        <v>659</v>
      </c>
      <c r="I453" s="369" t="s">
        <v>756</v>
      </c>
      <c r="J453" s="367" t="s">
        <v>757</v>
      </c>
      <c r="K453" s="482" t="s">
        <v>758</v>
      </c>
      <c r="L453" s="470"/>
      <c r="M453" s="470"/>
      <c r="N453" s="369" t="s">
        <v>655</v>
      </c>
      <c r="O453" s="369" t="s">
        <v>753</v>
      </c>
      <c r="P453" s="369" t="s">
        <v>655</v>
      </c>
      <c r="Q453" s="369" t="s">
        <v>655</v>
      </c>
      <c r="R453" s="367" t="s">
        <v>759</v>
      </c>
      <c r="S453" s="367">
        <v>4877718</v>
      </c>
      <c r="T453" s="483">
        <v>586.79999999999995</v>
      </c>
      <c r="U453" s="470"/>
      <c r="V453" s="483">
        <v>0</v>
      </c>
      <c r="W453" s="470"/>
      <c r="X453" s="470"/>
      <c r="Y453" s="370">
        <f t="shared" si="8"/>
        <v>586.79999999999995</v>
      </c>
      <c r="Z453" s="371">
        <v>2</v>
      </c>
    </row>
    <row r="454" spans="1:26" x14ac:dyDescent="0.25">
      <c r="A454" s="481">
        <v>42465</v>
      </c>
      <c r="B454" s="470"/>
      <c r="C454" s="368">
        <v>42466</v>
      </c>
      <c r="F454" s="482" t="s">
        <v>673</v>
      </c>
      <c r="G454" s="470"/>
      <c r="H454" s="369" t="s">
        <v>659</v>
      </c>
      <c r="I454" s="369" t="s">
        <v>2026</v>
      </c>
      <c r="J454" s="367" t="s">
        <v>2027</v>
      </c>
      <c r="K454" s="482" t="s">
        <v>1415</v>
      </c>
      <c r="L454" s="470"/>
      <c r="M454" s="470"/>
      <c r="N454" s="369" t="s">
        <v>655</v>
      </c>
      <c r="O454" s="369" t="s">
        <v>655</v>
      </c>
      <c r="P454" s="369" t="s">
        <v>655</v>
      </c>
      <c r="Q454" s="369" t="s">
        <v>655</v>
      </c>
      <c r="R454" s="367" t="s">
        <v>2028</v>
      </c>
      <c r="S454" s="367">
        <v>4884518</v>
      </c>
      <c r="T454" s="483">
        <v>586.79999999999995</v>
      </c>
      <c r="U454" s="470"/>
      <c r="V454" s="483">
        <v>0</v>
      </c>
      <c r="W454" s="470"/>
      <c r="X454" s="470"/>
      <c r="Y454" s="370">
        <f t="shared" si="8"/>
        <v>586.79999999999995</v>
      </c>
      <c r="Z454" s="371">
        <v>9</v>
      </c>
    </row>
    <row r="455" spans="1:26" x14ac:dyDescent="0.25">
      <c r="A455" s="481">
        <v>42466</v>
      </c>
      <c r="B455" s="470"/>
      <c r="C455" s="368">
        <v>42467</v>
      </c>
      <c r="F455" s="482" t="s">
        <v>684</v>
      </c>
      <c r="G455" s="470"/>
      <c r="H455" s="369" t="s">
        <v>659</v>
      </c>
      <c r="I455" s="369" t="s">
        <v>2029</v>
      </c>
      <c r="J455" s="367" t="s">
        <v>1790</v>
      </c>
      <c r="K455" s="482" t="s">
        <v>1178</v>
      </c>
      <c r="L455" s="470"/>
      <c r="M455" s="470"/>
      <c r="N455" s="369" t="s">
        <v>655</v>
      </c>
      <c r="O455" s="369" t="s">
        <v>753</v>
      </c>
      <c r="P455" s="369" t="s">
        <v>655</v>
      </c>
      <c r="Q455" s="369" t="s">
        <v>655</v>
      </c>
      <c r="R455" s="367" t="s">
        <v>2030</v>
      </c>
      <c r="S455" s="367">
        <v>4896658</v>
      </c>
      <c r="T455" s="483">
        <v>586.79999999999995</v>
      </c>
      <c r="U455" s="470"/>
      <c r="V455" s="483">
        <v>0</v>
      </c>
      <c r="W455" s="470"/>
      <c r="X455" s="470"/>
      <c r="Y455" s="370">
        <f t="shared" si="8"/>
        <v>586.79999999999995</v>
      </c>
      <c r="Z455" s="371"/>
    </row>
    <row r="456" spans="1:26" x14ac:dyDescent="0.25">
      <c r="A456" s="481">
        <v>42466</v>
      </c>
      <c r="B456" s="470"/>
      <c r="C456" s="368">
        <v>42466</v>
      </c>
      <c r="F456" s="482" t="s">
        <v>673</v>
      </c>
      <c r="G456" s="470"/>
      <c r="H456" s="369" t="s">
        <v>659</v>
      </c>
      <c r="I456" s="369" t="s">
        <v>2031</v>
      </c>
      <c r="J456" s="367" t="s">
        <v>2032</v>
      </c>
      <c r="K456" s="482" t="s">
        <v>1057</v>
      </c>
      <c r="L456" s="470"/>
      <c r="M456" s="470"/>
      <c r="N456" s="369" t="s">
        <v>655</v>
      </c>
      <c r="O456" s="369" t="s">
        <v>753</v>
      </c>
      <c r="P456" s="369" t="s">
        <v>655</v>
      </c>
      <c r="Q456" s="369" t="s">
        <v>655</v>
      </c>
      <c r="R456" s="367" t="s">
        <v>2033</v>
      </c>
      <c r="S456" s="367">
        <v>4894277</v>
      </c>
      <c r="T456" s="483">
        <v>586.79999999999995</v>
      </c>
      <c r="U456" s="470"/>
      <c r="V456" s="483">
        <v>0</v>
      </c>
      <c r="W456" s="470"/>
      <c r="X456" s="470"/>
      <c r="Y456" s="370">
        <f t="shared" si="8"/>
        <v>586.79999999999995</v>
      </c>
      <c r="Z456" s="371"/>
    </row>
    <row r="457" spans="1:26" x14ac:dyDescent="0.25">
      <c r="A457" s="481">
        <v>42467</v>
      </c>
      <c r="B457" s="470"/>
      <c r="C457" s="368">
        <v>42467</v>
      </c>
      <c r="F457" s="482" t="s">
        <v>673</v>
      </c>
      <c r="G457" s="470"/>
      <c r="H457" s="369" t="s">
        <v>659</v>
      </c>
      <c r="I457" s="369" t="s">
        <v>2034</v>
      </c>
      <c r="J457" s="367" t="s">
        <v>2035</v>
      </c>
      <c r="K457" s="482" t="s">
        <v>1160</v>
      </c>
      <c r="L457" s="470"/>
      <c r="M457" s="470"/>
      <c r="N457" s="369" t="s">
        <v>655</v>
      </c>
      <c r="O457" s="369" t="s">
        <v>753</v>
      </c>
      <c r="P457" s="369" t="s">
        <v>655</v>
      </c>
      <c r="Q457" s="369" t="s">
        <v>753</v>
      </c>
      <c r="R457" s="367" t="s">
        <v>2036</v>
      </c>
      <c r="S457" s="367">
        <v>4896682</v>
      </c>
      <c r="T457" s="483">
        <v>586.79999999999995</v>
      </c>
      <c r="U457" s="470"/>
      <c r="V457" s="483">
        <v>0</v>
      </c>
      <c r="W457" s="470"/>
      <c r="X457" s="470"/>
      <c r="Y457" s="370">
        <f t="shared" si="8"/>
        <v>0</v>
      </c>
      <c r="Z457" s="371"/>
    </row>
    <row r="458" spans="1:26" x14ac:dyDescent="0.25">
      <c r="A458" s="481">
        <v>42467</v>
      </c>
      <c r="B458" s="470"/>
      <c r="C458" s="368">
        <v>42467</v>
      </c>
      <c r="F458" s="482" t="s">
        <v>673</v>
      </c>
      <c r="G458" s="470"/>
      <c r="H458" s="369" t="s">
        <v>659</v>
      </c>
      <c r="I458" s="369" t="s">
        <v>2037</v>
      </c>
      <c r="J458" s="367" t="s">
        <v>2038</v>
      </c>
      <c r="K458" s="482" t="s">
        <v>767</v>
      </c>
      <c r="L458" s="470"/>
      <c r="M458" s="470"/>
      <c r="N458" s="369" t="s">
        <v>655</v>
      </c>
      <c r="O458" s="369" t="s">
        <v>753</v>
      </c>
      <c r="P458" s="369" t="s">
        <v>655</v>
      </c>
      <c r="Q458" s="369" t="s">
        <v>753</v>
      </c>
      <c r="R458" s="367" t="s">
        <v>2039</v>
      </c>
      <c r="S458" s="367">
        <v>4894348</v>
      </c>
      <c r="T458" s="483">
        <v>586.79999999999995</v>
      </c>
      <c r="U458" s="470"/>
      <c r="V458" s="483">
        <v>1553.14</v>
      </c>
      <c r="W458" s="470"/>
      <c r="X458" s="470"/>
      <c r="Y458" s="370">
        <f t="shared" si="8"/>
        <v>1553.14</v>
      </c>
      <c r="Z458" s="371"/>
    </row>
    <row r="459" spans="1:26" x14ac:dyDescent="0.25">
      <c r="A459" s="481">
        <v>42467</v>
      </c>
      <c r="B459" s="470"/>
      <c r="C459" s="368">
        <v>42467</v>
      </c>
      <c r="F459" s="482" t="s">
        <v>673</v>
      </c>
      <c r="G459" s="470"/>
      <c r="H459" s="369" t="s">
        <v>659</v>
      </c>
      <c r="I459" s="369" t="s">
        <v>760</v>
      </c>
      <c r="J459" s="367" t="s">
        <v>761</v>
      </c>
      <c r="K459" s="482" t="s">
        <v>762</v>
      </c>
      <c r="L459" s="470"/>
      <c r="M459" s="470"/>
      <c r="N459" s="369" t="s">
        <v>655</v>
      </c>
      <c r="O459" s="369" t="s">
        <v>655</v>
      </c>
      <c r="P459" s="369" t="s">
        <v>655</v>
      </c>
      <c r="Q459" s="369" t="s">
        <v>655</v>
      </c>
      <c r="R459" s="367" t="s">
        <v>763</v>
      </c>
      <c r="S459" s="367">
        <v>4894560</v>
      </c>
      <c r="T459" s="483">
        <v>586.79999999999995</v>
      </c>
      <c r="U459" s="470"/>
      <c r="V459" s="483">
        <v>123.14</v>
      </c>
      <c r="W459" s="470"/>
      <c r="X459" s="470"/>
      <c r="Y459" s="370">
        <f t="shared" si="8"/>
        <v>586.79999999999995</v>
      </c>
      <c r="Z459" s="371"/>
    </row>
    <row r="460" spans="1:26" x14ac:dyDescent="0.25">
      <c r="A460" s="481">
        <v>42468</v>
      </c>
      <c r="B460" s="470"/>
      <c r="C460" s="368">
        <v>42473</v>
      </c>
      <c r="F460" s="482" t="s">
        <v>673</v>
      </c>
      <c r="G460" s="470"/>
      <c r="H460" s="369" t="s">
        <v>659</v>
      </c>
      <c r="I460" s="369" t="s">
        <v>760</v>
      </c>
      <c r="J460" s="367" t="s">
        <v>761</v>
      </c>
      <c r="K460" s="482" t="s">
        <v>762</v>
      </c>
      <c r="L460" s="470"/>
      <c r="M460" s="470"/>
      <c r="N460" s="369" t="s">
        <v>655</v>
      </c>
      <c r="O460" s="369" t="s">
        <v>655</v>
      </c>
      <c r="P460" s="369" t="s">
        <v>655</v>
      </c>
      <c r="Q460" s="369" t="s">
        <v>655</v>
      </c>
      <c r="R460" s="367" t="s">
        <v>764</v>
      </c>
      <c r="S460" s="367">
        <v>4901360</v>
      </c>
      <c r="T460" s="483">
        <v>586.79999999999995</v>
      </c>
      <c r="U460" s="470"/>
      <c r="V460" s="483">
        <v>0</v>
      </c>
      <c r="W460" s="470"/>
      <c r="X460" s="470"/>
      <c r="Y460" s="370">
        <f t="shared" si="8"/>
        <v>586.79999999999995</v>
      </c>
      <c r="Z460" s="371"/>
    </row>
    <row r="461" spans="1:26" x14ac:dyDescent="0.25">
      <c r="A461" s="481">
        <v>42469</v>
      </c>
      <c r="B461" s="470"/>
      <c r="C461" s="368">
        <v>42469</v>
      </c>
      <c r="F461" s="482" t="s">
        <v>697</v>
      </c>
      <c r="G461" s="470"/>
      <c r="H461" s="369" t="s">
        <v>659</v>
      </c>
      <c r="I461" s="369" t="s">
        <v>2040</v>
      </c>
      <c r="J461" s="367" t="s">
        <v>2041</v>
      </c>
      <c r="K461" s="482" t="s">
        <v>2042</v>
      </c>
      <c r="L461" s="470"/>
      <c r="M461" s="470"/>
      <c r="N461" s="369" t="s">
        <v>655</v>
      </c>
      <c r="O461" s="369" t="s">
        <v>753</v>
      </c>
      <c r="P461" s="369" t="s">
        <v>655</v>
      </c>
      <c r="Q461" s="369" t="s">
        <v>753</v>
      </c>
      <c r="R461" s="367" t="s">
        <v>2043</v>
      </c>
      <c r="S461" s="367">
        <v>4912987</v>
      </c>
      <c r="T461" s="483">
        <v>586.79999999999995</v>
      </c>
      <c r="U461" s="470"/>
      <c r="V461" s="483">
        <v>0</v>
      </c>
      <c r="W461" s="470"/>
      <c r="X461" s="470"/>
      <c r="Y461" s="370">
        <f t="shared" si="8"/>
        <v>0</v>
      </c>
      <c r="Z461" s="371"/>
    </row>
    <row r="462" spans="1:26" x14ac:dyDescent="0.25">
      <c r="A462" s="481">
        <v>42471</v>
      </c>
      <c r="B462" s="470"/>
      <c r="C462" s="368">
        <v>42472</v>
      </c>
      <c r="F462" s="482" t="s">
        <v>673</v>
      </c>
      <c r="G462" s="470"/>
      <c r="H462" s="369" t="s">
        <v>659</v>
      </c>
      <c r="I462" s="369" t="s">
        <v>765</v>
      </c>
      <c r="J462" s="367" t="s">
        <v>766</v>
      </c>
      <c r="K462" s="482" t="s">
        <v>767</v>
      </c>
      <c r="L462" s="470"/>
      <c r="M462" s="470"/>
      <c r="N462" s="369" t="s">
        <v>655</v>
      </c>
      <c r="O462" s="369" t="s">
        <v>655</v>
      </c>
      <c r="P462" s="369" t="s">
        <v>655</v>
      </c>
      <c r="Q462" s="369" t="s">
        <v>655</v>
      </c>
      <c r="R462" s="367" t="s">
        <v>2044</v>
      </c>
      <c r="S462" s="367">
        <v>4916306</v>
      </c>
      <c r="T462" s="483">
        <v>586.79999999999995</v>
      </c>
      <c r="U462" s="470"/>
      <c r="V462" s="483">
        <v>0</v>
      </c>
      <c r="W462" s="470"/>
      <c r="X462" s="470"/>
      <c r="Y462" s="370">
        <f t="shared" si="8"/>
        <v>586.79999999999995</v>
      </c>
      <c r="Z462" s="371"/>
    </row>
    <row r="463" spans="1:26" x14ac:dyDescent="0.25">
      <c r="A463" s="481">
        <v>42472</v>
      </c>
      <c r="B463" s="470"/>
      <c r="C463" s="368">
        <v>42472</v>
      </c>
      <c r="F463" s="482" t="s">
        <v>673</v>
      </c>
      <c r="G463" s="470"/>
      <c r="H463" s="369" t="s">
        <v>659</v>
      </c>
      <c r="I463" s="369" t="s">
        <v>2045</v>
      </c>
      <c r="J463" s="367" t="s">
        <v>892</v>
      </c>
      <c r="K463" s="482" t="s">
        <v>1027</v>
      </c>
      <c r="L463" s="470"/>
      <c r="M463" s="470"/>
      <c r="N463" s="369" t="s">
        <v>655</v>
      </c>
      <c r="O463" s="369" t="s">
        <v>753</v>
      </c>
      <c r="P463" s="369" t="s">
        <v>655</v>
      </c>
      <c r="Q463" s="369" t="s">
        <v>655</v>
      </c>
      <c r="R463" s="367" t="s">
        <v>2046</v>
      </c>
      <c r="S463" s="367">
        <v>4928543</v>
      </c>
      <c r="T463" s="483">
        <v>586.79999999999995</v>
      </c>
      <c r="U463" s="470"/>
      <c r="V463" s="483">
        <v>0</v>
      </c>
      <c r="W463" s="470"/>
      <c r="X463" s="470"/>
      <c r="Y463" s="370">
        <f t="shared" si="8"/>
        <v>586.79999999999995</v>
      </c>
      <c r="Z463" s="371"/>
    </row>
    <row r="464" spans="1:26" x14ac:dyDescent="0.25">
      <c r="A464" s="481">
        <v>42472</v>
      </c>
      <c r="B464" s="470"/>
      <c r="C464" s="368">
        <v>42472</v>
      </c>
      <c r="F464" s="482" t="s">
        <v>2047</v>
      </c>
      <c r="G464" s="470"/>
      <c r="H464" s="369" t="s">
        <v>659</v>
      </c>
      <c r="I464" s="369" t="s">
        <v>2048</v>
      </c>
      <c r="J464" s="367" t="s">
        <v>2049</v>
      </c>
      <c r="K464" s="482" t="s">
        <v>2050</v>
      </c>
      <c r="L464" s="470"/>
      <c r="M464" s="470"/>
      <c r="N464" s="369" t="s">
        <v>655</v>
      </c>
      <c r="O464" s="369" t="s">
        <v>753</v>
      </c>
      <c r="P464" s="369" t="s">
        <v>655</v>
      </c>
      <c r="Q464" s="369" t="s">
        <v>753</v>
      </c>
      <c r="R464" s="367" t="s">
        <v>2051</v>
      </c>
      <c r="S464" s="367">
        <v>4928582</v>
      </c>
      <c r="T464" s="483">
        <v>586.79999999999995</v>
      </c>
      <c r="U464" s="470"/>
      <c r="V464" s="483">
        <v>0</v>
      </c>
      <c r="W464" s="470"/>
      <c r="X464" s="470"/>
      <c r="Y464" s="370">
        <f t="shared" si="8"/>
        <v>0</v>
      </c>
      <c r="Z464" s="371"/>
    </row>
    <row r="465" spans="1:26" x14ac:dyDescent="0.25">
      <c r="A465" s="481">
        <v>42473</v>
      </c>
      <c r="B465" s="470"/>
      <c r="C465" s="368">
        <v>42473</v>
      </c>
      <c r="F465" s="482" t="s">
        <v>673</v>
      </c>
      <c r="G465" s="470"/>
      <c r="H465" s="369" t="s">
        <v>659</v>
      </c>
      <c r="I465" s="369" t="s">
        <v>2052</v>
      </c>
      <c r="J465" s="367" t="s">
        <v>2053</v>
      </c>
      <c r="K465" s="482" t="s">
        <v>2054</v>
      </c>
      <c r="L465" s="470"/>
      <c r="M465" s="470"/>
      <c r="N465" s="369" t="s">
        <v>655</v>
      </c>
      <c r="O465" s="369" t="s">
        <v>753</v>
      </c>
      <c r="P465" s="369" t="s">
        <v>655</v>
      </c>
      <c r="Q465" s="369" t="s">
        <v>655</v>
      </c>
      <c r="R465" s="367" t="s">
        <v>2055</v>
      </c>
      <c r="S465" s="367">
        <v>4928626</v>
      </c>
      <c r="T465" s="483">
        <v>586.79999999999995</v>
      </c>
      <c r="U465" s="470"/>
      <c r="V465" s="483">
        <v>0</v>
      </c>
      <c r="W465" s="470"/>
      <c r="X465" s="470"/>
      <c r="Y465" s="370">
        <f t="shared" si="8"/>
        <v>586.79999999999995</v>
      </c>
      <c r="Z465" s="371">
        <v>5</v>
      </c>
    </row>
    <row r="466" spans="1:26" x14ac:dyDescent="0.25">
      <c r="A466" s="481">
        <v>42473</v>
      </c>
      <c r="B466" s="470"/>
      <c r="C466" s="368">
        <v>42473</v>
      </c>
      <c r="F466" s="482" t="s">
        <v>673</v>
      </c>
      <c r="G466" s="470"/>
      <c r="H466" s="369" t="s">
        <v>659</v>
      </c>
      <c r="I466" s="369" t="s">
        <v>2056</v>
      </c>
      <c r="J466" s="367" t="s">
        <v>2057</v>
      </c>
      <c r="K466" s="482" t="s">
        <v>2058</v>
      </c>
      <c r="L466" s="470"/>
      <c r="M466" s="470"/>
      <c r="N466" s="369" t="s">
        <v>655</v>
      </c>
      <c r="O466" s="369" t="s">
        <v>753</v>
      </c>
      <c r="P466" s="369" t="s">
        <v>655</v>
      </c>
      <c r="Q466" s="369" t="s">
        <v>655</v>
      </c>
      <c r="R466" s="367" t="s">
        <v>2059</v>
      </c>
      <c r="S466" s="367">
        <v>4944615</v>
      </c>
      <c r="T466" s="483">
        <v>586.79999999999995</v>
      </c>
      <c r="U466" s="470"/>
      <c r="V466" s="483">
        <v>0</v>
      </c>
      <c r="W466" s="470"/>
      <c r="X466" s="470"/>
      <c r="Y466" s="370">
        <f t="shared" si="8"/>
        <v>586.79999999999995</v>
      </c>
      <c r="Z466" s="371">
        <v>4</v>
      </c>
    </row>
    <row r="467" spans="1:26" x14ac:dyDescent="0.25">
      <c r="A467" s="481">
        <v>42473</v>
      </c>
      <c r="B467" s="470"/>
      <c r="C467" s="368">
        <v>42473</v>
      </c>
      <c r="F467" s="482" t="s">
        <v>915</v>
      </c>
      <c r="G467" s="470"/>
      <c r="H467" s="369" t="s">
        <v>659</v>
      </c>
      <c r="I467" s="369" t="s">
        <v>2060</v>
      </c>
      <c r="J467" s="367" t="s">
        <v>2061</v>
      </c>
      <c r="K467" s="482" t="s">
        <v>2062</v>
      </c>
      <c r="L467" s="470"/>
      <c r="M467" s="470"/>
      <c r="N467" s="369" t="s">
        <v>655</v>
      </c>
      <c r="O467" s="369" t="s">
        <v>753</v>
      </c>
      <c r="P467" s="369" t="s">
        <v>655</v>
      </c>
      <c r="Q467" s="369" t="s">
        <v>753</v>
      </c>
      <c r="R467" s="367" t="s">
        <v>2063</v>
      </c>
      <c r="S467" s="367">
        <v>4938955</v>
      </c>
      <c r="T467" s="483">
        <v>586.79999999999995</v>
      </c>
      <c r="U467" s="470"/>
      <c r="V467" s="483">
        <v>0</v>
      </c>
      <c r="W467" s="470"/>
      <c r="X467" s="470"/>
      <c r="Y467" s="370">
        <f t="shared" si="8"/>
        <v>0</v>
      </c>
      <c r="Z467" s="371"/>
    </row>
    <row r="468" spans="1:26" x14ac:dyDescent="0.25">
      <c r="A468" s="481">
        <v>42475</v>
      </c>
      <c r="B468" s="470"/>
      <c r="C468" s="368">
        <v>42475</v>
      </c>
      <c r="F468" s="482" t="s">
        <v>1759</v>
      </c>
      <c r="G468" s="470"/>
      <c r="H468" s="369" t="s">
        <v>659</v>
      </c>
      <c r="I468" s="369" t="s">
        <v>2064</v>
      </c>
      <c r="J468" s="367" t="s">
        <v>2065</v>
      </c>
      <c r="K468" s="482" t="s">
        <v>2066</v>
      </c>
      <c r="L468" s="470"/>
      <c r="M468" s="470"/>
      <c r="N468" s="369" t="s">
        <v>655</v>
      </c>
      <c r="O468" s="369" t="s">
        <v>655</v>
      </c>
      <c r="P468" s="369" t="s">
        <v>655</v>
      </c>
      <c r="Q468" s="369" t="s">
        <v>655</v>
      </c>
      <c r="R468" s="367" t="s">
        <v>2067</v>
      </c>
      <c r="S468" s="367">
        <v>4945292</v>
      </c>
      <c r="T468" s="483">
        <v>586.79999999999995</v>
      </c>
      <c r="U468" s="470"/>
      <c r="V468" s="483">
        <v>55.5</v>
      </c>
      <c r="W468" s="470"/>
      <c r="X468" s="470"/>
      <c r="Y468" s="370">
        <f t="shared" si="8"/>
        <v>586.79999999999995</v>
      </c>
      <c r="Z468" s="371"/>
    </row>
    <row r="469" spans="1:26" x14ac:dyDescent="0.25">
      <c r="A469" s="481">
        <v>42476</v>
      </c>
      <c r="B469" s="470"/>
      <c r="C469" s="368">
        <v>42477</v>
      </c>
      <c r="F469" s="482" t="s">
        <v>924</v>
      </c>
      <c r="G469" s="470"/>
      <c r="H469" s="369" t="s">
        <v>659</v>
      </c>
      <c r="I469" s="369" t="s">
        <v>2068</v>
      </c>
      <c r="J469" s="367" t="s">
        <v>2069</v>
      </c>
      <c r="K469" s="482" t="s">
        <v>2070</v>
      </c>
      <c r="L469" s="470"/>
      <c r="M469" s="470"/>
      <c r="N469" s="369" t="s">
        <v>655</v>
      </c>
      <c r="O469" s="369" t="s">
        <v>753</v>
      </c>
      <c r="P469" s="369" t="s">
        <v>655</v>
      </c>
      <c r="Q469" s="369" t="s">
        <v>753</v>
      </c>
      <c r="R469" s="367" t="s">
        <v>2071</v>
      </c>
      <c r="S469" s="367">
        <v>4962969</v>
      </c>
      <c r="T469" s="483">
        <v>586.79999999999995</v>
      </c>
      <c r="U469" s="470"/>
      <c r="V469" s="483">
        <v>0</v>
      </c>
      <c r="W469" s="470"/>
      <c r="X469" s="470"/>
      <c r="Y469" s="370">
        <f t="shared" si="8"/>
        <v>0</v>
      </c>
      <c r="Z469" s="371"/>
    </row>
    <row r="470" spans="1:26" x14ac:dyDescent="0.25">
      <c r="A470" s="481">
        <v>42476</v>
      </c>
      <c r="B470" s="470"/>
      <c r="C470" s="368">
        <v>42476</v>
      </c>
      <c r="F470" s="482" t="s">
        <v>686</v>
      </c>
      <c r="G470" s="470"/>
      <c r="H470" s="369" t="s">
        <v>659</v>
      </c>
      <c r="I470" s="369" t="s">
        <v>2072</v>
      </c>
      <c r="J470" s="367" t="s">
        <v>2073</v>
      </c>
      <c r="K470" s="482" t="s">
        <v>2074</v>
      </c>
      <c r="L470" s="470"/>
      <c r="M470" s="470"/>
      <c r="N470" s="369" t="s">
        <v>655</v>
      </c>
      <c r="O470" s="369" t="s">
        <v>655</v>
      </c>
      <c r="P470" s="369" t="s">
        <v>655</v>
      </c>
      <c r="Q470" s="369" t="s">
        <v>655</v>
      </c>
      <c r="R470" s="367" t="s">
        <v>2075</v>
      </c>
      <c r="S470" s="367">
        <v>4950201</v>
      </c>
      <c r="T470" s="483">
        <v>586.79999999999995</v>
      </c>
      <c r="U470" s="470"/>
      <c r="V470" s="483">
        <v>949.34</v>
      </c>
      <c r="W470" s="470"/>
      <c r="X470" s="470"/>
      <c r="Y470" s="370">
        <f t="shared" si="8"/>
        <v>949.34</v>
      </c>
      <c r="Z470" s="371"/>
    </row>
    <row r="471" spans="1:26" x14ac:dyDescent="0.25">
      <c r="A471" s="481">
        <v>42476</v>
      </c>
      <c r="B471" s="470"/>
      <c r="C471" s="368">
        <v>42479</v>
      </c>
      <c r="F471" s="482" t="s">
        <v>673</v>
      </c>
      <c r="G471" s="470"/>
      <c r="H471" s="369" t="s">
        <v>659</v>
      </c>
      <c r="I471" s="369" t="s">
        <v>765</v>
      </c>
      <c r="J471" s="367" t="s">
        <v>766</v>
      </c>
      <c r="K471" s="482" t="s">
        <v>767</v>
      </c>
      <c r="L471" s="470"/>
      <c r="M471" s="470"/>
      <c r="N471" s="369" t="s">
        <v>655</v>
      </c>
      <c r="O471" s="369" t="s">
        <v>655</v>
      </c>
      <c r="P471" s="369" t="s">
        <v>655</v>
      </c>
      <c r="Q471" s="369" t="s">
        <v>655</v>
      </c>
      <c r="R471" s="367" t="s">
        <v>768</v>
      </c>
      <c r="S471" s="367">
        <v>4948389</v>
      </c>
      <c r="T471" s="483">
        <v>586.79999999999995</v>
      </c>
      <c r="U471" s="470"/>
      <c r="V471" s="483">
        <v>0</v>
      </c>
      <c r="W471" s="470"/>
      <c r="X471" s="470"/>
      <c r="Y471" s="370">
        <f t="shared" si="8"/>
        <v>586.79999999999995</v>
      </c>
      <c r="Z471" s="371"/>
    </row>
    <row r="472" spans="1:26" x14ac:dyDescent="0.25">
      <c r="A472" s="481">
        <v>42476</v>
      </c>
      <c r="B472" s="470"/>
      <c r="C472" s="368">
        <v>42476</v>
      </c>
      <c r="F472" s="482" t="s">
        <v>673</v>
      </c>
      <c r="G472" s="470"/>
      <c r="H472" s="369" t="s">
        <v>659</v>
      </c>
      <c r="I472" s="369" t="s">
        <v>2076</v>
      </c>
      <c r="J472" s="367" t="s">
        <v>2077</v>
      </c>
      <c r="K472" s="482" t="s">
        <v>2078</v>
      </c>
      <c r="L472" s="470"/>
      <c r="M472" s="470"/>
      <c r="N472" s="369" t="s">
        <v>655</v>
      </c>
      <c r="O472" s="369" t="s">
        <v>655</v>
      </c>
      <c r="P472" s="369" t="s">
        <v>655</v>
      </c>
      <c r="Q472" s="369" t="s">
        <v>655</v>
      </c>
      <c r="R472" s="367" t="s">
        <v>2079</v>
      </c>
      <c r="S472" s="367">
        <v>4963168</v>
      </c>
      <c r="T472" s="483">
        <v>586.79999999999995</v>
      </c>
      <c r="U472" s="470"/>
      <c r="V472" s="483">
        <v>1497.57</v>
      </c>
      <c r="W472" s="470"/>
      <c r="X472" s="470"/>
      <c r="Y472" s="370">
        <f t="shared" si="8"/>
        <v>1497.57</v>
      </c>
      <c r="Z472" s="371">
        <v>4</v>
      </c>
    </row>
    <row r="473" spans="1:26" x14ac:dyDescent="0.25">
      <c r="A473" s="481">
        <v>42476</v>
      </c>
      <c r="B473" s="470"/>
      <c r="C473" s="368">
        <v>42476</v>
      </c>
      <c r="F473" s="482" t="s">
        <v>673</v>
      </c>
      <c r="G473" s="470"/>
      <c r="H473" s="369" t="s">
        <v>659</v>
      </c>
      <c r="I473" s="369" t="s">
        <v>2080</v>
      </c>
      <c r="J473" s="367" t="s">
        <v>1813</v>
      </c>
      <c r="K473" s="482" t="s">
        <v>738</v>
      </c>
      <c r="L473" s="470"/>
      <c r="M473" s="470"/>
      <c r="N473" s="369" t="s">
        <v>655</v>
      </c>
      <c r="O473" s="369" t="s">
        <v>753</v>
      </c>
      <c r="P473" s="369" t="s">
        <v>655</v>
      </c>
      <c r="Q473" s="369" t="s">
        <v>655</v>
      </c>
      <c r="R473" s="367" t="s">
        <v>2081</v>
      </c>
      <c r="S473" s="367">
        <v>4963104</v>
      </c>
      <c r="T473" s="483">
        <v>586.79999999999995</v>
      </c>
      <c r="U473" s="470"/>
      <c r="V473" s="483">
        <v>757.79</v>
      </c>
      <c r="W473" s="470"/>
      <c r="X473" s="470"/>
      <c r="Y473" s="370">
        <f t="shared" si="8"/>
        <v>757.79</v>
      </c>
      <c r="Z473" s="371">
        <v>2</v>
      </c>
    </row>
    <row r="474" spans="1:26" x14ac:dyDescent="0.25">
      <c r="A474" s="481">
        <v>42476</v>
      </c>
      <c r="B474" s="470"/>
      <c r="C474" s="368">
        <v>42476</v>
      </c>
      <c r="F474" s="482" t="s">
        <v>697</v>
      </c>
      <c r="G474" s="470"/>
      <c r="H474" s="369" t="s">
        <v>659</v>
      </c>
      <c r="I474" s="369" t="s">
        <v>2082</v>
      </c>
      <c r="J474" s="367" t="s">
        <v>2083</v>
      </c>
      <c r="K474" s="482" t="s">
        <v>1310</v>
      </c>
      <c r="L474" s="470"/>
      <c r="M474" s="470"/>
      <c r="N474" s="369" t="s">
        <v>655</v>
      </c>
      <c r="O474" s="369" t="s">
        <v>753</v>
      </c>
      <c r="P474" s="369" t="s">
        <v>655</v>
      </c>
      <c r="Q474" s="369" t="s">
        <v>753</v>
      </c>
      <c r="R474" s="367" t="s">
        <v>2084</v>
      </c>
      <c r="S474" s="367">
        <v>4963253</v>
      </c>
      <c r="T474" s="483">
        <v>586.79999999999995</v>
      </c>
      <c r="U474" s="470"/>
      <c r="V474" s="483">
        <v>0</v>
      </c>
      <c r="W474" s="470"/>
      <c r="X474" s="470"/>
      <c r="Y474" s="370">
        <f t="shared" si="8"/>
        <v>0</v>
      </c>
      <c r="Z474" s="371"/>
    </row>
    <row r="475" spans="1:26" x14ac:dyDescent="0.25">
      <c r="A475" s="481">
        <v>42476</v>
      </c>
      <c r="B475" s="470"/>
      <c r="C475" s="368">
        <v>42476</v>
      </c>
      <c r="F475" s="482" t="s">
        <v>720</v>
      </c>
      <c r="G475" s="470"/>
      <c r="H475" s="369" t="s">
        <v>659</v>
      </c>
      <c r="I475" s="369" t="s">
        <v>1313</v>
      </c>
      <c r="J475" s="367" t="s">
        <v>1314</v>
      </c>
      <c r="K475" s="482" t="s">
        <v>1315</v>
      </c>
      <c r="L475" s="470"/>
      <c r="M475" s="470"/>
      <c r="N475" s="369" t="s">
        <v>655</v>
      </c>
      <c r="O475" s="369" t="s">
        <v>753</v>
      </c>
      <c r="P475" s="369" t="s">
        <v>655</v>
      </c>
      <c r="Q475" s="369" t="s">
        <v>753</v>
      </c>
      <c r="R475" s="367" t="s">
        <v>2085</v>
      </c>
      <c r="S475" s="367">
        <v>4962928</v>
      </c>
      <c r="T475" s="483">
        <v>586.79999999999995</v>
      </c>
      <c r="U475" s="470"/>
      <c r="V475" s="483">
        <v>0</v>
      </c>
      <c r="W475" s="470"/>
      <c r="X475" s="470"/>
      <c r="Y475" s="370">
        <f t="shared" si="8"/>
        <v>0</v>
      </c>
      <c r="Z475" s="371"/>
    </row>
    <row r="476" spans="1:26" x14ac:dyDescent="0.25">
      <c r="A476" s="481">
        <v>42476</v>
      </c>
      <c r="B476" s="470"/>
      <c r="C476" s="368">
        <v>42477</v>
      </c>
      <c r="F476" s="482" t="s">
        <v>697</v>
      </c>
      <c r="G476" s="470"/>
      <c r="H476" s="369" t="s">
        <v>659</v>
      </c>
      <c r="I476" s="369" t="s">
        <v>2086</v>
      </c>
      <c r="J476" s="367" t="s">
        <v>2087</v>
      </c>
      <c r="K476" s="482" t="s">
        <v>2088</v>
      </c>
      <c r="L476" s="470"/>
      <c r="M476" s="470"/>
      <c r="N476" s="369" t="s">
        <v>655</v>
      </c>
      <c r="O476" s="369" t="s">
        <v>753</v>
      </c>
      <c r="P476" s="369" t="s">
        <v>655</v>
      </c>
      <c r="Q476" s="369" t="s">
        <v>753</v>
      </c>
      <c r="R476" s="367" t="s">
        <v>2089</v>
      </c>
      <c r="S476" s="367">
        <v>4962991</v>
      </c>
      <c r="T476" s="483">
        <v>586.79999999999995</v>
      </c>
      <c r="U476" s="470"/>
      <c r="V476" s="483">
        <v>0</v>
      </c>
      <c r="W476" s="470"/>
      <c r="X476" s="470"/>
      <c r="Y476" s="370">
        <f t="shared" si="8"/>
        <v>0</v>
      </c>
      <c r="Z476" s="371"/>
    </row>
    <row r="477" spans="1:26" x14ac:dyDescent="0.25">
      <c r="A477" s="481">
        <v>42477</v>
      </c>
      <c r="B477" s="470"/>
      <c r="C477" s="368">
        <v>42478</v>
      </c>
      <c r="F477" s="482" t="s">
        <v>673</v>
      </c>
      <c r="G477" s="470"/>
      <c r="H477" s="369" t="s">
        <v>659</v>
      </c>
      <c r="I477" s="369" t="s">
        <v>2090</v>
      </c>
      <c r="J477" s="367" t="s">
        <v>2091</v>
      </c>
      <c r="K477" s="482" t="s">
        <v>1473</v>
      </c>
      <c r="L477" s="470"/>
      <c r="M477" s="470"/>
      <c r="N477" s="369" t="s">
        <v>655</v>
      </c>
      <c r="O477" s="369" t="s">
        <v>753</v>
      </c>
      <c r="P477" s="369" t="s">
        <v>655</v>
      </c>
      <c r="Q477" s="369" t="s">
        <v>753</v>
      </c>
      <c r="R477" s="367" t="s">
        <v>2092</v>
      </c>
      <c r="S477" s="367">
        <v>4962941</v>
      </c>
      <c r="T477" s="483">
        <v>586.79999999999995</v>
      </c>
      <c r="U477" s="470"/>
      <c r="V477" s="483">
        <v>0</v>
      </c>
      <c r="W477" s="470"/>
      <c r="X477" s="470"/>
      <c r="Y477" s="370">
        <f t="shared" si="8"/>
        <v>0</v>
      </c>
      <c r="Z477" s="371"/>
    </row>
    <row r="478" spans="1:26" x14ac:dyDescent="0.25">
      <c r="A478" s="481">
        <v>42477</v>
      </c>
      <c r="B478" s="470"/>
      <c r="C478" s="368">
        <v>42477</v>
      </c>
      <c r="F478" s="482" t="s">
        <v>673</v>
      </c>
      <c r="G478" s="470"/>
      <c r="H478" s="369" t="s">
        <v>659</v>
      </c>
      <c r="I478" s="369" t="s">
        <v>2093</v>
      </c>
      <c r="J478" s="367" t="s">
        <v>2094</v>
      </c>
      <c r="K478" s="482" t="s">
        <v>2095</v>
      </c>
      <c r="L478" s="470"/>
      <c r="M478" s="470"/>
      <c r="N478" s="369" t="s">
        <v>655</v>
      </c>
      <c r="O478" s="369" t="s">
        <v>753</v>
      </c>
      <c r="P478" s="369" t="s">
        <v>655</v>
      </c>
      <c r="Q478" s="369" t="s">
        <v>655</v>
      </c>
      <c r="R478" s="367" t="s">
        <v>2096</v>
      </c>
      <c r="S478" s="367">
        <v>4963137</v>
      </c>
      <c r="T478" s="483">
        <v>586.79999999999995</v>
      </c>
      <c r="U478" s="470"/>
      <c r="V478" s="483">
        <v>885.04</v>
      </c>
      <c r="W478" s="470"/>
      <c r="X478" s="470"/>
      <c r="Y478" s="370">
        <f t="shared" si="8"/>
        <v>885.04</v>
      </c>
      <c r="Z478" s="371"/>
    </row>
    <row r="479" spans="1:26" x14ac:dyDescent="0.25">
      <c r="A479" s="481">
        <v>42477</v>
      </c>
      <c r="B479" s="470"/>
      <c r="C479" s="368">
        <v>42478</v>
      </c>
      <c r="F479" s="482" t="s">
        <v>686</v>
      </c>
      <c r="G479" s="470"/>
      <c r="H479" s="369" t="s">
        <v>659</v>
      </c>
      <c r="I479" s="369" t="s">
        <v>2097</v>
      </c>
      <c r="J479" s="367" t="s">
        <v>2098</v>
      </c>
      <c r="K479" s="482" t="s">
        <v>2099</v>
      </c>
      <c r="L479" s="470"/>
      <c r="M479" s="470"/>
      <c r="N479" s="369" t="s">
        <v>655</v>
      </c>
      <c r="O479" s="369" t="s">
        <v>655</v>
      </c>
      <c r="P479" s="369" t="s">
        <v>655</v>
      </c>
      <c r="Q479" s="369" t="s">
        <v>655</v>
      </c>
      <c r="R479" s="367" t="s">
        <v>2100</v>
      </c>
      <c r="S479" s="367">
        <v>4953192</v>
      </c>
      <c r="T479" s="483">
        <v>586.79999999999995</v>
      </c>
      <c r="U479" s="470"/>
      <c r="V479" s="483">
        <v>55.5</v>
      </c>
      <c r="W479" s="470"/>
      <c r="X479" s="470"/>
      <c r="Y479" s="370">
        <f t="shared" si="8"/>
        <v>586.79999999999995</v>
      </c>
      <c r="Z479" s="371"/>
    </row>
    <row r="480" spans="1:26" x14ac:dyDescent="0.25">
      <c r="A480" s="481">
        <v>42479</v>
      </c>
      <c r="B480" s="470"/>
      <c r="C480" s="368">
        <v>42479</v>
      </c>
      <c r="F480" s="482" t="s">
        <v>673</v>
      </c>
      <c r="G480" s="470"/>
      <c r="H480" s="369" t="s">
        <v>659</v>
      </c>
      <c r="I480" s="369" t="s">
        <v>2101</v>
      </c>
      <c r="J480" s="367" t="s">
        <v>2102</v>
      </c>
      <c r="K480" s="482" t="s">
        <v>1441</v>
      </c>
      <c r="L480" s="470"/>
      <c r="M480" s="470"/>
      <c r="N480" s="369" t="s">
        <v>655</v>
      </c>
      <c r="O480" s="369" t="s">
        <v>753</v>
      </c>
      <c r="P480" s="369" t="s">
        <v>655</v>
      </c>
      <c r="Q480" s="369" t="s">
        <v>655</v>
      </c>
      <c r="R480" s="367" t="s">
        <v>2103</v>
      </c>
      <c r="S480" s="367">
        <v>4970916</v>
      </c>
      <c r="T480" s="483">
        <v>586.79999999999995</v>
      </c>
      <c r="U480" s="470"/>
      <c r="V480" s="483">
        <v>686.44</v>
      </c>
      <c r="W480" s="470"/>
      <c r="X480" s="470"/>
      <c r="Y480" s="370">
        <f t="shared" si="8"/>
        <v>686.44</v>
      </c>
      <c r="Z480" s="371"/>
    </row>
    <row r="481" spans="1:26" x14ac:dyDescent="0.25">
      <c r="A481" s="481">
        <v>42479</v>
      </c>
      <c r="B481" s="470"/>
      <c r="C481" s="368">
        <v>42479</v>
      </c>
      <c r="F481" s="482" t="s">
        <v>684</v>
      </c>
      <c r="G481" s="470"/>
      <c r="H481" s="369" t="s">
        <v>659</v>
      </c>
      <c r="I481" s="369" t="s">
        <v>2104</v>
      </c>
      <c r="J481" s="367" t="s">
        <v>1813</v>
      </c>
      <c r="K481" s="482" t="s">
        <v>2105</v>
      </c>
      <c r="L481" s="470"/>
      <c r="M481" s="470"/>
      <c r="N481" s="369" t="s">
        <v>655</v>
      </c>
      <c r="O481" s="369" t="s">
        <v>753</v>
      </c>
      <c r="P481" s="369" t="s">
        <v>655</v>
      </c>
      <c r="Q481" s="369" t="s">
        <v>655</v>
      </c>
      <c r="R481" s="367" t="s">
        <v>2106</v>
      </c>
      <c r="S481" s="367">
        <v>4970889</v>
      </c>
      <c r="T481" s="483">
        <v>586.79999999999995</v>
      </c>
      <c r="U481" s="470"/>
      <c r="V481" s="483">
        <v>901.12</v>
      </c>
      <c r="W481" s="470"/>
      <c r="X481" s="470"/>
      <c r="Y481" s="370">
        <f t="shared" si="8"/>
        <v>901.12</v>
      </c>
      <c r="Z481" s="371"/>
    </row>
    <row r="482" spans="1:26" x14ac:dyDescent="0.25">
      <c r="A482" s="481">
        <v>42480</v>
      </c>
      <c r="B482" s="470"/>
      <c r="C482" s="368">
        <v>42481</v>
      </c>
      <c r="F482" s="482" t="s">
        <v>673</v>
      </c>
      <c r="G482" s="470"/>
      <c r="H482" s="369" t="s">
        <v>659</v>
      </c>
      <c r="I482" s="369" t="s">
        <v>2107</v>
      </c>
      <c r="J482" s="367" t="s">
        <v>2108</v>
      </c>
      <c r="K482" s="482" t="s">
        <v>816</v>
      </c>
      <c r="L482" s="470"/>
      <c r="M482" s="470"/>
      <c r="N482" s="369" t="s">
        <v>655</v>
      </c>
      <c r="O482" s="369" t="s">
        <v>753</v>
      </c>
      <c r="P482" s="369" t="s">
        <v>655</v>
      </c>
      <c r="Q482" s="369" t="s">
        <v>753</v>
      </c>
      <c r="R482" s="367" t="s">
        <v>2109</v>
      </c>
      <c r="S482" s="367">
        <v>4985405</v>
      </c>
      <c r="T482" s="483">
        <v>586.79999999999995</v>
      </c>
      <c r="U482" s="470"/>
      <c r="V482" s="483">
        <v>4.8600000000000003</v>
      </c>
      <c r="W482" s="470"/>
      <c r="X482" s="470"/>
      <c r="Y482" s="370">
        <f t="shared" si="8"/>
        <v>4.8600000000000003</v>
      </c>
      <c r="Z482" s="371"/>
    </row>
    <row r="483" spans="1:26" x14ac:dyDescent="0.25">
      <c r="A483" s="481">
        <v>42480</v>
      </c>
      <c r="B483" s="470"/>
      <c r="C483" s="368">
        <v>42480</v>
      </c>
      <c r="F483" s="482" t="s">
        <v>673</v>
      </c>
      <c r="G483" s="470"/>
      <c r="H483" s="369" t="s">
        <v>659</v>
      </c>
      <c r="I483" s="369" t="s">
        <v>2110</v>
      </c>
      <c r="J483" s="367" t="s">
        <v>2111</v>
      </c>
      <c r="K483" s="482" t="s">
        <v>2112</v>
      </c>
      <c r="L483" s="470"/>
      <c r="M483" s="470"/>
      <c r="N483" s="369" t="s">
        <v>655</v>
      </c>
      <c r="O483" s="369" t="s">
        <v>753</v>
      </c>
      <c r="P483" s="369" t="s">
        <v>655</v>
      </c>
      <c r="Q483" s="369" t="s">
        <v>655</v>
      </c>
      <c r="R483" s="367" t="s">
        <v>2113</v>
      </c>
      <c r="S483" s="367">
        <v>4985454</v>
      </c>
      <c r="T483" s="483">
        <v>586.79999999999995</v>
      </c>
      <c r="U483" s="470"/>
      <c r="V483" s="483">
        <v>1283.74</v>
      </c>
      <c r="W483" s="470"/>
      <c r="X483" s="470"/>
      <c r="Y483" s="370">
        <f t="shared" si="8"/>
        <v>1283.74</v>
      </c>
      <c r="Z483" s="371">
        <v>1</v>
      </c>
    </row>
    <row r="484" spans="1:26" x14ac:dyDescent="0.25">
      <c r="A484" s="481">
        <v>42480</v>
      </c>
      <c r="B484" s="470"/>
      <c r="C484" s="368">
        <v>42481</v>
      </c>
      <c r="F484" s="482" t="s">
        <v>673</v>
      </c>
      <c r="G484" s="470"/>
      <c r="H484" s="369" t="s">
        <v>659</v>
      </c>
      <c r="I484" s="369" t="s">
        <v>2114</v>
      </c>
      <c r="J484" s="367" t="s">
        <v>2115</v>
      </c>
      <c r="K484" s="482" t="s">
        <v>2116</v>
      </c>
      <c r="L484" s="470"/>
      <c r="M484" s="470"/>
      <c r="N484" s="369" t="s">
        <v>655</v>
      </c>
      <c r="O484" s="369" t="s">
        <v>753</v>
      </c>
      <c r="P484" s="369" t="s">
        <v>655</v>
      </c>
      <c r="Q484" s="369" t="s">
        <v>655</v>
      </c>
      <c r="R484" s="367" t="s">
        <v>2117</v>
      </c>
      <c r="S484" s="367">
        <v>4985421</v>
      </c>
      <c r="T484" s="483">
        <v>586.79999999999995</v>
      </c>
      <c r="U484" s="470"/>
      <c r="V484" s="483">
        <v>1155.6600000000001</v>
      </c>
      <c r="W484" s="470"/>
      <c r="X484" s="470"/>
      <c r="Y484" s="370">
        <f t="shared" si="8"/>
        <v>1155.6600000000001</v>
      </c>
      <c r="Z484" s="371"/>
    </row>
    <row r="485" spans="1:26" x14ac:dyDescent="0.25">
      <c r="A485" s="481">
        <v>42480</v>
      </c>
      <c r="B485" s="470"/>
      <c r="C485" s="368">
        <v>42481</v>
      </c>
      <c r="F485" s="482" t="s">
        <v>673</v>
      </c>
      <c r="G485" s="470"/>
      <c r="H485" s="369" t="s">
        <v>659</v>
      </c>
      <c r="I485" s="369" t="s">
        <v>2118</v>
      </c>
      <c r="J485" s="367" t="s">
        <v>1318</v>
      </c>
      <c r="K485" s="482" t="s">
        <v>2119</v>
      </c>
      <c r="L485" s="470"/>
      <c r="M485" s="470"/>
      <c r="N485" s="369" t="s">
        <v>655</v>
      </c>
      <c r="O485" s="369" t="s">
        <v>753</v>
      </c>
      <c r="P485" s="369" t="s">
        <v>655</v>
      </c>
      <c r="Q485" s="369" t="s">
        <v>655</v>
      </c>
      <c r="R485" s="367" t="s">
        <v>2120</v>
      </c>
      <c r="S485" s="367">
        <v>4985305</v>
      </c>
      <c r="T485" s="483">
        <v>586.79999999999995</v>
      </c>
      <c r="U485" s="470"/>
      <c r="V485" s="483">
        <v>1300.78</v>
      </c>
      <c r="W485" s="470"/>
      <c r="X485" s="470"/>
      <c r="Y485" s="370">
        <f t="shared" si="8"/>
        <v>1300.78</v>
      </c>
      <c r="Z485" s="371"/>
    </row>
    <row r="486" spans="1:26" x14ac:dyDescent="0.25">
      <c r="A486" s="481">
        <v>42482</v>
      </c>
      <c r="B486" s="470"/>
      <c r="C486" s="368">
        <v>42483</v>
      </c>
      <c r="F486" s="482" t="s">
        <v>777</v>
      </c>
      <c r="G486" s="470"/>
      <c r="H486" s="369" t="s">
        <v>659</v>
      </c>
      <c r="I486" s="369" t="s">
        <v>1295</v>
      </c>
      <c r="J486" s="367" t="s">
        <v>1296</v>
      </c>
      <c r="K486" s="482" t="s">
        <v>1045</v>
      </c>
      <c r="L486" s="470"/>
      <c r="M486" s="470"/>
      <c r="N486" s="369" t="s">
        <v>655</v>
      </c>
      <c r="O486" s="369" t="s">
        <v>753</v>
      </c>
      <c r="P486" s="369" t="s">
        <v>655</v>
      </c>
      <c r="Q486" s="369" t="s">
        <v>753</v>
      </c>
      <c r="R486" s="367" t="s">
        <v>2121</v>
      </c>
      <c r="S486" s="367">
        <v>4998476</v>
      </c>
      <c r="T486" s="483">
        <v>586.79999999999995</v>
      </c>
      <c r="U486" s="470"/>
      <c r="V486" s="483">
        <v>0</v>
      </c>
      <c r="W486" s="470"/>
      <c r="X486" s="470"/>
      <c r="Y486" s="370">
        <f t="shared" si="8"/>
        <v>0</v>
      </c>
      <c r="Z486" s="371"/>
    </row>
    <row r="487" spans="1:26" x14ac:dyDescent="0.25">
      <c r="A487" s="481">
        <v>42482</v>
      </c>
      <c r="B487" s="470"/>
      <c r="C487" s="368">
        <v>42482</v>
      </c>
      <c r="F487" s="482" t="s">
        <v>673</v>
      </c>
      <c r="G487" s="470"/>
      <c r="H487" s="369" t="s">
        <v>659</v>
      </c>
      <c r="I487" s="369" t="s">
        <v>2122</v>
      </c>
      <c r="J487" s="367" t="s">
        <v>2123</v>
      </c>
      <c r="K487" s="482" t="s">
        <v>963</v>
      </c>
      <c r="L487" s="470"/>
      <c r="M487" s="470"/>
      <c r="N487" s="369" t="s">
        <v>655</v>
      </c>
      <c r="O487" s="369" t="s">
        <v>753</v>
      </c>
      <c r="P487" s="369" t="s">
        <v>655</v>
      </c>
      <c r="Q487" s="369" t="s">
        <v>753</v>
      </c>
      <c r="R487" s="367" t="s">
        <v>2124</v>
      </c>
      <c r="S487" s="367">
        <v>4998514</v>
      </c>
      <c r="T487" s="483">
        <v>586.79999999999995</v>
      </c>
      <c r="U487" s="470"/>
      <c r="V487" s="483">
        <v>1026.98</v>
      </c>
      <c r="W487" s="470"/>
      <c r="X487" s="470"/>
      <c r="Y487" s="370">
        <f t="shared" si="8"/>
        <v>1026.98</v>
      </c>
      <c r="Z487" s="371"/>
    </row>
    <row r="488" spans="1:26" x14ac:dyDescent="0.25">
      <c r="A488" s="481">
        <v>42482</v>
      </c>
      <c r="B488" s="470"/>
      <c r="C488" s="368">
        <v>42485</v>
      </c>
      <c r="F488" s="482" t="s">
        <v>678</v>
      </c>
      <c r="G488" s="470"/>
      <c r="H488" s="369" t="s">
        <v>659</v>
      </c>
      <c r="I488" s="369" t="s">
        <v>769</v>
      </c>
      <c r="J488" s="367" t="s">
        <v>770</v>
      </c>
      <c r="K488" s="482" t="s">
        <v>771</v>
      </c>
      <c r="L488" s="470"/>
      <c r="M488" s="470"/>
      <c r="N488" s="369" t="s">
        <v>655</v>
      </c>
      <c r="O488" s="369" t="s">
        <v>655</v>
      </c>
      <c r="P488" s="369" t="s">
        <v>655</v>
      </c>
      <c r="Q488" s="369" t="s">
        <v>655</v>
      </c>
      <c r="R488" s="367" t="s">
        <v>772</v>
      </c>
      <c r="S488" s="367">
        <v>4987754</v>
      </c>
      <c r="T488" s="483">
        <v>586.79999999999995</v>
      </c>
      <c r="U488" s="470"/>
      <c r="V488" s="483">
        <v>0</v>
      </c>
      <c r="W488" s="470"/>
      <c r="X488" s="470"/>
      <c r="Y488" s="370">
        <f t="shared" si="8"/>
        <v>586.79999999999995</v>
      </c>
      <c r="Z488" s="371"/>
    </row>
    <row r="489" spans="1:26" x14ac:dyDescent="0.25">
      <c r="A489" s="481">
        <v>42484</v>
      </c>
      <c r="B489" s="470"/>
      <c r="C489" s="368">
        <v>42484</v>
      </c>
      <c r="F489" s="482" t="s">
        <v>673</v>
      </c>
      <c r="G489" s="470"/>
      <c r="H489" s="369" t="s">
        <v>659</v>
      </c>
      <c r="I489" s="369" t="s">
        <v>2125</v>
      </c>
      <c r="J489" s="367" t="s">
        <v>2126</v>
      </c>
      <c r="K489" s="482" t="s">
        <v>2127</v>
      </c>
      <c r="L489" s="470"/>
      <c r="M489" s="470"/>
      <c r="N489" s="369" t="s">
        <v>655</v>
      </c>
      <c r="O489" s="369" t="s">
        <v>753</v>
      </c>
      <c r="P489" s="369" t="s">
        <v>655</v>
      </c>
      <c r="Q489" s="369" t="s">
        <v>655</v>
      </c>
      <c r="R489" s="367" t="s">
        <v>2128</v>
      </c>
      <c r="S489" s="367">
        <v>4999951</v>
      </c>
      <c r="T489" s="483">
        <v>586.79999999999995</v>
      </c>
      <c r="U489" s="470"/>
      <c r="V489" s="483">
        <v>0</v>
      </c>
      <c r="W489" s="470"/>
      <c r="X489" s="470"/>
      <c r="Y489" s="370">
        <f t="shared" si="8"/>
        <v>586.79999999999995</v>
      </c>
      <c r="Z489" s="371"/>
    </row>
    <row r="490" spans="1:26" x14ac:dyDescent="0.25">
      <c r="A490" s="481">
        <v>42485</v>
      </c>
      <c r="B490" s="470"/>
      <c r="C490" s="368">
        <v>42485</v>
      </c>
      <c r="F490" s="482" t="s">
        <v>673</v>
      </c>
      <c r="G490" s="470"/>
      <c r="H490" s="369" t="s">
        <v>659</v>
      </c>
      <c r="I490" s="369" t="s">
        <v>2129</v>
      </c>
      <c r="J490" s="367" t="s">
        <v>2130</v>
      </c>
      <c r="K490" s="482" t="s">
        <v>1415</v>
      </c>
      <c r="L490" s="470"/>
      <c r="M490" s="470"/>
      <c r="N490" s="369" t="s">
        <v>655</v>
      </c>
      <c r="O490" s="369" t="s">
        <v>753</v>
      </c>
      <c r="P490" s="369" t="s">
        <v>655</v>
      </c>
      <c r="Q490" s="369" t="s">
        <v>655</v>
      </c>
      <c r="R490" s="367" t="s">
        <v>2131</v>
      </c>
      <c r="S490" s="367">
        <v>5008543</v>
      </c>
      <c r="T490" s="483">
        <v>586.79999999999995</v>
      </c>
      <c r="U490" s="470"/>
      <c r="V490" s="483">
        <v>2004.29</v>
      </c>
      <c r="W490" s="470"/>
      <c r="X490" s="470"/>
      <c r="Y490" s="370">
        <f t="shared" si="8"/>
        <v>2004.29</v>
      </c>
      <c r="Z490" s="371"/>
    </row>
    <row r="491" spans="1:26" x14ac:dyDescent="0.25">
      <c r="A491" s="481">
        <v>42486</v>
      </c>
      <c r="B491" s="470"/>
      <c r="C491" s="368">
        <v>42488</v>
      </c>
      <c r="F491" s="482" t="s">
        <v>728</v>
      </c>
      <c r="G491" s="470"/>
      <c r="H491" s="369" t="s">
        <v>659</v>
      </c>
      <c r="I491" s="369" t="s">
        <v>2132</v>
      </c>
      <c r="J491" s="367" t="s">
        <v>2133</v>
      </c>
      <c r="K491" s="482" t="s">
        <v>2134</v>
      </c>
      <c r="L491" s="470"/>
      <c r="M491" s="470"/>
      <c r="N491" s="369" t="s">
        <v>655</v>
      </c>
      <c r="O491" s="369" t="s">
        <v>655</v>
      </c>
      <c r="P491" s="369" t="s">
        <v>655</v>
      </c>
      <c r="Q491" s="369" t="s">
        <v>655</v>
      </c>
      <c r="R491" s="367" t="s">
        <v>2135</v>
      </c>
      <c r="S491" s="367">
        <v>5008893</v>
      </c>
      <c r="T491" s="483">
        <v>586.79999999999995</v>
      </c>
      <c r="U491" s="470"/>
      <c r="V491" s="483">
        <v>0</v>
      </c>
      <c r="W491" s="470"/>
      <c r="X491" s="470"/>
      <c r="Y491" s="370">
        <f t="shared" si="8"/>
        <v>586.79999999999995</v>
      </c>
      <c r="Z491" s="371"/>
    </row>
    <row r="492" spans="1:26" x14ac:dyDescent="0.25">
      <c r="A492" s="481">
        <v>42486</v>
      </c>
      <c r="B492" s="470"/>
      <c r="C492" s="368">
        <v>42486</v>
      </c>
      <c r="F492" s="482" t="s">
        <v>2136</v>
      </c>
      <c r="G492" s="470"/>
      <c r="H492" s="369" t="s">
        <v>659</v>
      </c>
      <c r="I492" s="369" t="s">
        <v>2137</v>
      </c>
      <c r="J492" s="367" t="s">
        <v>2138</v>
      </c>
      <c r="K492" s="482" t="s">
        <v>1473</v>
      </c>
      <c r="L492" s="470"/>
      <c r="M492" s="470"/>
      <c r="N492" s="369" t="s">
        <v>655</v>
      </c>
      <c r="O492" s="369" t="s">
        <v>753</v>
      </c>
      <c r="P492" s="369" t="s">
        <v>655</v>
      </c>
      <c r="Q492" s="369" t="s">
        <v>753</v>
      </c>
      <c r="R492" s="367" t="s">
        <v>2139</v>
      </c>
      <c r="S492" s="367">
        <v>5015338</v>
      </c>
      <c r="T492" s="483">
        <v>586.79999999999995</v>
      </c>
      <c r="U492" s="470"/>
      <c r="V492" s="483">
        <v>0</v>
      </c>
      <c r="W492" s="470"/>
      <c r="X492" s="470"/>
      <c r="Y492" s="370">
        <f t="shared" si="8"/>
        <v>0</v>
      </c>
      <c r="Z492" s="371"/>
    </row>
    <row r="493" spans="1:26" x14ac:dyDescent="0.25">
      <c r="A493" s="481">
        <v>42487</v>
      </c>
      <c r="B493" s="470"/>
      <c r="C493" s="368">
        <v>42487</v>
      </c>
      <c r="F493" s="482" t="s">
        <v>673</v>
      </c>
      <c r="G493" s="470"/>
      <c r="H493" s="369" t="s">
        <v>659</v>
      </c>
      <c r="I493" s="369" t="s">
        <v>2140</v>
      </c>
      <c r="J493" s="367" t="s">
        <v>1473</v>
      </c>
      <c r="K493" s="482" t="s">
        <v>2141</v>
      </c>
      <c r="L493" s="470"/>
      <c r="M493" s="470"/>
      <c r="N493" s="369" t="s">
        <v>655</v>
      </c>
      <c r="O493" s="369" t="s">
        <v>753</v>
      </c>
      <c r="P493" s="369" t="s">
        <v>655</v>
      </c>
      <c r="Q493" s="369" t="s">
        <v>655</v>
      </c>
      <c r="R493" s="367" t="s">
        <v>2142</v>
      </c>
      <c r="S493" s="367">
        <v>5015387</v>
      </c>
      <c r="T493" s="483">
        <v>586.79999999999995</v>
      </c>
      <c r="U493" s="470"/>
      <c r="V493" s="483">
        <v>234.89</v>
      </c>
      <c r="W493" s="470"/>
      <c r="X493" s="470"/>
      <c r="Y493" s="370">
        <f t="shared" si="8"/>
        <v>586.79999999999995</v>
      </c>
      <c r="Z493" s="371">
        <v>1</v>
      </c>
    </row>
    <row r="494" spans="1:26" x14ac:dyDescent="0.25">
      <c r="A494" s="481">
        <v>42487</v>
      </c>
      <c r="B494" s="470"/>
      <c r="C494" s="368">
        <v>42488</v>
      </c>
      <c r="F494" s="482" t="s">
        <v>673</v>
      </c>
      <c r="G494" s="470"/>
      <c r="H494" s="369" t="s">
        <v>659</v>
      </c>
      <c r="I494" s="369" t="s">
        <v>1972</v>
      </c>
      <c r="J494" s="367" t="s">
        <v>1973</v>
      </c>
      <c r="K494" s="482" t="s">
        <v>1974</v>
      </c>
      <c r="L494" s="470"/>
      <c r="M494" s="470"/>
      <c r="N494" s="369" t="s">
        <v>655</v>
      </c>
      <c r="O494" s="369" t="s">
        <v>753</v>
      </c>
      <c r="P494" s="369" t="s">
        <v>655</v>
      </c>
      <c r="Q494" s="369" t="s">
        <v>753</v>
      </c>
      <c r="R494" s="367" t="s">
        <v>2143</v>
      </c>
      <c r="S494" s="367">
        <v>5029865</v>
      </c>
      <c r="T494" s="483">
        <v>586.79999999999995</v>
      </c>
      <c r="U494" s="470"/>
      <c r="V494" s="483">
        <v>0</v>
      </c>
      <c r="W494" s="470"/>
      <c r="X494" s="470"/>
      <c r="Y494" s="370">
        <f t="shared" si="8"/>
        <v>0</v>
      </c>
      <c r="Z494" s="371">
        <v>4</v>
      </c>
    </row>
    <row r="495" spans="1:26" x14ac:dyDescent="0.25">
      <c r="A495" s="481">
        <v>42488</v>
      </c>
      <c r="B495" s="470"/>
      <c r="C495" s="368">
        <v>42495</v>
      </c>
      <c r="F495" s="482" t="s">
        <v>2144</v>
      </c>
      <c r="G495" s="470"/>
      <c r="H495" s="369" t="s">
        <v>659</v>
      </c>
      <c r="I495" s="369" t="s">
        <v>2104</v>
      </c>
      <c r="J495" s="367" t="s">
        <v>1813</v>
      </c>
      <c r="K495" s="482" t="s">
        <v>2105</v>
      </c>
      <c r="L495" s="470"/>
      <c r="M495" s="470"/>
      <c r="N495" s="369" t="s">
        <v>655</v>
      </c>
      <c r="O495" s="369" t="s">
        <v>655</v>
      </c>
      <c r="P495" s="369" t="s">
        <v>655</v>
      </c>
      <c r="Q495" s="369" t="s">
        <v>655</v>
      </c>
      <c r="R495" s="367" t="s">
        <v>2145</v>
      </c>
      <c r="S495" s="367">
        <v>5023377</v>
      </c>
      <c r="T495" s="483">
        <v>586.79999999999995</v>
      </c>
      <c r="U495" s="470"/>
      <c r="V495" s="483">
        <v>0</v>
      </c>
      <c r="W495" s="470"/>
      <c r="X495" s="470"/>
      <c r="Y495" s="370">
        <f t="shared" si="8"/>
        <v>586.79999999999995</v>
      </c>
      <c r="Z495" s="371"/>
    </row>
    <row r="496" spans="1:26" x14ac:dyDescent="0.25">
      <c r="A496" s="481">
        <v>42488</v>
      </c>
      <c r="B496" s="470"/>
      <c r="C496" s="368">
        <v>42488</v>
      </c>
      <c r="F496" s="482" t="s">
        <v>2146</v>
      </c>
      <c r="G496" s="470"/>
      <c r="H496" s="369" t="s">
        <v>659</v>
      </c>
      <c r="I496" s="369" t="s">
        <v>1209</v>
      </c>
      <c r="J496" s="367" t="s">
        <v>1173</v>
      </c>
      <c r="K496" s="482" t="s">
        <v>1210</v>
      </c>
      <c r="L496" s="470"/>
      <c r="M496" s="470"/>
      <c r="N496" s="369" t="s">
        <v>655</v>
      </c>
      <c r="O496" s="369" t="s">
        <v>655</v>
      </c>
      <c r="P496" s="369" t="s">
        <v>655</v>
      </c>
      <c r="Q496" s="369" t="s">
        <v>655</v>
      </c>
      <c r="R496" s="367" t="s">
        <v>2147</v>
      </c>
      <c r="S496" s="367">
        <v>5022639</v>
      </c>
      <c r="T496" s="483">
        <v>586.79999999999995</v>
      </c>
      <c r="U496" s="470"/>
      <c r="V496" s="483">
        <v>180.85</v>
      </c>
      <c r="W496" s="470"/>
      <c r="X496" s="470"/>
      <c r="Y496" s="370">
        <f t="shared" si="8"/>
        <v>586.79999999999995</v>
      </c>
      <c r="Z496" s="371"/>
    </row>
    <row r="497" spans="1:26" x14ac:dyDescent="0.25">
      <c r="A497" s="481">
        <v>42488</v>
      </c>
      <c r="B497" s="470"/>
      <c r="C497" s="368">
        <v>42488</v>
      </c>
      <c r="F497" s="482" t="s">
        <v>673</v>
      </c>
      <c r="G497" s="470"/>
      <c r="H497" s="369" t="s">
        <v>659</v>
      </c>
      <c r="I497" s="369" t="s">
        <v>2148</v>
      </c>
      <c r="J497" s="367" t="s">
        <v>2149</v>
      </c>
      <c r="K497" s="482" t="s">
        <v>2150</v>
      </c>
      <c r="L497" s="470"/>
      <c r="M497" s="470"/>
      <c r="N497" s="369" t="s">
        <v>655</v>
      </c>
      <c r="O497" s="369" t="s">
        <v>753</v>
      </c>
      <c r="P497" s="369" t="s">
        <v>655</v>
      </c>
      <c r="Q497" s="369" t="s">
        <v>655</v>
      </c>
      <c r="R497" s="367" t="s">
        <v>2151</v>
      </c>
      <c r="S497" s="367">
        <v>5022735</v>
      </c>
      <c r="T497" s="483">
        <v>586.79999999999995</v>
      </c>
      <c r="U497" s="470"/>
      <c r="V497" s="483">
        <v>152.69999999999999</v>
      </c>
      <c r="W497" s="470"/>
      <c r="X497" s="470"/>
      <c r="Y497" s="370">
        <f t="shared" si="8"/>
        <v>586.79999999999995</v>
      </c>
      <c r="Z497" s="371"/>
    </row>
    <row r="498" spans="1:26" x14ac:dyDescent="0.25">
      <c r="A498" s="481">
        <v>42489</v>
      </c>
      <c r="B498" s="470"/>
      <c r="C498" s="368">
        <v>42489</v>
      </c>
      <c r="F498" s="482" t="s">
        <v>697</v>
      </c>
      <c r="G498" s="470"/>
      <c r="H498" s="369" t="s">
        <v>659</v>
      </c>
      <c r="I498" s="369" t="s">
        <v>2152</v>
      </c>
      <c r="J498" s="367" t="s">
        <v>1467</v>
      </c>
      <c r="K498" s="482" t="s">
        <v>1178</v>
      </c>
      <c r="L498" s="470"/>
      <c r="M498" s="470"/>
      <c r="N498" s="369" t="s">
        <v>655</v>
      </c>
      <c r="O498" s="369" t="s">
        <v>753</v>
      </c>
      <c r="P498" s="369" t="s">
        <v>655</v>
      </c>
      <c r="Q498" s="369" t="s">
        <v>753</v>
      </c>
      <c r="R498" s="367" t="s">
        <v>2153</v>
      </c>
      <c r="S498" s="367">
        <v>5046181</v>
      </c>
      <c r="T498" s="483">
        <v>586.79999999999995</v>
      </c>
      <c r="U498" s="470"/>
      <c r="V498" s="483">
        <v>0</v>
      </c>
      <c r="W498" s="470"/>
      <c r="X498" s="470"/>
      <c r="Y498" s="370">
        <f t="shared" si="8"/>
        <v>0</v>
      </c>
      <c r="Z498" s="371"/>
    </row>
    <row r="499" spans="1:26" ht="22.5" x14ac:dyDescent="0.25">
      <c r="A499" s="481">
        <v>42490</v>
      </c>
      <c r="B499" s="470"/>
      <c r="C499" s="368">
        <v>42490</v>
      </c>
      <c r="F499" s="482" t="s">
        <v>684</v>
      </c>
      <c r="G499" s="470"/>
      <c r="H499" s="369" t="s">
        <v>659</v>
      </c>
      <c r="I499" s="369" t="s">
        <v>2154</v>
      </c>
      <c r="J499" s="367" t="s">
        <v>2155</v>
      </c>
      <c r="K499" s="482" t="s">
        <v>2156</v>
      </c>
      <c r="L499" s="470"/>
      <c r="M499" s="470"/>
      <c r="N499" s="369" t="s">
        <v>655</v>
      </c>
      <c r="O499" s="369" t="s">
        <v>753</v>
      </c>
      <c r="P499" s="369" t="s">
        <v>655</v>
      </c>
      <c r="Q499" s="369" t="s">
        <v>655</v>
      </c>
      <c r="R499" s="367" t="s">
        <v>2157</v>
      </c>
      <c r="S499" s="367">
        <v>5046115</v>
      </c>
      <c r="T499" s="483">
        <v>586.79999999999995</v>
      </c>
      <c r="U499" s="470"/>
      <c r="V499" s="483">
        <v>164.58</v>
      </c>
      <c r="W499" s="470"/>
      <c r="X499" s="470"/>
      <c r="Y499" s="370">
        <f t="shared" si="8"/>
        <v>586.79999999999995</v>
      </c>
      <c r="Z499" s="371">
        <v>12</v>
      </c>
    </row>
    <row r="500" spans="1:26" x14ac:dyDescent="0.25">
      <c r="A500" s="481">
        <v>42490</v>
      </c>
      <c r="B500" s="470"/>
      <c r="C500" s="368">
        <v>42490</v>
      </c>
      <c r="F500" s="482" t="s">
        <v>673</v>
      </c>
      <c r="G500" s="470"/>
      <c r="H500" s="369" t="s">
        <v>659</v>
      </c>
      <c r="I500" s="369" t="s">
        <v>2158</v>
      </c>
      <c r="J500" s="367" t="s">
        <v>2159</v>
      </c>
      <c r="K500" s="482" t="s">
        <v>681</v>
      </c>
      <c r="L500" s="470"/>
      <c r="M500" s="470"/>
      <c r="N500" s="369" t="s">
        <v>655</v>
      </c>
      <c r="O500" s="369" t="s">
        <v>753</v>
      </c>
      <c r="P500" s="369" t="s">
        <v>655</v>
      </c>
      <c r="Q500" s="369" t="s">
        <v>753</v>
      </c>
      <c r="R500" s="367" t="s">
        <v>2160</v>
      </c>
      <c r="S500" s="367">
        <v>5046088</v>
      </c>
      <c r="T500" s="483">
        <v>586.79999999999995</v>
      </c>
      <c r="U500" s="470"/>
      <c r="V500" s="483">
        <v>0</v>
      </c>
      <c r="W500" s="470"/>
      <c r="X500" s="470"/>
      <c r="Y500" s="370">
        <f t="shared" si="8"/>
        <v>0</v>
      </c>
      <c r="Z500" s="371"/>
    </row>
    <row r="501" spans="1:26" x14ac:dyDescent="0.25">
      <c r="A501" s="481">
        <v>42491</v>
      </c>
      <c r="B501" s="470"/>
      <c r="C501" s="368">
        <v>42492</v>
      </c>
      <c r="F501" s="482" t="s">
        <v>673</v>
      </c>
      <c r="G501" s="470"/>
      <c r="H501" s="369" t="s">
        <v>659</v>
      </c>
      <c r="I501" s="369" t="s">
        <v>2161</v>
      </c>
      <c r="J501" s="367" t="s">
        <v>2162</v>
      </c>
      <c r="K501" s="482" t="s">
        <v>1927</v>
      </c>
      <c r="L501" s="470"/>
      <c r="M501" s="470"/>
      <c r="N501" s="369" t="s">
        <v>655</v>
      </c>
      <c r="O501" s="369" t="s">
        <v>753</v>
      </c>
      <c r="P501" s="369" t="s">
        <v>655</v>
      </c>
      <c r="Q501" s="369" t="s">
        <v>655</v>
      </c>
      <c r="R501" s="367" t="s">
        <v>2163</v>
      </c>
      <c r="S501" s="367">
        <v>5152430</v>
      </c>
      <c r="T501" s="483">
        <v>586.79999999999995</v>
      </c>
      <c r="U501" s="470"/>
      <c r="V501" s="483">
        <v>319.49</v>
      </c>
      <c r="W501" s="470"/>
      <c r="X501" s="470"/>
      <c r="Y501" s="370">
        <f t="shared" si="8"/>
        <v>586.79999999999995</v>
      </c>
      <c r="Z501" s="371"/>
    </row>
    <row r="502" spans="1:26" x14ac:dyDescent="0.25">
      <c r="A502" s="481">
        <v>42491</v>
      </c>
      <c r="B502" s="470"/>
      <c r="C502" s="368">
        <v>42493</v>
      </c>
      <c r="F502" s="482" t="s">
        <v>673</v>
      </c>
      <c r="G502" s="470"/>
      <c r="H502" s="369" t="s">
        <v>659</v>
      </c>
      <c r="I502" s="369" t="s">
        <v>2164</v>
      </c>
      <c r="J502" s="367" t="s">
        <v>2165</v>
      </c>
      <c r="K502" s="482" t="s">
        <v>2166</v>
      </c>
      <c r="L502" s="470"/>
      <c r="M502" s="470"/>
      <c r="N502" s="369" t="s">
        <v>655</v>
      </c>
      <c r="O502" s="369" t="s">
        <v>753</v>
      </c>
      <c r="P502" s="369" t="s">
        <v>655</v>
      </c>
      <c r="Q502" s="369" t="s">
        <v>753</v>
      </c>
      <c r="R502" s="367" t="s">
        <v>2167</v>
      </c>
      <c r="S502" s="367">
        <v>5060523</v>
      </c>
      <c r="T502" s="483">
        <v>586.79999999999995</v>
      </c>
      <c r="U502" s="470"/>
      <c r="V502" s="483">
        <v>0</v>
      </c>
      <c r="W502" s="470"/>
      <c r="X502" s="470"/>
      <c r="Y502" s="370">
        <f t="shared" si="8"/>
        <v>0</v>
      </c>
      <c r="Z502" s="371"/>
    </row>
    <row r="503" spans="1:26" x14ac:dyDescent="0.25">
      <c r="A503" s="481">
        <v>42491</v>
      </c>
      <c r="B503" s="470"/>
      <c r="C503" s="368">
        <v>42491</v>
      </c>
      <c r="F503" s="482" t="s">
        <v>678</v>
      </c>
      <c r="G503" s="470"/>
      <c r="H503" s="369" t="s">
        <v>659</v>
      </c>
      <c r="I503" s="369" t="s">
        <v>2168</v>
      </c>
      <c r="J503" s="367" t="s">
        <v>2169</v>
      </c>
      <c r="K503" s="482" t="s">
        <v>1500</v>
      </c>
      <c r="L503" s="470"/>
      <c r="M503" s="470"/>
      <c r="N503" s="369" t="s">
        <v>655</v>
      </c>
      <c r="O503" s="369" t="s">
        <v>655</v>
      </c>
      <c r="P503" s="369" t="s">
        <v>655</v>
      </c>
      <c r="Q503" s="369" t="s">
        <v>655</v>
      </c>
      <c r="R503" s="367" t="s">
        <v>2170</v>
      </c>
      <c r="S503" s="367">
        <v>5040360</v>
      </c>
      <c r="T503" s="483">
        <v>586.79999999999995</v>
      </c>
      <c r="U503" s="470"/>
      <c r="V503" s="483">
        <v>374.56</v>
      </c>
      <c r="W503" s="470"/>
      <c r="X503" s="470"/>
      <c r="Y503" s="370">
        <f t="shared" si="8"/>
        <v>586.79999999999995</v>
      </c>
      <c r="Z503" s="371"/>
    </row>
    <row r="504" spans="1:26" x14ac:dyDescent="0.25">
      <c r="A504" s="481">
        <v>42493</v>
      </c>
      <c r="B504" s="470"/>
      <c r="C504" s="368">
        <v>42493</v>
      </c>
      <c r="F504" s="482" t="s">
        <v>673</v>
      </c>
      <c r="G504" s="470"/>
      <c r="H504" s="369" t="s">
        <v>659</v>
      </c>
      <c r="I504" s="369" t="s">
        <v>2171</v>
      </c>
      <c r="J504" s="367" t="s">
        <v>2172</v>
      </c>
      <c r="K504" s="482" t="s">
        <v>1178</v>
      </c>
      <c r="L504" s="470"/>
      <c r="M504" s="470"/>
      <c r="N504" s="369" t="s">
        <v>655</v>
      </c>
      <c r="O504" s="369" t="s">
        <v>753</v>
      </c>
      <c r="P504" s="369" t="s">
        <v>655</v>
      </c>
      <c r="Q504" s="369" t="s">
        <v>655</v>
      </c>
      <c r="R504" s="367" t="s">
        <v>2173</v>
      </c>
      <c r="S504" s="367">
        <v>5053763</v>
      </c>
      <c r="T504" s="483">
        <v>586.79999999999995</v>
      </c>
      <c r="U504" s="470"/>
      <c r="V504" s="483">
        <v>145.66999999999999</v>
      </c>
      <c r="W504" s="470"/>
      <c r="X504" s="470"/>
      <c r="Y504" s="370">
        <f t="shared" si="8"/>
        <v>586.79999999999995</v>
      </c>
      <c r="Z504" s="371">
        <v>1</v>
      </c>
    </row>
    <row r="505" spans="1:26" x14ac:dyDescent="0.25">
      <c r="A505" s="481">
        <v>42494</v>
      </c>
      <c r="B505" s="470"/>
      <c r="C505" s="368">
        <v>42495</v>
      </c>
      <c r="F505" s="482" t="s">
        <v>673</v>
      </c>
      <c r="G505" s="470"/>
      <c r="H505" s="369" t="s">
        <v>659</v>
      </c>
      <c r="I505" s="369" t="s">
        <v>2174</v>
      </c>
      <c r="J505" s="367" t="s">
        <v>2175</v>
      </c>
      <c r="K505" s="482" t="s">
        <v>2176</v>
      </c>
      <c r="L505" s="470"/>
      <c r="M505" s="470"/>
      <c r="N505" s="369" t="s">
        <v>655</v>
      </c>
      <c r="O505" s="369" t="s">
        <v>753</v>
      </c>
      <c r="P505" s="369" t="s">
        <v>655</v>
      </c>
      <c r="Q505" s="369" t="s">
        <v>753</v>
      </c>
      <c r="R505" s="367" t="s">
        <v>2177</v>
      </c>
      <c r="S505" s="367">
        <v>5078633</v>
      </c>
      <c r="T505" s="483">
        <v>586.79999999999995</v>
      </c>
      <c r="U505" s="470"/>
      <c r="V505" s="483">
        <v>0</v>
      </c>
      <c r="W505" s="470"/>
      <c r="X505" s="470"/>
      <c r="Y505" s="370">
        <f t="shared" ref="Y505:Y546" si="9">IF(Q505="Y",V505,IF(V505&gt;T505,V505,T505))</f>
        <v>0</v>
      </c>
      <c r="Z505" s="371">
        <v>22</v>
      </c>
    </row>
    <row r="506" spans="1:26" x14ac:dyDescent="0.25">
      <c r="A506" s="481">
        <v>42495</v>
      </c>
      <c r="B506" s="470"/>
      <c r="C506" s="368">
        <v>42495</v>
      </c>
      <c r="F506" s="482" t="s">
        <v>673</v>
      </c>
      <c r="G506" s="470"/>
      <c r="H506" s="369" t="s">
        <v>659</v>
      </c>
      <c r="I506" s="369" t="s">
        <v>2178</v>
      </c>
      <c r="J506" s="367" t="s">
        <v>2179</v>
      </c>
      <c r="K506" s="482" t="s">
        <v>2180</v>
      </c>
      <c r="L506" s="470"/>
      <c r="M506" s="470"/>
      <c r="N506" s="369" t="s">
        <v>655</v>
      </c>
      <c r="O506" s="369" t="s">
        <v>753</v>
      </c>
      <c r="P506" s="369" t="s">
        <v>655</v>
      </c>
      <c r="Q506" s="369" t="s">
        <v>655</v>
      </c>
      <c r="R506" s="367" t="s">
        <v>2181</v>
      </c>
      <c r="S506" s="367">
        <v>5074921</v>
      </c>
      <c r="T506" s="483">
        <v>586.79999999999995</v>
      </c>
      <c r="U506" s="470"/>
      <c r="V506" s="483">
        <v>700.91</v>
      </c>
      <c r="W506" s="470"/>
      <c r="X506" s="470"/>
      <c r="Y506" s="370">
        <f t="shared" si="9"/>
        <v>700.91</v>
      </c>
      <c r="Z506" s="371"/>
    </row>
    <row r="507" spans="1:26" x14ac:dyDescent="0.25">
      <c r="A507" s="481">
        <v>42496</v>
      </c>
      <c r="B507" s="470"/>
      <c r="C507" s="368">
        <v>42497</v>
      </c>
      <c r="F507" s="482" t="s">
        <v>697</v>
      </c>
      <c r="G507" s="470"/>
      <c r="H507" s="369" t="s">
        <v>659</v>
      </c>
      <c r="I507" s="369" t="s">
        <v>2182</v>
      </c>
      <c r="J507" s="367" t="s">
        <v>1026</v>
      </c>
      <c r="K507" s="482" t="s">
        <v>2183</v>
      </c>
      <c r="L507" s="470"/>
      <c r="M507" s="470"/>
      <c r="N507" s="369" t="s">
        <v>655</v>
      </c>
      <c r="O507" s="369" t="s">
        <v>753</v>
      </c>
      <c r="P507" s="369" t="s">
        <v>655</v>
      </c>
      <c r="Q507" s="369" t="s">
        <v>753</v>
      </c>
      <c r="R507" s="367" t="s">
        <v>2184</v>
      </c>
      <c r="S507" s="367">
        <v>5088515</v>
      </c>
      <c r="T507" s="483">
        <v>586.79999999999995</v>
      </c>
      <c r="U507" s="470"/>
      <c r="V507" s="483">
        <v>0</v>
      </c>
      <c r="W507" s="470"/>
      <c r="X507" s="470"/>
      <c r="Y507" s="370">
        <f t="shared" si="9"/>
        <v>0</v>
      </c>
      <c r="Z507" s="371"/>
    </row>
    <row r="508" spans="1:26" ht="22.5" x14ac:dyDescent="0.25">
      <c r="A508" s="481">
        <v>42496</v>
      </c>
      <c r="B508" s="470"/>
      <c r="C508" s="368">
        <v>42497</v>
      </c>
      <c r="F508" s="482" t="s">
        <v>2185</v>
      </c>
      <c r="G508" s="470"/>
      <c r="H508" s="369" t="s">
        <v>659</v>
      </c>
      <c r="I508" s="369" t="s">
        <v>2186</v>
      </c>
      <c r="J508" s="367" t="s">
        <v>2187</v>
      </c>
      <c r="K508" s="482" t="s">
        <v>2188</v>
      </c>
      <c r="L508" s="470"/>
      <c r="M508" s="470"/>
      <c r="N508" s="369" t="s">
        <v>655</v>
      </c>
      <c r="O508" s="369" t="s">
        <v>655</v>
      </c>
      <c r="P508" s="369" t="s">
        <v>655</v>
      </c>
      <c r="Q508" s="369" t="s">
        <v>655</v>
      </c>
      <c r="R508" s="367" t="s">
        <v>2189</v>
      </c>
      <c r="S508" s="367">
        <v>5079255</v>
      </c>
      <c r="T508" s="483">
        <v>586.79999999999995</v>
      </c>
      <c r="U508" s="470"/>
      <c r="V508" s="483">
        <v>0</v>
      </c>
      <c r="W508" s="470"/>
      <c r="X508" s="470"/>
      <c r="Y508" s="370">
        <f t="shared" si="9"/>
        <v>586.79999999999995</v>
      </c>
      <c r="Z508" s="371">
        <v>1</v>
      </c>
    </row>
    <row r="509" spans="1:26" x14ac:dyDescent="0.25">
      <c r="A509" s="481">
        <v>42497</v>
      </c>
      <c r="B509" s="470"/>
      <c r="C509" s="368">
        <v>42497</v>
      </c>
      <c r="F509" s="482" t="s">
        <v>2190</v>
      </c>
      <c r="G509" s="470"/>
      <c r="H509" s="369" t="s">
        <v>659</v>
      </c>
      <c r="I509" s="369" t="s">
        <v>2191</v>
      </c>
      <c r="J509" s="367" t="s">
        <v>2192</v>
      </c>
      <c r="K509" s="482" t="s">
        <v>1858</v>
      </c>
      <c r="L509" s="470"/>
      <c r="M509" s="470"/>
      <c r="N509" s="369" t="s">
        <v>655</v>
      </c>
      <c r="O509" s="369" t="s">
        <v>753</v>
      </c>
      <c r="P509" s="369" t="s">
        <v>655</v>
      </c>
      <c r="Q509" s="369" t="s">
        <v>753</v>
      </c>
      <c r="R509" s="367" t="s">
        <v>2193</v>
      </c>
      <c r="S509" s="367">
        <v>5088623</v>
      </c>
      <c r="T509" s="483">
        <v>586.79999999999995</v>
      </c>
      <c r="U509" s="470"/>
      <c r="V509" s="483">
        <v>0</v>
      </c>
      <c r="W509" s="470"/>
      <c r="X509" s="470"/>
      <c r="Y509" s="370">
        <f t="shared" si="9"/>
        <v>0</v>
      </c>
      <c r="Z509" s="371"/>
    </row>
    <row r="510" spans="1:26" x14ac:dyDescent="0.25">
      <c r="A510" s="481">
        <v>42497</v>
      </c>
      <c r="B510" s="470"/>
      <c r="C510" s="368">
        <v>42497</v>
      </c>
      <c r="F510" s="482" t="s">
        <v>1080</v>
      </c>
      <c r="G510" s="470"/>
      <c r="H510" s="369" t="s">
        <v>659</v>
      </c>
      <c r="I510" s="369" t="s">
        <v>2194</v>
      </c>
      <c r="J510" s="367" t="s">
        <v>2195</v>
      </c>
      <c r="K510" s="482" t="s">
        <v>2196</v>
      </c>
      <c r="L510" s="470"/>
      <c r="M510" s="470"/>
      <c r="N510" s="369" t="s">
        <v>655</v>
      </c>
      <c r="O510" s="369" t="s">
        <v>655</v>
      </c>
      <c r="P510" s="369" t="s">
        <v>655</v>
      </c>
      <c r="Q510" s="369" t="s">
        <v>655</v>
      </c>
      <c r="R510" s="367" t="s">
        <v>2197</v>
      </c>
      <c r="S510" s="367">
        <v>5080982</v>
      </c>
      <c r="T510" s="483">
        <v>586.79999999999995</v>
      </c>
      <c r="U510" s="470"/>
      <c r="V510" s="483">
        <v>141.6</v>
      </c>
      <c r="W510" s="470"/>
      <c r="X510" s="470"/>
      <c r="Y510" s="370">
        <f t="shared" si="9"/>
        <v>586.79999999999995</v>
      </c>
      <c r="Z510" s="371">
        <v>1</v>
      </c>
    </row>
    <row r="511" spans="1:26" x14ac:dyDescent="0.25">
      <c r="A511" s="481">
        <v>42497</v>
      </c>
      <c r="B511" s="470"/>
      <c r="C511" s="368">
        <v>42499</v>
      </c>
      <c r="F511" s="482" t="s">
        <v>673</v>
      </c>
      <c r="G511" s="470"/>
      <c r="H511" s="369" t="s">
        <v>659</v>
      </c>
      <c r="I511" s="369" t="s">
        <v>2198</v>
      </c>
      <c r="J511" s="367" t="s">
        <v>2199</v>
      </c>
      <c r="K511" s="482" t="s">
        <v>1449</v>
      </c>
      <c r="L511" s="470"/>
      <c r="M511" s="470"/>
      <c r="N511" s="369" t="s">
        <v>655</v>
      </c>
      <c r="O511" s="369" t="s">
        <v>753</v>
      </c>
      <c r="P511" s="369" t="s">
        <v>655</v>
      </c>
      <c r="Q511" s="369" t="s">
        <v>655</v>
      </c>
      <c r="R511" s="367" t="s">
        <v>2200</v>
      </c>
      <c r="S511" s="367">
        <v>5088832</v>
      </c>
      <c r="T511" s="483">
        <v>586.79999999999995</v>
      </c>
      <c r="U511" s="470"/>
      <c r="V511" s="483">
        <v>0</v>
      </c>
      <c r="W511" s="470"/>
      <c r="X511" s="470"/>
      <c r="Y511" s="370">
        <f t="shared" si="9"/>
        <v>586.79999999999995</v>
      </c>
      <c r="Z511" s="371"/>
    </row>
    <row r="512" spans="1:26" x14ac:dyDescent="0.25">
      <c r="A512" s="481">
        <v>42498</v>
      </c>
      <c r="B512" s="470"/>
      <c r="C512" s="368">
        <v>42499</v>
      </c>
      <c r="F512" s="482" t="s">
        <v>777</v>
      </c>
      <c r="G512" s="470"/>
      <c r="H512" s="369" t="s">
        <v>659</v>
      </c>
      <c r="I512" s="369" t="s">
        <v>2201</v>
      </c>
      <c r="J512" s="367" t="s">
        <v>2202</v>
      </c>
      <c r="K512" s="482" t="s">
        <v>2203</v>
      </c>
      <c r="L512" s="470"/>
      <c r="M512" s="470"/>
      <c r="N512" s="369" t="s">
        <v>655</v>
      </c>
      <c r="O512" s="369" t="s">
        <v>753</v>
      </c>
      <c r="P512" s="369" t="s">
        <v>655</v>
      </c>
      <c r="Q512" s="369" t="s">
        <v>753</v>
      </c>
      <c r="R512" s="367" t="s">
        <v>2204</v>
      </c>
      <c r="S512" s="367">
        <v>5099642</v>
      </c>
      <c r="T512" s="483">
        <v>586.79999999999995</v>
      </c>
      <c r="U512" s="470"/>
      <c r="V512" s="483">
        <v>0</v>
      </c>
      <c r="W512" s="470"/>
      <c r="X512" s="470"/>
      <c r="Y512" s="370">
        <f t="shared" si="9"/>
        <v>0</v>
      </c>
      <c r="Z512" s="371"/>
    </row>
    <row r="513" spans="1:26" x14ac:dyDescent="0.25">
      <c r="A513" s="481">
        <v>42499</v>
      </c>
      <c r="B513" s="470"/>
      <c r="C513" s="368">
        <v>42499</v>
      </c>
      <c r="F513" s="482" t="s">
        <v>673</v>
      </c>
      <c r="G513" s="470"/>
      <c r="H513" s="369" t="s">
        <v>659</v>
      </c>
      <c r="I513" s="369" t="s">
        <v>2205</v>
      </c>
      <c r="J513" s="367" t="s">
        <v>2206</v>
      </c>
      <c r="K513" s="482" t="s">
        <v>2207</v>
      </c>
      <c r="L513" s="470"/>
      <c r="M513" s="470"/>
      <c r="N513" s="369" t="s">
        <v>655</v>
      </c>
      <c r="O513" s="369" t="s">
        <v>753</v>
      </c>
      <c r="P513" s="369" t="s">
        <v>655</v>
      </c>
      <c r="Q513" s="369" t="s">
        <v>753</v>
      </c>
      <c r="R513" s="367" t="s">
        <v>2208</v>
      </c>
      <c r="S513" s="367">
        <v>5097358</v>
      </c>
      <c r="T513" s="483">
        <v>586.79999999999995</v>
      </c>
      <c r="U513" s="470"/>
      <c r="V513" s="483">
        <v>0</v>
      </c>
      <c r="W513" s="470"/>
      <c r="X513" s="470"/>
      <c r="Y513" s="370">
        <f t="shared" si="9"/>
        <v>0</v>
      </c>
      <c r="Z513" s="371">
        <v>26</v>
      </c>
    </row>
    <row r="514" spans="1:26" x14ac:dyDescent="0.25">
      <c r="A514" s="481">
        <v>42499</v>
      </c>
      <c r="B514" s="470"/>
      <c r="C514" s="368">
        <v>42499</v>
      </c>
      <c r="F514" s="482" t="s">
        <v>924</v>
      </c>
      <c r="G514" s="470"/>
      <c r="H514" s="369" t="s">
        <v>659</v>
      </c>
      <c r="I514" s="369" t="s">
        <v>2209</v>
      </c>
      <c r="J514" s="367" t="s">
        <v>2210</v>
      </c>
      <c r="K514" s="482" t="s">
        <v>2211</v>
      </c>
      <c r="L514" s="470"/>
      <c r="M514" s="470"/>
      <c r="N514" s="369" t="s">
        <v>655</v>
      </c>
      <c r="O514" s="369" t="s">
        <v>753</v>
      </c>
      <c r="P514" s="369" t="s">
        <v>655</v>
      </c>
      <c r="Q514" s="369" t="s">
        <v>753</v>
      </c>
      <c r="R514" s="367" t="s">
        <v>2212</v>
      </c>
      <c r="S514" s="367">
        <v>5097210</v>
      </c>
      <c r="T514" s="483">
        <v>586.79999999999995</v>
      </c>
      <c r="U514" s="470"/>
      <c r="V514" s="483">
        <v>0</v>
      </c>
      <c r="W514" s="470"/>
      <c r="X514" s="470"/>
      <c r="Y514" s="370">
        <f t="shared" si="9"/>
        <v>0</v>
      </c>
      <c r="Z514" s="371"/>
    </row>
    <row r="515" spans="1:26" x14ac:dyDescent="0.25">
      <c r="A515" s="481">
        <v>42500</v>
      </c>
      <c r="B515" s="470"/>
      <c r="C515" s="368">
        <v>42501</v>
      </c>
      <c r="F515" s="482" t="s">
        <v>777</v>
      </c>
      <c r="G515" s="470"/>
      <c r="H515" s="369" t="s">
        <v>659</v>
      </c>
      <c r="I515" s="369" t="s">
        <v>2213</v>
      </c>
      <c r="J515" s="367" t="s">
        <v>2214</v>
      </c>
      <c r="K515" s="482" t="s">
        <v>2215</v>
      </c>
      <c r="L515" s="470"/>
      <c r="M515" s="470"/>
      <c r="N515" s="369" t="s">
        <v>655</v>
      </c>
      <c r="O515" s="369" t="s">
        <v>753</v>
      </c>
      <c r="P515" s="369" t="s">
        <v>655</v>
      </c>
      <c r="Q515" s="369" t="s">
        <v>753</v>
      </c>
      <c r="R515" s="367" t="s">
        <v>2216</v>
      </c>
      <c r="S515" s="367">
        <v>5105879</v>
      </c>
      <c r="T515" s="483">
        <v>586.79999999999995</v>
      </c>
      <c r="U515" s="470"/>
      <c r="V515" s="483">
        <v>0</v>
      </c>
      <c r="W515" s="470"/>
      <c r="X515" s="470"/>
      <c r="Y515" s="370">
        <f t="shared" si="9"/>
        <v>0</v>
      </c>
      <c r="Z515" s="371"/>
    </row>
    <row r="516" spans="1:26" x14ac:dyDescent="0.25">
      <c r="A516" s="481">
        <v>42500</v>
      </c>
      <c r="B516" s="470"/>
      <c r="C516" s="368">
        <v>42500</v>
      </c>
      <c r="F516" s="482" t="s">
        <v>673</v>
      </c>
      <c r="G516" s="470"/>
      <c r="H516" s="369" t="s">
        <v>659</v>
      </c>
      <c r="I516" s="369" t="s">
        <v>2217</v>
      </c>
      <c r="J516" s="367" t="s">
        <v>2218</v>
      </c>
      <c r="K516" s="482" t="s">
        <v>869</v>
      </c>
      <c r="L516" s="470"/>
      <c r="M516" s="470"/>
      <c r="N516" s="369" t="s">
        <v>655</v>
      </c>
      <c r="O516" s="369" t="s">
        <v>753</v>
      </c>
      <c r="P516" s="369" t="s">
        <v>655</v>
      </c>
      <c r="Q516" s="369" t="s">
        <v>753</v>
      </c>
      <c r="R516" s="367" t="s">
        <v>2219</v>
      </c>
      <c r="S516" s="367">
        <v>5111830</v>
      </c>
      <c r="T516" s="483">
        <v>586.79999999999995</v>
      </c>
      <c r="U516" s="470"/>
      <c r="V516" s="483">
        <v>0</v>
      </c>
      <c r="W516" s="470"/>
      <c r="X516" s="470"/>
      <c r="Y516" s="370">
        <f t="shared" si="9"/>
        <v>0</v>
      </c>
      <c r="Z516" s="371">
        <v>4</v>
      </c>
    </row>
    <row r="517" spans="1:26" x14ac:dyDescent="0.25">
      <c r="A517" s="481">
        <v>42501</v>
      </c>
      <c r="B517" s="470"/>
      <c r="C517" s="368">
        <v>42501</v>
      </c>
      <c r="F517" s="482" t="s">
        <v>673</v>
      </c>
      <c r="G517" s="470"/>
      <c r="H517" s="369" t="s">
        <v>659</v>
      </c>
      <c r="I517" s="369" t="s">
        <v>2220</v>
      </c>
      <c r="J517" s="367" t="s">
        <v>2221</v>
      </c>
      <c r="K517" s="482" t="s">
        <v>2222</v>
      </c>
      <c r="L517" s="470"/>
      <c r="M517" s="470"/>
      <c r="N517" s="369" t="s">
        <v>655</v>
      </c>
      <c r="O517" s="369" t="s">
        <v>753</v>
      </c>
      <c r="P517" s="369" t="s">
        <v>655</v>
      </c>
      <c r="Q517" s="369" t="s">
        <v>753</v>
      </c>
      <c r="R517" s="367" t="s">
        <v>2223</v>
      </c>
      <c r="S517" s="367">
        <v>5111880</v>
      </c>
      <c r="T517" s="483">
        <v>586.79999999999995</v>
      </c>
      <c r="U517" s="470"/>
      <c r="V517" s="483">
        <v>0</v>
      </c>
      <c r="W517" s="470"/>
      <c r="X517" s="470"/>
      <c r="Y517" s="370">
        <f t="shared" si="9"/>
        <v>0</v>
      </c>
      <c r="Z517" s="371"/>
    </row>
    <row r="518" spans="1:26" x14ac:dyDescent="0.25">
      <c r="A518" s="481">
        <v>42501</v>
      </c>
      <c r="B518" s="470"/>
      <c r="C518" s="368">
        <v>42501</v>
      </c>
      <c r="F518" s="482" t="s">
        <v>697</v>
      </c>
      <c r="G518" s="470"/>
      <c r="H518" s="369" t="s">
        <v>659</v>
      </c>
      <c r="I518" s="369" t="s">
        <v>2224</v>
      </c>
      <c r="J518" s="367" t="s">
        <v>2225</v>
      </c>
      <c r="K518" s="482" t="s">
        <v>2226</v>
      </c>
      <c r="L518" s="470"/>
      <c r="M518" s="470"/>
      <c r="N518" s="369" t="s">
        <v>655</v>
      </c>
      <c r="O518" s="369" t="s">
        <v>753</v>
      </c>
      <c r="P518" s="369" t="s">
        <v>655</v>
      </c>
      <c r="Q518" s="369" t="s">
        <v>753</v>
      </c>
      <c r="R518" s="367" t="s">
        <v>2227</v>
      </c>
      <c r="S518" s="367">
        <v>5111868</v>
      </c>
      <c r="T518" s="483">
        <v>586.79999999999995</v>
      </c>
      <c r="U518" s="470"/>
      <c r="V518" s="483">
        <v>0</v>
      </c>
      <c r="W518" s="470"/>
      <c r="X518" s="470"/>
      <c r="Y518" s="370">
        <f t="shared" si="9"/>
        <v>0</v>
      </c>
      <c r="Z518" s="371"/>
    </row>
    <row r="519" spans="1:26" x14ac:dyDescent="0.25">
      <c r="A519" s="481">
        <v>42502</v>
      </c>
      <c r="B519" s="470"/>
      <c r="C519" s="368">
        <v>42503</v>
      </c>
      <c r="F519" s="482" t="s">
        <v>673</v>
      </c>
      <c r="G519" s="470"/>
      <c r="H519" s="369" t="s">
        <v>659</v>
      </c>
      <c r="I519" s="369" t="s">
        <v>2228</v>
      </c>
      <c r="J519" s="367" t="s">
        <v>2229</v>
      </c>
      <c r="K519" s="482" t="s">
        <v>2230</v>
      </c>
      <c r="L519" s="470"/>
      <c r="M519" s="470"/>
      <c r="N519" s="369" t="s">
        <v>655</v>
      </c>
      <c r="O519" s="369" t="s">
        <v>753</v>
      </c>
      <c r="P519" s="369" t="s">
        <v>655</v>
      </c>
      <c r="Q519" s="369" t="s">
        <v>753</v>
      </c>
      <c r="R519" s="367" t="s">
        <v>2231</v>
      </c>
      <c r="S519" s="367">
        <v>5137555</v>
      </c>
      <c r="T519" s="483">
        <v>586.79999999999995</v>
      </c>
      <c r="U519" s="470"/>
      <c r="V519" s="483">
        <v>0</v>
      </c>
      <c r="W519" s="470"/>
      <c r="X519" s="470"/>
      <c r="Y519" s="370">
        <f t="shared" si="9"/>
        <v>0</v>
      </c>
      <c r="Z519" s="371"/>
    </row>
    <row r="520" spans="1:26" x14ac:dyDescent="0.25">
      <c r="A520" s="481">
        <v>42503</v>
      </c>
      <c r="B520" s="470"/>
      <c r="C520" s="368">
        <v>42504</v>
      </c>
      <c r="F520" s="482" t="s">
        <v>720</v>
      </c>
      <c r="G520" s="470"/>
      <c r="H520" s="369" t="s">
        <v>659</v>
      </c>
      <c r="I520" s="369" t="s">
        <v>2232</v>
      </c>
      <c r="J520" s="367" t="s">
        <v>1381</v>
      </c>
      <c r="K520" s="482" t="s">
        <v>2233</v>
      </c>
      <c r="L520" s="470"/>
      <c r="M520" s="470"/>
      <c r="N520" s="369" t="s">
        <v>655</v>
      </c>
      <c r="O520" s="369" t="s">
        <v>753</v>
      </c>
      <c r="P520" s="369" t="s">
        <v>655</v>
      </c>
      <c r="Q520" s="369" t="s">
        <v>655</v>
      </c>
      <c r="R520" s="367" t="s">
        <v>2234</v>
      </c>
      <c r="S520" s="367">
        <v>5137326</v>
      </c>
      <c r="T520" s="483">
        <v>586.79999999999995</v>
      </c>
      <c r="U520" s="470"/>
      <c r="V520" s="483">
        <v>0</v>
      </c>
      <c r="W520" s="470"/>
      <c r="X520" s="470"/>
      <c r="Y520" s="370">
        <f t="shared" si="9"/>
        <v>586.79999999999995</v>
      </c>
      <c r="Z520" s="371"/>
    </row>
    <row r="521" spans="1:26" x14ac:dyDescent="0.25">
      <c r="A521" s="481">
        <v>42503</v>
      </c>
      <c r="B521" s="470"/>
      <c r="C521" s="368">
        <v>42504</v>
      </c>
      <c r="F521" s="482" t="s">
        <v>697</v>
      </c>
      <c r="G521" s="470"/>
      <c r="H521" s="369" t="s">
        <v>659</v>
      </c>
      <c r="I521" s="369" t="s">
        <v>2235</v>
      </c>
      <c r="J521" s="367" t="s">
        <v>2236</v>
      </c>
      <c r="K521" s="482" t="s">
        <v>2237</v>
      </c>
      <c r="L521" s="470"/>
      <c r="M521" s="470"/>
      <c r="N521" s="369" t="s">
        <v>655</v>
      </c>
      <c r="O521" s="369" t="s">
        <v>753</v>
      </c>
      <c r="P521" s="369" t="s">
        <v>655</v>
      </c>
      <c r="Q521" s="369" t="s">
        <v>753</v>
      </c>
      <c r="R521" s="367" t="s">
        <v>2238</v>
      </c>
      <c r="S521" s="367">
        <v>5137511</v>
      </c>
      <c r="T521" s="483">
        <v>586.79999999999995</v>
      </c>
      <c r="U521" s="470"/>
      <c r="V521" s="483">
        <v>0</v>
      </c>
      <c r="W521" s="470"/>
      <c r="X521" s="470"/>
      <c r="Y521" s="370">
        <f t="shared" si="9"/>
        <v>0</v>
      </c>
      <c r="Z521" s="371"/>
    </row>
    <row r="522" spans="1:26" x14ac:dyDescent="0.25">
      <c r="A522" s="481">
        <v>42503</v>
      </c>
      <c r="B522" s="470"/>
      <c r="C522" s="368">
        <v>42504</v>
      </c>
      <c r="F522" s="482" t="s">
        <v>673</v>
      </c>
      <c r="G522" s="470"/>
      <c r="H522" s="369" t="s">
        <v>659</v>
      </c>
      <c r="I522" s="369" t="s">
        <v>2239</v>
      </c>
      <c r="J522" s="367" t="s">
        <v>1405</v>
      </c>
      <c r="K522" s="482" t="s">
        <v>1149</v>
      </c>
      <c r="L522" s="470"/>
      <c r="M522" s="470"/>
      <c r="N522" s="369" t="s">
        <v>655</v>
      </c>
      <c r="O522" s="369" t="s">
        <v>753</v>
      </c>
      <c r="P522" s="369" t="s">
        <v>655</v>
      </c>
      <c r="Q522" s="369" t="s">
        <v>655</v>
      </c>
      <c r="R522" s="367" t="s">
        <v>2240</v>
      </c>
      <c r="S522" s="367">
        <v>5137230</v>
      </c>
      <c r="T522" s="483">
        <v>586.79999999999995</v>
      </c>
      <c r="U522" s="470"/>
      <c r="V522" s="483">
        <v>0</v>
      </c>
      <c r="W522" s="470"/>
      <c r="X522" s="470"/>
      <c r="Y522" s="370">
        <f t="shared" si="9"/>
        <v>586.79999999999995</v>
      </c>
      <c r="Z522" s="371"/>
    </row>
    <row r="523" spans="1:26" x14ac:dyDescent="0.25">
      <c r="A523" s="481">
        <v>42503</v>
      </c>
      <c r="B523" s="470"/>
      <c r="C523" s="368">
        <v>42503</v>
      </c>
      <c r="F523" s="482" t="s">
        <v>673</v>
      </c>
      <c r="G523" s="470"/>
      <c r="H523" s="369" t="s">
        <v>659</v>
      </c>
      <c r="I523" s="369" t="s">
        <v>2241</v>
      </c>
      <c r="J523" s="367" t="s">
        <v>2242</v>
      </c>
      <c r="K523" s="482" t="s">
        <v>906</v>
      </c>
      <c r="L523" s="470"/>
      <c r="M523" s="470"/>
      <c r="N523" s="369" t="s">
        <v>655</v>
      </c>
      <c r="O523" s="369" t="s">
        <v>753</v>
      </c>
      <c r="P523" s="369" t="s">
        <v>655</v>
      </c>
      <c r="Q523" s="369" t="s">
        <v>655</v>
      </c>
      <c r="R523" s="367" t="s">
        <v>2243</v>
      </c>
      <c r="S523" s="367">
        <v>5137441</v>
      </c>
      <c r="T523" s="483">
        <v>586.79999999999995</v>
      </c>
      <c r="U523" s="470"/>
      <c r="V523" s="483">
        <v>133.26</v>
      </c>
      <c r="W523" s="470"/>
      <c r="X523" s="470"/>
      <c r="Y523" s="370">
        <f t="shared" si="9"/>
        <v>586.79999999999995</v>
      </c>
      <c r="Z523" s="371"/>
    </row>
    <row r="524" spans="1:26" x14ac:dyDescent="0.25">
      <c r="A524" s="481">
        <v>42505</v>
      </c>
      <c r="B524" s="470"/>
      <c r="C524" s="368">
        <v>42505</v>
      </c>
      <c r="F524" s="482" t="s">
        <v>673</v>
      </c>
      <c r="G524" s="470"/>
      <c r="H524" s="369" t="s">
        <v>659</v>
      </c>
      <c r="I524" s="369" t="s">
        <v>2244</v>
      </c>
      <c r="J524" s="367" t="s">
        <v>2245</v>
      </c>
      <c r="K524" s="482" t="s">
        <v>2246</v>
      </c>
      <c r="L524" s="470"/>
      <c r="M524" s="470"/>
      <c r="N524" s="369" t="s">
        <v>655</v>
      </c>
      <c r="O524" s="369" t="s">
        <v>753</v>
      </c>
      <c r="P524" s="369" t="s">
        <v>655</v>
      </c>
      <c r="Q524" s="369" t="s">
        <v>655</v>
      </c>
      <c r="R524" s="367" t="s">
        <v>2247</v>
      </c>
      <c r="S524" s="367">
        <v>5137402</v>
      </c>
      <c r="T524" s="483">
        <v>586.79999999999995</v>
      </c>
      <c r="U524" s="470"/>
      <c r="V524" s="483">
        <v>0</v>
      </c>
      <c r="W524" s="470"/>
      <c r="X524" s="470"/>
      <c r="Y524" s="370">
        <f t="shared" si="9"/>
        <v>586.79999999999995</v>
      </c>
      <c r="Z524" s="371"/>
    </row>
    <row r="525" spans="1:26" x14ac:dyDescent="0.25">
      <c r="A525" s="481">
        <v>42505</v>
      </c>
      <c r="B525" s="470"/>
      <c r="C525" s="368">
        <v>42505</v>
      </c>
      <c r="F525" s="482" t="s">
        <v>673</v>
      </c>
      <c r="G525" s="470"/>
      <c r="H525" s="369" t="s">
        <v>659</v>
      </c>
      <c r="I525" s="369" t="s">
        <v>2248</v>
      </c>
      <c r="J525" s="367" t="s">
        <v>2249</v>
      </c>
      <c r="K525" s="482" t="s">
        <v>2141</v>
      </c>
      <c r="L525" s="470"/>
      <c r="M525" s="470"/>
      <c r="N525" s="369" t="s">
        <v>655</v>
      </c>
      <c r="O525" s="369" t="s">
        <v>753</v>
      </c>
      <c r="P525" s="369" t="s">
        <v>655</v>
      </c>
      <c r="Q525" s="369" t="s">
        <v>655</v>
      </c>
      <c r="R525" s="367" t="s">
        <v>2250</v>
      </c>
      <c r="S525" s="367">
        <v>5137359</v>
      </c>
      <c r="T525" s="483">
        <v>586.79999999999995</v>
      </c>
      <c r="U525" s="470"/>
      <c r="V525" s="483">
        <v>541.30999999999995</v>
      </c>
      <c r="W525" s="470"/>
      <c r="X525" s="470"/>
      <c r="Y525" s="370">
        <f t="shared" si="9"/>
        <v>586.79999999999995</v>
      </c>
      <c r="Z525" s="371"/>
    </row>
    <row r="526" spans="1:26" x14ac:dyDescent="0.25">
      <c r="A526" s="481">
        <v>42508</v>
      </c>
      <c r="B526" s="470"/>
      <c r="C526" s="368">
        <v>42508</v>
      </c>
      <c r="F526" s="482" t="s">
        <v>673</v>
      </c>
      <c r="G526" s="470"/>
      <c r="H526" s="369" t="s">
        <v>659</v>
      </c>
      <c r="I526" s="369" t="s">
        <v>2251</v>
      </c>
      <c r="J526" s="367" t="s">
        <v>1453</v>
      </c>
      <c r="K526" s="482" t="s">
        <v>939</v>
      </c>
      <c r="L526" s="470"/>
      <c r="M526" s="470"/>
      <c r="N526" s="369" t="s">
        <v>655</v>
      </c>
      <c r="O526" s="369" t="s">
        <v>655</v>
      </c>
      <c r="P526" s="369" t="s">
        <v>655</v>
      </c>
      <c r="Q526" s="369" t="s">
        <v>655</v>
      </c>
      <c r="R526" s="367" t="s">
        <v>2252</v>
      </c>
      <c r="S526" s="367">
        <v>5156657</v>
      </c>
      <c r="T526" s="483">
        <v>586.79999999999995</v>
      </c>
      <c r="U526" s="470"/>
      <c r="V526" s="483">
        <v>0</v>
      </c>
      <c r="W526" s="470"/>
      <c r="X526" s="470"/>
      <c r="Y526" s="370">
        <f t="shared" si="9"/>
        <v>586.79999999999995</v>
      </c>
      <c r="Z526" s="371"/>
    </row>
    <row r="527" spans="1:26" x14ac:dyDescent="0.25">
      <c r="A527" s="481">
        <v>42509</v>
      </c>
      <c r="B527" s="470"/>
      <c r="C527" s="368">
        <v>42509</v>
      </c>
      <c r="F527" s="482" t="s">
        <v>686</v>
      </c>
      <c r="G527" s="470"/>
      <c r="H527" s="369" t="s">
        <v>659</v>
      </c>
      <c r="I527" s="369" t="s">
        <v>2253</v>
      </c>
      <c r="J527" s="367" t="s">
        <v>2254</v>
      </c>
      <c r="K527" s="482" t="s">
        <v>1136</v>
      </c>
      <c r="L527" s="470"/>
      <c r="M527" s="470"/>
      <c r="N527" s="369" t="s">
        <v>655</v>
      </c>
      <c r="O527" s="369" t="s">
        <v>655</v>
      </c>
      <c r="P527" s="369" t="s">
        <v>655</v>
      </c>
      <c r="Q527" s="369" t="s">
        <v>655</v>
      </c>
      <c r="R527" s="367" t="s">
        <v>2255</v>
      </c>
      <c r="S527" s="367">
        <v>5161300</v>
      </c>
      <c r="T527" s="483">
        <v>586.79999999999995</v>
      </c>
      <c r="U527" s="470"/>
      <c r="V527" s="483">
        <v>115.36</v>
      </c>
      <c r="W527" s="470"/>
      <c r="X527" s="470"/>
      <c r="Y527" s="370">
        <f t="shared" si="9"/>
        <v>586.79999999999995</v>
      </c>
      <c r="Z527" s="371"/>
    </row>
    <row r="528" spans="1:26" ht="22.5" x14ac:dyDescent="0.25">
      <c r="A528" s="481">
        <v>42509</v>
      </c>
      <c r="B528" s="470"/>
      <c r="C528" s="368">
        <v>42509</v>
      </c>
      <c r="F528" s="482" t="s">
        <v>684</v>
      </c>
      <c r="G528" s="470"/>
      <c r="H528" s="369" t="s">
        <v>659</v>
      </c>
      <c r="I528" s="369" t="s">
        <v>2256</v>
      </c>
      <c r="J528" s="367" t="s">
        <v>2257</v>
      </c>
      <c r="K528" s="482" t="s">
        <v>2258</v>
      </c>
      <c r="L528" s="470"/>
      <c r="M528" s="470"/>
      <c r="N528" s="369" t="s">
        <v>1699</v>
      </c>
      <c r="O528" s="369" t="s">
        <v>655</v>
      </c>
      <c r="P528" s="369" t="s">
        <v>655</v>
      </c>
      <c r="Q528" s="369" t="s">
        <v>753</v>
      </c>
      <c r="R528" s="367" t="s">
        <v>2259</v>
      </c>
      <c r="S528" s="367">
        <v>5157532</v>
      </c>
      <c r="T528" s="483">
        <v>586.79999999999995</v>
      </c>
      <c r="U528" s="470"/>
      <c r="V528" s="483">
        <v>0</v>
      </c>
      <c r="W528" s="470"/>
      <c r="X528" s="470"/>
      <c r="Y528" s="370">
        <f t="shared" si="9"/>
        <v>0</v>
      </c>
      <c r="Z528" s="371"/>
    </row>
    <row r="529" spans="1:26" x14ac:dyDescent="0.25">
      <c r="A529" s="481">
        <v>42510</v>
      </c>
      <c r="B529" s="470"/>
      <c r="C529" s="368">
        <v>42511</v>
      </c>
      <c r="F529" s="482" t="s">
        <v>673</v>
      </c>
      <c r="G529" s="470"/>
      <c r="H529" s="369" t="s">
        <v>659</v>
      </c>
      <c r="I529" s="369" t="s">
        <v>2260</v>
      </c>
      <c r="J529" s="367" t="s">
        <v>2261</v>
      </c>
      <c r="K529" s="482" t="s">
        <v>2262</v>
      </c>
      <c r="L529" s="470"/>
      <c r="M529" s="470"/>
      <c r="N529" s="369" t="s">
        <v>655</v>
      </c>
      <c r="O529" s="369" t="s">
        <v>753</v>
      </c>
      <c r="P529" s="369" t="s">
        <v>655</v>
      </c>
      <c r="Q529" s="369" t="s">
        <v>655</v>
      </c>
      <c r="R529" s="367" t="s">
        <v>2263</v>
      </c>
      <c r="S529" s="367">
        <v>5176630</v>
      </c>
      <c r="T529" s="483">
        <v>586.79999999999995</v>
      </c>
      <c r="U529" s="470"/>
      <c r="V529" s="483">
        <v>0</v>
      </c>
      <c r="W529" s="470"/>
      <c r="X529" s="470"/>
      <c r="Y529" s="370">
        <f t="shared" si="9"/>
        <v>586.79999999999995</v>
      </c>
      <c r="Z529" s="371"/>
    </row>
    <row r="530" spans="1:26" x14ac:dyDescent="0.25">
      <c r="A530" s="481">
        <v>42511</v>
      </c>
      <c r="B530" s="470"/>
      <c r="C530" s="368">
        <v>42512</v>
      </c>
      <c r="F530" s="482" t="s">
        <v>697</v>
      </c>
      <c r="G530" s="470"/>
      <c r="H530" s="369" t="s">
        <v>659</v>
      </c>
      <c r="I530" s="369" t="s">
        <v>2264</v>
      </c>
      <c r="J530" s="367" t="s">
        <v>2265</v>
      </c>
      <c r="K530" s="482" t="s">
        <v>2266</v>
      </c>
      <c r="L530" s="470"/>
      <c r="M530" s="470"/>
      <c r="N530" s="369" t="s">
        <v>655</v>
      </c>
      <c r="O530" s="369" t="s">
        <v>753</v>
      </c>
      <c r="P530" s="369" t="s">
        <v>655</v>
      </c>
      <c r="Q530" s="369" t="s">
        <v>753</v>
      </c>
      <c r="R530" s="367" t="s">
        <v>2267</v>
      </c>
      <c r="S530" s="367">
        <v>5176338</v>
      </c>
      <c r="T530" s="483">
        <v>586.79999999999995</v>
      </c>
      <c r="U530" s="470"/>
      <c r="V530" s="483">
        <v>0</v>
      </c>
      <c r="W530" s="470"/>
      <c r="X530" s="470"/>
      <c r="Y530" s="370">
        <f t="shared" si="9"/>
        <v>0</v>
      </c>
      <c r="Z530" s="371"/>
    </row>
    <row r="531" spans="1:26" x14ac:dyDescent="0.25">
      <c r="A531" s="481">
        <v>42511</v>
      </c>
      <c r="B531" s="470"/>
      <c r="C531" s="368">
        <v>42511</v>
      </c>
      <c r="F531" s="482" t="s">
        <v>673</v>
      </c>
      <c r="G531" s="470"/>
      <c r="H531" s="369" t="s">
        <v>659</v>
      </c>
      <c r="I531" s="369" t="s">
        <v>2268</v>
      </c>
      <c r="J531" s="367" t="s">
        <v>1586</v>
      </c>
      <c r="K531" s="482" t="s">
        <v>2269</v>
      </c>
      <c r="L531" s="470"/>
      <c r="M531" s="470"/>
      <c r="N531" s="369" t="s">
        <v>655</v>
      </c>
      <c r="O531" s="369" t="s">
        <v>753</v>
      </c>
      <c r="P531" s="369" t="s">
        <v>655</v>
      </c>
      <c r="Q531" s="369" t="s">
        <v>753</v>
      </c>
      <c r="R531" s="367" t="s">
        <v>2270</v>
      </c>
      <c r="S531" s="367">
        <v>5176380</v>
      </c>
      <c r="T531" s="483">
        <v>586.79999999999995</v>
      </c>
      <c r="U531" s="470"/>
      <c r="V531" s="483">
        <v>0</v>
      </c>
      <c r="W531" s="470"/>
      <c r="X531" s="470"/>
      <c r="Y531" s="370">
        <f t="shared" si="9"/>
        <v>0</v>
      </c>
      <c r="Z531" s="371"/>
    </row>
    <row r="532" spans="1:26" x14ac:dyDescent="0.25">
      <c r="A532" s="481">
        <v>42512</v>
      </c>
      <c r="B532" s="470"/>
      <c r="C532" s="368">
        <v>42513</v>
      </c>
      <c r="F532" s="482" t="s">
        <v>673</v>
      </c>
      <c r="G532" s="470"/>
      <c r="H532" s="369" t="s">
        <v>659</v>
      </c>
      <c r="I532" s="369" t="s">
        <v>2271</v>
      </c>
      <c r="J532" s="367" t="s">
        <v>2272</v>
      </c>
      <c r="K532" s="482" t="s">
        <v>2273</v>
      </c>
      <c r="L532" s="470"/>
      <c r="M532" s="470"/>
      <c r="N532" s="369" t="s">
        <v>655</v>
      </c>
      <c r="O532" s="369" t="s">
        <v>753</v>
      </c>
      <c r="P532" s="369" t="s">
        <v>655</v>
      </c>
      <c r="Q532" s="369" t="s">
        <v>753</v>
      </c>
      <c r="R532" s="367" t="s">
        <v>2274</v>
      </c>
      <c r="S532" s="367">
        <v>5185075</v>
      </c>
      <c r="T532" s="483">
        <v>586.79999999999995</v>
      </c>
      <c r="U532" s="470"/>
      <c r="V532" s="483">
        <v>0</v>
      </c>
      <c r="W532" s="470"/>
      <c r="X532" s="470"/>
      <c r="Y532" s="370">
        <f t="shared" si="9"/>
        <v>0</v>
      </c>
      <c r="Z532" s="371"/>
    </row>
    <row r="533" spans="1:26" x14ac:dyDescent="0.25">
      <c r="A533" s="481">
        <v>42512</v>
      </c>
      <c r="B533" s="470"/>
      <c r="C533" s="368">
        <v>42513</v>
      </c>
      <c r="F533" s="482" t="s">
        <v>673</v>
      </c>
      <c r="G533" s="470"/>
      <c r="H533" s="369" t="s">
        <v>659</v>
      </c>
      <c r="I533" s="369" t="s">
        <v>2275</v>
      </c>
      <c r="J533" s="367" t="s">
        <v>2276</v>
      </c>
      <c r="K533" s="482" t="s">
        <v>1149</v>
      </c>
      <c r="L533" s="470"/>
      <c r="M533" s="470"/>
      <c r="N533" s="369" t="s">
        <v>655</v>
      </c>
      <c r="O533" s="369" t="s">
        <v>753</v>
      </c>
      <c r="P533" s="369" t="s">
        <v>655</v>
      </c>
      <c r="Q533" s="369" t="s">
        <v>753</v>
      </c>
      <c r="R533" s="367" t="s">
        <v>2277</v>
      </c>
      <c r="S533" s="367">
        <v>5184908</v>
      </c>
      <c r="T533" s="483">
        <v>586.79999999999995</v>
      </c>
      <c r="U533" s="470"/>
      <c r="V533" s="483">
        <v>0</v>
      </c>
      <c r="W533" s="470"/>
      <c r="X533" s="470"/>
      <c r="Y533" s="370">
        <f t="shared" si="9"/>
        <v>0</v>
      </c>
      <c r="Z533" s="371"/>
    </row>
    <row r="534" spans="1:26" x14ac:dyDescent="0.25">
      <c r="A534" s="481">
        <v>42512</v>
      </c>
      <c r="B534" s="470"/>
      <c r="C534" s="368">
        <v>42512</v>
      </c>
      <c r="F534" s="482" t="s">
        <v>673</v>
      </c>
      <c r="G534" s="470"/>
      <c r="H534" s="369" t="s">
        <v>659</v>
      </c>
      <c r="I534" s="369" t="s">
        <v>2278</v>
      </c>
      <c r="J534" s="367" t="s">
        <v>1288</v>
      </c>
      <c r="K534" s="482" t="s">
        <v>2279</v>
      </c>
      <c r="L534" s="470"/>
      <c r="M534" s="470"/>
      <c r="N534" s="369" t="s">
        <v>655</v>
      </c>
      <c r="O534" s="369" t="s">
        <v>753</v>
      </c>
      <c r="P534" s="369" t="s">
        <v>655</v>
      </c>
      <c r="Q534" s="369" t="s">
        <v>753</v>
      </c>
      <c r="R534" s="367" t="s">
        <v>2280</v>
      </c>
      <c r="S534" s="367">
        <v>5178651</v>
      </c>
      <c r="T534" s="483">
        <v>586.79999999999995</v>
      </c>
      <c r="U534" s="470"/>
      <c r="V534" s="483">
        <v>0</v>
      </c>
      <c r="W534" s="470"/>
      <c r="X534" s="470"/>
      <c r="Y534" s="370">
        <f t="shared" si="9"/>
        <v>0</v>
      </c>
      <c r="Z534" s="371"/>
    </row>
    <row r="535" spans="1:26" x14ac:dyDescent="0.25">
      <c r="A535" s="481">
        <v>42513</v>
      </c>
      <c r="B535" s="470"/>
      <c r="C535" s="368">
        <v>42513</v>
      </c>
      <c r="F535" s="482" t="s">
        <v>697</v>
      </c>
      <c r="G535" s="470"/>
      <c r="H535" s="369" t="s">
        <v>659</v>
      </c>
      <c r="I535" s="369" t="s">
        <v>2281</v>
      </c>
      <c r="J535" s="367" t="s">
        <v>2282</v>
      </c>
      <c r="K535" s="482" t="s">
        <v>1194</v>
      </c>
      <c r="L535" s="470"/>
      <c r="M535" s="470"/>
      <c r="N535" s="369" t="s">
        <v>655</v>
      </c>
      <c r="O535" s="369" t="s">
        <v>753</v>
      </c>
      <c r="P535" s="369" t="s">
        <v>655</v>
      </c>
      <c r="Q535" s="369" t="s">
        <v>655</v>
      </c>
      <c r="R535" s="367" t="s">
        <v>2283</v>
      </c>
      <c r="S535" s="367">
        <v>5185015</v>
      </c>
      <c r="T535" s="483">
        <v>586.79999999999995</v>
      </c>
      <c r="U535" s="470"/>
      <c r="V535" s="483">
        <v>54.9</v>
      </c>
      <c r="W535" s="470"/>
      <c r="X535" s="470"/>
      <c r="Y535" s="370">
        <f t="shared" si="9"/>
        <v>586.79999999999995</v>
      </c>
      <c r="Z535" s="371"/>
    </row>
    <row r="536" spans="1:26" x14ac:dyDescent="0.25">
      <c r="A536" s="481">
        <v>42513</v>
      </c>
      <c r="B536" s="470"/>
      <c r="C536" s="368">
        <v>42513</v>
      </c>
      <c r="F536" s="482" t="s">
        <v>673</v>
      </c>
      <c r="G536" s="470"/>
      <c r="H536" s="369" t="s">
        <v>659</v>
      </c>
      <c r="I536" s="369" t="s">
        <v>2281</v>
      </c>
      <c r="J536" s="367" t="s">
        <v>2282</v>
      </c>
      <c r="K536" s="482" t="s">
        <v>1194</v>
      </c>
      <c r="L536" s="470"/>
      <c r="M536" s="470"/>
      <c r="N536" s="369" t="s">
        <v>655</v>
      </c>
      <c r="O536" s="369" t="s">
        <v>753</v>
      </c>
      <c r="P536" s="369" t="s">
        <v>655</v>
      </c>
      <c r="Q536" s="369" t="s">
        <v>655</v>
      </c>
      <c r="R536" s="367" t="s">
        <v>2284</v>
      </c>
      <c r="S536" s="367">
        <v>5185050</v>
      </c>
      <c r="T536" s="483">
        <v>586.79999999999995</v>
      </c>
      <c r="U536" s="470"/>
      <c r="V536" s="483">
        <v>0</v>
      </c>
      <c r="W536" s="470"/>
      <c r="X536" s="470"/>
      <c r="Y536" s="370">
        <f t="shared" si="9"/>
        <v>586.79999999999995</v>
      </c>
      <c r="Z536" s="371"/>
    </row>
    <row r="537" spans="1:26" x14ac:dyDescent="0.25">
      <c r="A537" s="481">
        <v>42513</v>
      </c>
      <c r="B537" s="470"/>
      <c r="C537" s="368">
        <v>42513</v>
      </c>
      <c r="F537" s="482" t="s">
        <v>924</v>
      </c>
      <c r="G537" s="470"/>
      <c r="H537" s="369" t="s">
        <v>659</v>
      </c>
      <c r="I537" s="369" t="s">
        <v>2285</v>
      </c>
      <c r="J537" s="367" t="s">
        <v>2286</v>
      </c>
      <c r="K537" s="482" t="s">
        <v>1246</v>
      </c>
      <c r="L537" s="470"/>
      <c r="M537" s="470"/>
      <c r="N537" s="369" t="s">
        <v>655</v>
      </c>
      <c r="O537" s="369" t="s">
        <v>753</v>
      </c>
      <c r="P537" s="369" t="s">
        <v>655</v>
      </c>
      <c r="Q537" s="369" t="s">
        <v>655</v>
      </c>
      <c r="R537" s="367" t="s">
        <v>2287</v>
      </c>
      <c r="S537" s="367">
        <v>5184925</v>
      </c>
      <c r="T537" s="483">
        <v>586.79999999999995</v>
      </c>
      <c r="U537" s="470"/>
      <c r="V537" s="483">
        <v>0</v>
      </c>
      <c r="W537" s="470"/>
      <c r="X537" s="470"/>
      <c r="Y537" s="370">
        <f t="shared" si="9"/>
        <v>586.79999999999995</v>
      </c>
      <c r="Z537" s="371"/>
    </row>
    <row r="538" spans="1:26" x14ac:dyDescent="0.25">
      <c r="A538" s="481">
        <v>42516</v>
      </c>
      <c r="B538" s="470"/>
      <c r="C538" s="368">
        <v>42517</v>
      </c>
      <c r="F538" s="482" t="s">
        <v>673</v>
      </c>
      <c r="G538" s="470"/>
      <c r="H538" s="369" t="s">
        <v>659</v>
      </c>
      <c r="I538" s="369" t="s">
        <v>2288</v>
      </c>
      <c r="J538" s="367" t="s">
        <v>2289</v>
      </c>
      <c r="K538" s="482" t="s">
        <v>693</v>
      </c>
      <c r="L538" s="470"/>
      <c r="M538" s="470"/>
      <c r="N538" s="369" t="s">
        <v>655</v>
      </c>
      <c r="O538" s="369" t="s">
        <v>753</v>
      </c>
      <c r="P538" s="369" t="s">
        <v>655</v>
      </c>
      <c r="Q538" s="369" t="s">
        <v>753</v>
      </c>
      <c r="R538" s="367" t="s">
        <v>2290</v>
      </c>
      <c r="S538" s="367">
        <v>5230967</v>
      </c>
      <c r="T538" s="483">
        <v>586.79999999999995</v>
      </c>
      <c r="U538" s="470"/>
      <c r="V538" s="483">
        <v>0</v>
      </c>
      <c r="W538" s="470"/>
      <c r="X538" s="470"/>
      <c r="Y538" s="370">
        <f t="shared" si="9"/>
        <v>0</v>
      </c>
      <c r="Z538" s="371"/>
    </row>
    <row r="539" spans="1:26" x14ac:dyDescent="0.25">
      <c r="A539" s="481">
        <v>42518</v>
      </c>
      <c r="B539" s="470"/>
      <c r="C539" s="368">
        <v>42518</v>
      </c>
      <c r="F539" s="482" t="s">
        <v>777</v>
      </c>
      <c r="G539" s="470"/>
      <c r="H539" s="369" t="s">
        <v>659</v>
      </c>
      <c r="I539" s="369" t="s">
        <v>2291</v>
      </c>
      <c r="J539" s="367" t="s">
        <v>2292</v>
      </c>
      <c r="K539" s="482" t="s">
        <v>2293</v>
      </c>
      <c r="L539" s="470"/>
      <c r="M539" s="470"/>
      <c r="N539" s="369" t="s">
        <v>655</v>
      </c>
      <c r="O539" s="369" t="s">
        <v>753</v>
      </c>
      <c r="P539" s="369" t="s">
        <v>655</v>
      </c>
      <c r="Q539" s="369" t="s">
        <v>753</v>
      </c>
      <c r="R539" s="367" t="s">
        <v>2294</v>
      </c>
      <c r="S539" s="367">
        <v>5228191</v>
      </c>
      <c r="T539" s="483">
        <v>586.79999999999995</v>
      </c>
      <c r="U539" s="470"/>
      <c r="V539" s="483">
        <v>0</v>
      </c>
      <c r="W539" s="470"/>
      <c r="X539" s="470"/>
      <c r="Y539" s="370">
        <f t="shared" si="9"/>
        <v>0</v>
      </c>
      <c r="Z539" s="371"/>
    </row>
    <row r="540" spans="1:26" x14ac:dyDescent="0.25">
      <c r="A540" s="481">
        <v>42518</v>
      </c>
      <c r="B540" s="470"/>
      <c r="C540" s="368">
        <v>42518</v>
      </c>
      <c r="F540" s="482" t="s">
        <v>673</v>
      </c>
      <c r="G540" s="470"/>
      <c r="H540" s="369" t="s">
        <v>659</v>
      </c>
      <c r="I540" s="369" t="s">
        <v>2295</v>
      </c>
      <c r="J540" s="367" t="s">
        <v>2296</v>
      </c>
      <c r="K540" s="482" t="s">
        <v>2297</v>
      </c>
      <c r="L540" s="470"/>
      <c r="M540" s="470"/>
      <c r="N540" s="369" t="s">
        <v>655</v>
      </c>
      <c r="O540" s="369" t="s">
        <v>753</v>
      </c>
      <c r="P540" s="369" t="s">
        <v>655</v>
      </c>
      <c r="Q540" s="369" t="s">
        <v>655</v>
      </c>
      <c r="R540" s="367" t="s">
        <v>2298</v>
      </c>
      <c r="S540" s="367">
        <v>5228342</v>
      </c>
      <c r="T540" s="483">
        <v>586.79999999999995</v>
      </c>
      <c r="U540" s="470"/>
      <c r="V540" s="483">
        <v>0</v>
      </c>
      <c r="W540" s="470"/>
      <c r="X540" s="470"/>
      <c r="Y540" s="370">
        <f t="shared" si="9"/>
        <v>586.79999999999995</v>
      </c>
      <c r="Z540" s="371"/>
    </row>
    <row r="541" spans="1:26" x14ac:dyDescent="0.25">
      <c r="A541" s="481">
        <v>42519</v>
      </c>
      <c r="B541" s="470"/>
      <c r="C541" s="368">
        <v>42519</v>
      </c>
      <c r="F541" s="482" t="s">
        <v>697</v>
      </c>
      <c r="G541" s="470"/>
      <c r="H541" s="369" t="s">
        <v>659</v>
      </c>
      <c r="I541" s="369" t="s">
        <v>2299</v>
      </c>
      <c r="J541" s="367" t="s">
        <v>2300</v>
      </c>
      <c r="K541" s="482" t="s">
        <v>2301</v>
      </c>
      <c r="L541" s="470"/>
      <c r="M541" s="470"/>
      <c r="N541" s="369" t="s">
        <v>655</v>
      </c>
      <c r="O541" s="369" t="s">
        <v>753</v>
      </c>
      <c r="P541" s="369" t="s">
        <v>655</v>
      </c>
      <c r="Q541" s="369" t="s">
        <v>753</v>
      </c>
      <c r="R541" s="367" t="s">
        <v>2302</v>
      </c>
      <c r="S541" s="367">
        <v>5228311</v>
      </c>
      <c r="T541" s="483">
        <v>586.79999999999995</v>
      </c>
      <c r="U541" s="470"/>
      <c r="V541" s="483">
        <v>0</v>
      </c>
      <c r="W541" s="470"/>
      <c r="X541" s="470"/>
      <c r="Y541" s="370">
        <f t="shared" si="9"/>
        <v>0</v>
      </c>
      <c r="Z541" s="371"/>
    </row>
    <row r="542" spans="1:26" x14ac:dyDescent="0.25">
      <c r="A542" s="481">
        <v>42519</v>
      </c>
      <c r="B542" s="470"/>
      <c r="C542" s="368">
        <v>42522</v>
      </c>
      <c r="F542" s="482" t="s">
        <v>658</v>
      </c>
      <c r="G542" s="470"/>
      <c r="H542" s="369" t="s">
        <v>659</v>
      </c>
      <c r="I542" s="369" t="s">
        <v>2303</v>
      </c>
      <c r="J542" s="367" t="s">
        <v>828</v>
      </c>
      <c r="K542" s="482" t="s">
        <v>2304</v>
      </c>
      <c r="L542" s="470"/>
      <c r="M542" s="470"/>
      <c r="N542" s="369" t="s">
        <v>655</v>
      </c>
      <c r="O542" s="369" t="s">
        <v>753</v>
      </c>
      <c r="P542" s="369" t="s">
        <v>655</v>
      </c>
      <c r="Q542" s="369" t="s">
        <v>753</v>
      </c>
      <c r="R542" s="367" t="s">
        <v>2305</v>
      </c>
      <c r="S542" s="367">
        <v>5253619</v>
      </c>
      <c r="T542" s="483">
        <v>586.79999999999995</v>
      </c>
      <c r="U542" s="470"/>
      <c r="V542" s="483">
        <v>0</v>
      </c>
      <c r="W542" s="470"/>
      <c r="X542" s="470"/>
      <c r="Y542" s="370">
        <f t="shared" si="9"/>
        <v>0</v>
      </c>
      <c r="Z542" s="371"/>
    </row>
    <row r="543" spans="1:26" x14ac:dyDescent="0.25">
      <c r="A543" s="481">
        <v>42519</v>
      </c>
      <c r="B543" s="470"/>
      <c r="C543" s="368">
        <v>42519</v>
      </c>
      <c r="F543" s="482" t="s">
        <v>673</v>
      </c>
      <c r="G543" s="470"/>
      <c r="H543" s="369" t="s">
        <v>659</v>
      </c>
      <c r="I543" s="369" t="s">
        <v>2306</v>
      </c>
      <c r="J543" s="367" t="s">
        <v>1922</v>
      </c>
      <c r="K543" s="482" t="s">
        <v>1415</v>
      </c>
      <c r="L543" s="470"/>
      <c r="M543" s="470"/>
      <c r="N543" s="369" t="s">
        <v>655</v>
      </c>
      <c r="O543" s="369" t="s">
        <v>753</v>
      </c>
      <c r="P543" s="369" t="s">
        <v>655</v>
      </c>
      <c r="Q543" s="369" t="s">
        <v>655</v>
      </c>
      <c r="R543" s="367" t="s">
        <v>2307</v>
      </c>
      <c r="S543" s="367">
        <v>5227973</v>
      </c>
      <c r="T543" s="483">
        <v>586.79999999999995</v>
      </c>
      <c r="U543" s="470"/>
      <c r="V543" s="483">
        <v>0</v>
      </c>
      <c r="W543" s="470"/>
      <c r="X543" s="470"/>
      <c r="Y543" s="370">
        <f t="shared" si="9"/>
        <v>586.79999999999995</v>
      </c>
      <c r="Z543" s="371"/>
    </row>
    <row r="544" spans="1:26" x14ac:dyDescent="0.25">
      <c r="A544" s="481">
        <v>42519</v>
      </c>
      <c r="B544" s="470"/>
      <c r="C544" s="368">
        <v>42519</v>
      </c>
      <c r="F544" s="482" t="s">
        <v>684</v>
      </c>
      <c r="G544" s="470"/>
      <c r="H544" s="369" t="s">
        <v>659</v>
      </c>
      <c r="I544" s="369" t="s">
        <v>2308</v>
      </c>
      <c r="J544" s="367" t="s">
        <v>799</v>
      </c>
      <c r="K544" s="482" t="s">
        <v>2309</v>
      </c>
      <c r="L544" s="470"/>
      <c r="M544" s="470"/>
      <c r="N544" s="369" t="s">
        <v>655</v>
      </c>
      <c r="O544" s="369" t="s">
        <v>753</v>
      </c>
      <c r="P544" s="369" t="s">
        <v>655</v>
      </c>
      <c r="Q544" s="369" t="s">
        <v>655</v>
      </c>
      <c r="R544" s="367" t="s">
        <v>2310</v>
      </c>
      <c r="S544" s="367">
        <v>5228276</v>
      </c>
      <c r="T544" s="483">
        <v>586.79999999999995</v>
      </c>
      <c r="U544" s="470"/>
      <c r="V544" s="483">
        <v>0</v>
      </c>
      <c r="W544" s="470"/>
      <c r="X544" s="470"/>
      <c r="Y544" s="370">
        <f t="shared" si="9"/>
        <v>586.79999999999995</v>
      </c>
      <c r="Z544" s="371"/>
    </row>
    <row r="545" spans="1:26" x14ac:dyDescent="0.25">
      <c r="A545" s="481">
        <v>42519</v>
      </c>
      <c r="B545" s="470"/>
      <c r="C545" s="368">
        <v>42519</v>
      </c>
      <c r="F545" s="482" t="s">
        <v>673</v>
      </c>
      <c r="G545" s="470"/>
      <c r="H545" s="369" t="s">
        <v>659</v>
      </c>
      <c r="I545" s="369" t="s">
        <v>2311</v>
      </c>
      <c r="J545" s="367" t="s">
        <v>2312</v>
      </c>
      <c r="K545" s="482" t="s">
        <v>1178</v>
      </c>
      <c r="L545" s="470"/>
      <c r="M545" s="470"/>
      <c r="N545" s="369" t="s">
        <v>655</v>
      </c>
      <c r="O545" s="369" t="s">
        <v>753</v>
      </c>
      <c r="P545" s="369" t="s">
        <v>655</v>
      </c>
      <c r="Q545" s="369" t="s">
        <v>655</v>
      </c>
      <c r="R545" s="367" t="s">
        <v>2313</v>
      </c>
      <c r="S545" s="367">
        <v>5228252</v>
      </c>
      <c r="T545" s="483">
        <v>586.79999999999995</v>
      </c>
      <c r="U545" s="470"/>
      <c r="V545" s="483">
        <v>0</v>
      </c>
      <c r="W545" s="470"/>
      <c r="X545" s="470"/>
      <c r="Y545" s="370">
        <f t="shared" si="9"/>
        <v>586.79999999999995</v>
      </c>
      <c r="Z545" s="371"/>
    </row>
    <row r="546" spans="1:26" x14ac:dyDescent="0.25">
      <c r="A546" s="481">
        <v>42521</v>
      </c>
      <c r="B546" s="470"/>
      <c r="C546" s="368">
        <v>42521</v>
      </c>
      <c r="F546" s="482" t="s">
        <v>899</v>
      </c>
      <c r="G546" s="470"/>
      <c r="H546" s="369" t="s">
        <v>659</v>
      </c>
      <c r="I546" s="369" t="s">
        <v>2314</v>
      </c>
      <c r="J546" s="367" t="s">
        <v>2315</v>
      </c>
      <c r="K546" s="482" t="s">
        <v>1809</v>
      </c>
      <c r="L546" s="470"/>
      <c r="M546" s="470"/>
      <c r="N546" s="369" t="s">
        <v>655</v>
      </c>
      <c r="O546" s="369" t="s">
        <v>753</v>
      </c>
      <c r="P546" s="369" t="s">
        <v>655</v>
      </c>
      <c r="Q546" s="369" t="s">
        <v>753</v>
      </c>
      <c r="R546" s="367" t="s">
        <v>2316</v>
      </c>
      <c r="S546" s="367">
        <v>5240207</v>
      </c>
      <c r="T546" s="483">
        <v>586.79999999999995</v>
      </c>
      <c r="U546" s="470"/>
      <c r="V546" s="483">
        <v>0</v>
      </c>
      <c r="W546" s="470"/>
      <c r="X546" s="470"/>
      <c r="Y546" s="370">
        <f t="shared" si="9"/>
        <v>0</v>
      </c>
      <c r="Z546" s="371"/>
    </row>
    <row r="547" spans="1:26" x14ac:dyDescent="0.25">
      <c r="A547" s="484" t="s">
        <v>655</v>
      </c>
      <c r="B547" s="470"/>
      <c r="C547" s="470"/>
      <c r="D547" s="485" t="s">
        <v>2317</v>
      </c>
      <c r="E547" s="470"/>
      <c r="F547" s="470"/>
      <c r="G547" s="470"/>
      <c r="H547" s="484" t="s">
        <v>2318</v>
      </c>
      <c r="I547" s="470"/>
      <c r="J547" s="470"/>
      <c r="K547" s="470"/>
      <c r="L547" s="470"/>
      <c r="M547" s="470"/>
      <c r="N547" s="470"/>
      <c r="O547" s="372" t="s">
        <v>655</v>
      </c>
      <c r="P547" s="372" t="s">
        <v>655</v>
      </c>
      <c r="Q547" s="372" t="s">
        <v>655</v>
      </c>
      <c r="R547" s="372" t="s">
        <v>655</v>
      </c>
      <c r="S547" s="372">
        <v>1992806114</v>
      </c>
      <c r="T547" s="486">
        <v>282250.8</v>
      </c>
      <c r="U547" s="470"/>
      <c r="V547" s="486">
        <v>194691.63</v>
      </c>
      <c r="W547" s="470"/>
      <c r="X547" s="470"/>
      <c r="Y547" s="373">
        <f>SUM(Y66:Y546)</f>
        <v>230694.17999999912</v>
      </c>
      <c r="Z547" s="374" t="s">
        <v>655</v>
      </c>
    </row>
    <row r="548" spans="1:26" x14ac:dyDescent="0.25">
      <c r="A548" s="489" t="s">
        <v>655</v>
      </c>
      <c r="B548" s="470"/>
      <c r="C548" s="470"/>
      <c r="D548" s="490" t="s">
        <v>2317</v>
      </c>
      <c r="E548" s="470"/>
      <c r="F548" s="470"/>
      <c r="G548" s="470"/>
      <c r="H548" s="489" t="s">
        <v>2319</v>
      </c>
      <c r="I548" s="470"/>
      <c r="J548" s="470"/>
      <c r="K548" s="470"/>
      <c r="L548" s="470"/>
      <c r="M548" s="470"/>
      <c r="N548" s="470"/>
      <c r="O548" s="375" t="s">
        <v>655</v>
      </c>
      <c r="P548" s="375" t="s">
        <v>655</v>
      </c>
      <c r="Q548" s="375" t="s">
        <v>655</v>
      </c>
      <c r="R548" s="375" t="s">
        <v>655</v>
      </c>
      <c r="S548" s="375" t="s">
        <v>655</v>
      </c>
      <c r="T548" s="491">
        <v>282250.8</v>
      </c>
      <c r="U548" s="470"/>
      <c r="V548" s="491">
        <v>194691.63</v>
      </c>
      <c r="W548" s="470"/>
      <c r="X548" s="470"/>
      <c r="Y548" s="376">
        <f>Y547</f>
        <v>230694.17999999912</v>
      </c>
      <c r="Z548" s="377" t="s">
        <v>655</v>
      </c>
    </row>
    <row r="549" spans="1:26" x14ac:dyDescent="0.25">
      <c r="A549" s="492" t="s">
        <v>655</v>
      </c>
      <c r="B549" s="470"/>
      <c r="C549" s="378" t="s">
        <v>655</v>
      </c>
      <c r="D549" s="493" t="s">
        <v>655</v>
      </c>
      <c r="E549" s="470"/>
      <c r="F549" s="493" t="s">
        <v>655</v>
      </c>
      <c r="G549" s="470"/>
      <c r="H549" s="378" t="s">
        <v>655</v>
      </c>
      <c r="I549" s="378" t="s">
        <v>655</v>
      </c>
      <c r="J549" s="378" t="s">
        <v>655</v>
      </c>
      <c r="K549" s="492" t="s">
        <v>655</v>
      </c>
      <c r="L549" s="470"/>
      <c r="M549" s="470"/>
      <c r="N549" s="378" t="s">
        <v>655</v>
      </c>
      <c r="O549" s="378" t="s">
        <v>655</v>
      </c>
      <c r="P549" s="378" t="s">
        <v>655</v>
      </c>
      <c r="Q549" s="378" t="s">
        <v>655</v>
      </c>
      <c r="R549" s="378" t="s">
        <v>655</v>
      </c>
      <c r="S549" s="378" t="s">
        <v>655</v>
      </c>
      <c r="T549" s="488" t="s">
        <v>655</v>
      </c>
      <c r="U549" s="470"/>
      <c r="V549" s="488" t="s">
        <v>655</v>
      </c>
      <c r="W549" s="470"/>
      <c r="X549" s="470"/>
      <c r="Y549" s="379" t="s">
        <v>655</v>
      </c>
      <c r="Z549" s="379" t="s">
        <v>655</v>
      </c>
    </row>
    <row r="550" spans="1:26" x14ac:dyDescent="0.25">
      <c r="A550" s="474" t="s">
        <v>2320</v>
      </c>
      <c r="B550" s="470"/>
      <c r="C550" s="470"/>
      <c r="D550" s="470"/>
      <c r="E550" s="470"/>
      <c r="F550" s="470"/>
      <c r="G550" s="470"/>
      <c r="H550" s="470"/>
      <c r="I550" s="470"/>
      <c r="J550" s="470"/>
      <c r="K550" s="470"/>
      <c r="L550" s="470"/>
      <c r="M550" s="470"/>
      <c r="N550" s="470"/>
      <c r="O550" s="470"/>
      <c r="P550" s="364" t="s">
        <v>655</v>
      </c>
      <c r="Q550" s="365" t="s">
        <v>655</v>
      </c>
      <c r="R550" s="365" t="s">
        <v>655</v>
      </c>
      <c r="S550" s="365" t="s">
        <v>655</v>
      </c>
      <c r="T550" s="475" t="s">
        <v>655</v>
      </c>
      <c r="U550" s="470"/>
      <c r="V550" s="475" t="s">
        <v>655</v>
      </c>
      <c r="W550" s="470"/>
      <c r="X550" s="470"/>
      <c r="Y550" s="365" t="s">
        <v>655</v>
      </c>
      <c r="Z550" s="365" t="s">
        <v>655</v>
      </c>
    </row>
    <row r="551" spans="1:26" x14ac:dyDescent="0.25">
      <c r="A551" s="474" t="s">
        <v>657</v>
      </c>
      <c r="B551" s="470"/>
      <c r="C551" s="470"/>
      <c r="D551" s="470"/>
      <c r="E551" s="470"/>
      <c r="F551" s="470"/>
      <c r="G551" s="470"/>
      <c r="H551" s="470"/>
      <c r="I551" s="470"/>
      <c r="J551" s="470"/>
      <c r="K551" s="470"/>
      <c r="L551" s="470"/>
      <c r="M551" s="470"/>
      <c r="N551" s="470"/>
      <c r="O551" s="470"/>
      <c r="P551" s="364" t="s">
        <v>655</v>
      </c>
      <c r="Q551" s="365" t="s">
        <v>655</v>
      </c>
      <c r="R551" s="365" t="s">
        <v>655</v>
      </c>
      <c r="S551" s="365" t="s">
        <v>655</v>
      </c>
      <c r="T551" s="475" t="s">
        <v>655</v>
      </c>
      <c r="U551" s="470"/>
      <c r="V551" s="475" t="s">
        <v>655</v>
      </c>
      <c r="W551" s="470"/>
      <c r="X551" s="470"/>
      <c r="Y551" s="365" t="s">
        <v>655</v>
      </c>
      <c r="Z551" s="365" t="s">
        <v>655</v>
      </c>
    </row>
    <row r="552" spans="1:26" x14ac:dyDescent="0.25">
      <c r="A552" s="487" t="s">
        <v>491</v>
      </c>
      <c r="B552" s="470"/>
      <c r="C552" s="470"/>
      <c r="D552" s="470"/>
      <c r="E552" s="470"/>
      <c r="F552" s="470"/>
      <c r="G552" s="470"/>
      <c r="H552" s="470"/>
      <c r="I552" s="470"/>
      <c r="J552" s="470"/>
      <c r="K552" s="470"/>
      <c r="L552" s="470"/>
      <c r="M552" s="470"/>
      <c r="N552" s="470"/>
      <c r="O552" s="470"/>
      <c r="P552" s="366" t="s">
        <v>655</v>
      </c>
      <c r="Q552" s="367" t="s">
        <v>655</v>
      </c>
      <c r="R552" s="367" t="s">
        <v>655</v>
      </c>
      <c r="S552" s="367" t="s">
        <v>655</v>
      </c>
      <c r="T552" s="482" t="s">
        <v>655</v>
      </c>
      <c r="U552" s="470"/>
      <c r="V552" s="482" t="s">
        <v>655</v>
      </c>
      <c r="W552" s="470"/>
      <c r="X552" s="470"/>
      <c r="Y552" s="367" t="s">
        <v>655</v>
      </c>
      <c r="Z552" s="367" t="s">
        <v>655</v>
      </c>
    </row>
    <row r="553" spans="1:26" x14ac:dyDescent="0.25">
      <c r="A553" s="481">
        <v>42155</v>
      </c>
      <c r="B553" s="470"/>
      <c r="C553" s="368">
        <v>42161</v>
      </c>
      <c r="D553" s="494">
        <v>5</v>
      </c>
      <c r="E553" s="470"/>
      <c r="F553" s="482" t="s">
        <v>733</v>
      </c>
      <c r="G553" s="470"/>
      <c r="H553" s="369" t="s">
        <v>659</v>
      </c>
      <c r="I553" s="369" t="s">
        <v>674</v>
      </c>
      <c r="J553" s="367" t="s">
        <v>675</v>
      </c>
      <c r="K553" s="482" t="s">
        <v>676</v>
      </c>
      <c r="L553" s="470"/>
      <c r="M553" s="470"/>
      <c r="N553" s="369" t="s">
        <v>655</v>
      </c>
      <c r="O553" s="369" t="s">
        <v>655</v>
      </c>
      <c r="P553" s="369" t="s">
        <v>655</v>
      </c>
      <c r="Q553" s="369" t="s">
        <v>655</v>
      </c>
      <c r="R553" s="367" t="s">
        <v>2321</v>
      </c>
      <c r="S553" s="367">
        <v>3107290</v>
      </c>
      <c r="T553" s="483">
        <v>8830.2999999999993</v>
      </c>
      <c r="U553" s="470"/>
      <c r="V553" s="483">
        <v>6047.05</v>
      </c>
      <c r="W553" s="470"/>
      <c r="X553" s="470"/>
      <c r="Y553" s="370">
        <f t="shared" ref="Y553:Y570" si="10">V553</f>
        <v>6047.05</v>
      </c>
      <c r="Z553" s="371">
        <v>4</v>
      </c>
    </row>
    <row r="554" spans="1:26" x14ac:dyDescent="0.25">
      <c r="A554" s="481">
        <v>42164</v>
      </c>
      <c r="B554" s="470"/>
      <c r="C554" s="368">
        <v>42177</v>
      </c>
      <c r="D554" s="494">
        <v>13</v>
      </c>
      <c r="E554" s="470"/>
      <c r="F554" s="482" t="s">
        <v>825</v>
      </c>
      <c r="G554" s="470"/>
      <c r="H554" s="369" t="s">
        <v>659</v>
      </c>
      <c r="I554" s="369" t="s">
        <v>674</v>
      </c>
      <c r="J554" s="367" t="s">
        <v>675</v>
      </c>
      <c r="K554" s="482" t="s">
        <v>676</v>
      </c>
      <c r="L554" s="470"/>
      <c r="M554" s="470"/>
      <c r="N554" s="369" t="s">
        <v>655</v>
      </c>
      <c r="O554" s="369" t="s">
        <v>655</v>
      </c>
      <c r="P554" s="369" t="s">
        <v>655</v>
      </c>
      <c r="Q554" s="369" t="s">
        <v>655</v>
      </c>
      <c r="R554" s="367" t="s">
        <v>826</v>
      </c>
      <c r="S554" s="367">
        <v>3154702</v>
      </c>
      <c r="T554" s="483">
        <v>22958.78</v>
      </c>
      <c r="U554" s="470"/>
      <c r="V554" s="483">
        <v>30853.99</v>
      </c>
      <c r="W554" s="470"/>
      <c r="X554" s="470"/>
      <c r="Y554" s="370">
        <f t="shared" si="10"/>
        <v>30853.99</v>
      </c>
      <c r="Z554" s="371">
        <v>64</v>
      </c>
    </row>
    <row r="555" spans="1:26" x14ac:dyDescent="0.25">
      <c r="A555" s="481">
        <v>42184</v>
      </c>
      <c r="B555" s="470"/>
      <c r="C555" s="368">
        <v>42192</v>
      </c>
      <c r="D555" s="494">
        <v>8</v>
      </c>
      <c r="E555" s="470"/>
      <c r="F555" s="482" t="s">
        <v>673</v>
      </c>
      <c r="G555" s="470"/>
      <c r="H555" s="369" t="s">
        <v>659</v>
      </c>
      <c r="I555" s="369" t="s">
        <v>674</v>
      </c>
      <c r="J555" s="367" t="s">
        <v>675</v>
      </c>
      <c r="K555" s="482" t="s">
        <v>676</v>
      </c>
      <c r="L555" s="470"/>
      <c r="M555" s="470"/>
      <c r="N555" s="369" t="s">
        <v>655</v>
      </c>
      <c r="O555" s="369" t="s">
        <v>655</v>
      </c>
      <c r="P555" s="369" t="s">
        <v>655</v>
      </c>
      <c r="Q555" s="369" t="s">
        <v>655</v>
      </c>
      <c r="R555" s="367" t="s">
        <v>683</v>
      </c>
      <c r="S555" s="367">
        <v>3249478</v>
      </c>
      <c r="T555" s="483">
        <v>14128.48</v>
      </c>
      <c r="U555" s="470"/>
      <c r="V555" s="483">
        <v>7724.61</v>
      </c>
      <c r="W555" s="470"/>
      <c r="X555" s="470"/>
      <c r="Y555" s="370">
        <f t="shared" si="10"/>
        <v>7724.61</v>
      </c>
      <c r="Z555" s="371"/>
    </row>
    <row r="556" spans="1:26" x14ac:dyDescent="0.25">
      <c r="A556" s="481">
        <v>42193</v>
      </c>
      <c r="B556" s="470"/>
      <c r="C556" s="368">
        <v>42202</v>
      </c>
      <c r="D556" s="494">
        <v>9</v>
      </c>
      <c r="E556" s="470"/>
      <c r="F556" s="482" t="s">
        <v>684</v>
      </c>
      <c r="G556" s="470"/>
      <c r="H556" s="369" t="s">
        <v>659</v>
      </c>
      <c r="I556" s="369" t="s">
        <v>674</v>
      </c>
      <c r="J556" s="367" t="s">
        <v>675</v>
      </c>
      <c r="K556" s="482" t="s">
        <v>676</v>
      </c>
      <c r="L556" s="470"/>
      <c r="M556" s="470"/>
      <c r="N556" s="369" t="s">
        <v>655</v>
      </c>
      <c r="O556" s="369" t="s">
        <v>655</v>
      </c>
      <c r="P556" s="369" t="s">
        <v>655</v>
      </c>
      <c r="Q556" s="369" t="s">
        <v>655</v>
      </c>
      <c r="R556" s="367" t="s">
        <v>685</v>
      </c>
      <c r="S556" s="367">
        <v>3292306</v>
      </c>
      <c r="T556" s="483">
        <v>15894.54</v>
      </c>
      <c r="U556" s="470"/>
      <c r="V556" s="483">
        <v>7612.94</v>
      </c>
      <c r="W556" s="470"/>
      <c r="X556" s="470"/>
      <c r="Y556" s="370">
        <f t="shared" si="10"/>
        <v>7612.94</v>
      </c>
      <c r="Z556" s="371"/>
    </row>
    <row r="557" spans="1:26" x14ac:dyDescent="0.25">
      <c r="A557" s="481">
        <v>42194</v>
      </c>
      <c r="B557" s="470"/>
      <c r="C557" s="368">
        <v>42196</v>
      </c>
      <c r="D557" s="494">
        <v>2</v>
      </c>
      <c r="E557" s="470"/>
      <c r="F557" s="482" t="s">
        <v>673</v>
      </c>
      <c r="G557" s="470"/>
      <c r="H557" s="369" t="s">
        <v>659</v>
      </c>
      <c r="I557" s="369" t="s">
        <v>974</v>
      </c>
      <c r="J557" s="367" t="s">
        <v>930</v>
      </c>
      <c r="K557" s="482" t="s">
        <v>975</v>
      </c>
      <c r="L557" s="470"/>
      <c r="M557" s="470"/>
      <c r="N557" s="369" t="s">
        <v>655</v>
      </c>
      <c r="O557" s="369" t="s">
        <v>655</v>
      </c>
      <c r="P557" s="369" t="s">
        <v>655</v>
      </c>
      <c r="Q557" s="369" t="s">
        <v>655</v>
      </c>
      <c r="R557" s="367" t="s">
        <v>976</v>
      </c>
      <c r="S557" s="367">
        <v>3294280</v>
      </c>
      <c r="T557" s="483">
        <v>3532.12</v>
      </c>
      <c r="U557" s="470"/>
      <c r="V557" s="483">
        <v>2748.87</v>
      </c>
      <c r="W557" s="470"/>
      <c r="X557" s="470"/>
      <c r="Y557" s="370">
        <f t="shared" si="10"/>
        <v>2748.87</v>
      </c>
      <c r="Z557" s="371">
        <v>1</v>
      </c>
    </row>
    <row r="558" spans="1:26" x14ac:dyDescent="0.25">
      <c r="A558" s="481">
        <v>42197</v>
      </c>
      <c r="B558" s="470"/>
      <c r="C558" s="368">
        <v>42202</v>
      </c>
      <c r="D558" s="494">
        <v>5</v>
      </c>
      <c r="E558" s="470"/>
      <c r="F558" s="482" t="s">
        <v>686</v>
      </c>
      <c r="G558" s="470"/>
      <c r="H558" s="369" t="s">
        <v>659</v>
      </c>
      <c r="I558" s="369" t="s">
        <v>687</v>
      </c>
      <c r="J558" s="367" t="s">
        <v>688</v>
      </c>
      <c r="K558" s="482" t="s">
        <v>689</v>
      </c>
      <c r="L558" s="470"/>
      <c r="M558" s="470"/>
      <c r="N558" s="369" t="s">
        <v>655</v>
      </c>
      <c r="O558" s="369" t="s">
        <v>655</v>
      </c>
      <c r="P558" s="369" t="s">
        <v>655</v>
      </c>
      <c r="Q558" s="369" t="s">
        <v>655</v>
      </c>
      <c r="R558" s="367" t="s">
        <v>690</v>
      </c>
      <c r="S558" s="367">
        <v>3305081</v>
      </c>
      <c r="T558" s="483">
        <v>8830.2999999999993</v>
      </c>
      <c r="U558" s="470"/>
      <c r="V558" s="483">
        <v>6695.83</v>
      </c>
      <c r="W558" s="470"/>
      <c r="X558" s="470"/>
      <c r="Y558" s="370">
        <f t="shared" si="10"/>
        <v>6695.83</v>
      </c>
      <c r="Z558" s="371">
        <v>1</v>
      </c>
    </row>
    <row r="559" spans="1:26" x14ac:dyDescent="0.25">
      <c r="A559" s="481">
        <v>42208</v>
      </c>
      <c r="B559" s="470"/>
      <c r="C559" s="368">
        <v>42209</v>
      </c>
      <c r="D559" s="494">
        <v>1</v>
      </c>
      <c r="E559" s="470"/>
      <c r="F559" s="482" t="s">
        <v>673</v>
      </c>
      <c r="G559" s="470"/>
      <c r="H559" s="369" t="s">
        <v>659</v>
      </c>
      <c r="I559" s="369" t="s">
        <v>691</v>
      </c>
      <c r="J559" s="367" t="s">
        <v>692</v>
      </c>
      <c r="K559" s="482" t="s">
        <v>693</v>
      </c>
      <c r="L559" s="470"/>
      <c r="M559" s="470"/>
      <c r="N559" s="369" t="s">
        <v>655</v>
      </c>
      <c r="O559" s="369" t="s">
        <v>655</v>
      </c>
      <c r="P559" s="369" t="s">
        <v>655</v>
      </c>
      <c r="Q559" s="369" t="s">
        <v>655</v>
      </c>
      <c r="R559" s="367" t="s">
        <v>694</v>
      </c>
      <c r="S559" s="367">
        <v>3364107</v>
      </c>
      <c r="T559" s="483">
        <v>1766.06</v>
      </c>
      <c r="U559" s="470"/>
      <c r="V559" s="483">
        <v>2094.7399999999998</v>
      </c>
      <c r="W559" s="470"/>
      <c r="X559" s="470"/>
      <c r="Y559" s="370">
        <f t="shared" si="10"/>
        <v>2094.7399999999998</v>
      </c>
      <c r="Z559" s="371">
        <v>2</v>
      </c>
    </row>
    <row r="560" spans="1:26" x14ac:dyDescent="0.25">
      <c r="A560" s="481">
        <v>42230</v>
      </c>
      <c r="B560" s="470"/>
      <c r="C560" s="368">
        <v>42236</v>
      </c>
      <c r="D560" s="494">
        <v>6</v>
      </c>
      <c r="E560" s="470"/>
      <c r="F560" s="482" t="s">
        <v>697</v>
      </c>
      <c r="G560" s="470"/>
      <c r="H560" s="369" t="s">
        <v>659</v>
      </c>
      <c r="I560" s="369" t="s">
        <v>674</v>
      </c>
      <c r="J560" s="367" t="s">
        <v>675</v>
      </c>
      <c r="K560" s="482" t="s">
        <v>676</v>
      </c>
      <c r="L560" s="470"/>
      <c r="M560" s="470"/>
      <c r="N560" s="369" t="s">
        <v>655</v>
      </c>
      <c r="O560" s="369" t="s">
        <v>655</v>
      </c>
      <c r="P560" s="369" t="s">
        <v>655</v>
      </c>
      <c r="Q560" s="369" t="s">
        <v>655</v>
      </c>
      <c r="R560" s="367" t="s">
        <v>698</v>
      </c>
      <c r="S560" s="367">
        <v>3470816</v>
      </c>
      <c r="T560" s="483">
        <v>10596.36</v>
      </c>
      <c r="U560" s="470"/>
      <c r="V560" s="483">
        <v>13927.2</v>
      </c>
      <c r="W560" s="470"/>
      <c r="X560" s="470"/>
      <c r="Y560" s="370">
        <f t="shared" si="10"/>
        <v>13927.2</v>
      </c>
      <c r="Z560" s="371"/>
    </row>
    <row r="561" spans="1:26" x14ac:dyDescent="0.25">
      <c r="A561" s="481">
        <v>42247</v>
      </c>
      <c r="B561" s="470"/>
      <c r="C561" s="368">
        <v>42248</v>
      </c>
      <c r="D561" s="494">
        <v>1</v>
      </c>
      <c r="E561" s="470"/>
      <c r="F561" s="482" t="s">
        <v>697</v>
      </c>
      <c r="G561" s="470"/>
      <c r="H561" s="369" t="s">
        <v>659</v>
      </c>
      <c r="I561" s="369" t="s">
        <v>1176</v>
      </c>
      <c r="J561" s="367" t="s">
        <v>1177</v>
      </c>
      <c r="K561" s="482" t="s">
        <v>1178</v>
      </c>
      <c r="L561" s="470"/>
      <c r="M561" s="470"/>
      <c r="N561" s="369" t="s">
        <v>655</v>
      </c>
      <c r="O561" s="369" t="s">
        <v>655</v>
      </c>
      <c r="P561" s="369" t="s">
        <v>655</v>
      </c>
      <c r="Q561" s="369" t="s">
        <v>753</v>
      </c>
      <c r="R561" s="367" t="s">
        <v>1179</v>
      </c>
      <c r="S561" s="367">
        <v>3561111</v>
      </c>
      <c r="T561" s="483">
        <v>1766.06</v>
      </c>
      <c r="U561" s="470"/>
      <c r="V561" s="483">
        <v>0</v>
      </c>
      <c r="W561" s="470"/>
      <c r="X561" s="470"/>
      <c r="Y561" s="370">
        <f t="shared" si="10"/>
        <v>0</v>
      </c>
      <c r="Z561" s="371"/>
    </row>
    <row r="562" spans="1:26" x14ac:dyDescent="0.25">
      <c r="A562" s="481">
        <v>42254</v>
      </c>
      <c r="B562" s="470"/>
      <c r="C562" s="368">
        <v>42261</v>
      </c>
      <c r="D562" s="494">
        <v>7</v>
      </c>
      <c r="E562" s="470"/>
      <c r="F562" s="482" t="s">
        <v>678</v>
      </c>
      <c r="G562" s="470"/>
      <c r="H562" s="369" t="s">
        <v>659</v>
      </c>
      <c r="I562" s="369" t="s">
        <v>674</v>
      </c>
      <c r="J562" s="367" t="s">
        <v>675</v>
      </c>
      <c r="K562" s="482" t="s">
        <v>676</v>
      </c>
      <c r="L562" s="470"/>
      <c r="M562" s="470"/>
      <c r="N562" s="369" t="s">
        <v>655</v>
      </c>
      <c r="O562" s="369" t="s">
        <v>655</v>
      </c>
      <c r="P562" s="369" t="s">
        <v>655</v>
      </c>
      <c r="Q562" s="369" t="s">
        <v>655</v>
      </c>
      <c r="R562" s="367" t="s">
        <v>704</v>
      </c>
      <c r="S562" s="367">
        <v>3588397</v>
      </c>
      <c r="T562" s="483">
        <v>12362.42</v>
      </c>
      <c r="U562" s="470"/>
      <c r="V562" s="483">
        <v>7527.18</v>
      </c>
      <c r="W562" s="470"/>
      <c r="X562" s="470"/>
      <c r="Y562" s="370">
        <f t="shared" si="10"/>
        <v>7527.18</v>
      </c>
      <c r="Z562" s="371">
        <v>1</v>
      </c>
    </row>
    <row r="563" spans="1:26" x14ac:dyDescent="0.25">
      <c r="A563" s="481">
        <v>42270</v>
      </c>
      <c r="B563" s="470"/>
      <c r="C563" s="368">
        <v>42271</v>
      </c>
      <c r="D563" s="494">
        <v>1</v>
      </c>
      <c r="E563" s="470"/>
      <c r="F563" s="482" t="s">
        <v>710</v>
      </c>
      <c r="G563" s="470"/>
      <c r="H563" s="369" t="s">
        <v>659</v>
      </c>
      <c r="I563" s="369" t="s">
        <v>1260</v>
      </c>
      <c r="J563" s="367" t="s">
        <v>1261</v>
      </c>
      <c r="K563" s="482" t="s">
        <v>1262</v>
      </c>
      <c r="L563" s="470"/>
      <c r="M563" s="470"/>
      <c r="N563" s="369" t="s">
        <v>655</v>
      </c>
      <c r="O563" s="369" t="s">
        <v>655</v>
      </c>
      <c r="P563" s="369" t="s">
        <v>655</v>
      </c>
      <c r="Q563" s="369" t="s">
        <v>655</v>
      </c>
      <c r="R563" s="367" t="s">
        <v>1263</v>
      </c>
      <c r="S563" s="367">
        <v>3668333</v>
      </c>
      <c r="T563" s="483">
        <v>1766.06</v>
      </c>
      <c r="U563" s="470"/>
      <c r="V563" s="483">
        <v>8.2899999999999991</v>
      </c>
      <c r="W563" s="470"/>
      <c r="X563" s="470"/>
      <c r="Y563" s="370">
        <f t="shared" si="10"/>
        <v>8.2899999999999991</v>
      </c>
      <c r="Z563" s="371"/>
    </row>
    <row r="564" spans="1:26" x14ac:dyDescent="0.25">
      <c r="A564" s="481">
        <v>42273</v>
      </c>
      <c r="B564" s="470"/>
      <c r="C564" s="368">
        <v>42276</v>
      </c>
      <c r="D564" s="494">
        <v>3</v>
      </c>
      <c r="E564" s="470"/>
      <c r="F564" s="482" t="s">
        <v>673</v>
      </c>
      <c r="G564" s="470"/>
      <c r="H564" s="369" t="s">
        <v>659</v>
      </c>
      <c r="I564" s="369" t="s">
        <v>674</v>
      </c>
      <c r="J564" s="367" t="s">
        <v>675</v>
      </c>
      <c r="K564" s="482" t="s">
        <v>676</v>
      </c>
      <c r="L564" s="470"/>
      <c r="M564" s="470"/>
      <c r="N564" s="369" t="s">
        <v>655</v>
      </c>
      <c r="O564" s="369" t="s">
        <v>655</v>
      </c>
      <c r="P564" s="369" t="s">
        <v>655</v>
      </c>
      <c r="Q564" s="369" t="s">
        <v>655</v>
      </c>
      <c r="R564" s="367" t="s">
        <v>709</v>
      </c>
      <c r="S564" s="367">
        <v>3688862</v>
      </c>
      <c r="T564" s="483">
        <v>5298.18</v>
      </c>
      <c r="U564" s="470"/>
      <c r="V564" s="483">
        <v>5008.76</v>
      </c>
      <c r="W564" s="470"/>
      <c r="X564" s="470"/>
      <c r="Y564" s="370">
        <f t="shared" si="10"/>
        <v>5008.76</v>
      </c>
      <c r="Z564" s="371">
        <v>5</v>
      </c>
    </row>
    <row r="565" spans="1:26" x14ac:dyDescent="0.25">
      <c r="A565" s="481">
        <v>42273</v>
      </c>
      <c r="B565" s="470"/>
      <c r="C565" s="368">
        <v>42276</v>
      </c>
      <c r="D565" s="494">
        <v>3</v>
      </c>
      <c r="E565" s="470"/>
      <c r="F565" s="482" t="s">
        <v>658</v>
      </c>
      <c r="G565" s="470"/>
      <c r="H565" s="369" t="s">
        <v>659</v>
      </c>
      <c r="I565" s="369" t="s">
        <v>660</v>
      </c>
      <c r="J565" s="367" t="s">
        <v>661</v>
      </c>
      <c r="K565" s="482" t="s">
        <v>662</v>
      </c>
      <c r="L565" s="470"/>
      <c r="M565" s="470"/>
      <c r="N565" s="369" t="s">
        <v>655</v>
      </c>
      <c r="O565" s="369" t="s">
        <v>655</v>
      </c>
      <c r="P565" s="369" t="s">
        <v>655</v>
      </c>
      <c r="Q565" s="369" t="s">
        <v>655</v>
      </c>
      <c r="R565" s="367" t="s">
        <v>663</v>
      </c>
      <c r="S565" s="367">
        <v>3688547</v>
      </c>
      <c r="T565" s="483">
        <v>5298.18</v>
      </c>
      <c r="U565" s="470"/>
      <c r="V565" s="483">
        <v>22356.14</v>
      </c>
      <c r="W565" s="470"/>
      <c r="X565" s="470"/>
      <c r="Y565" s="370">
        <f t="shared" si="10"/>
        <v>22356.14</v>
      </c>
      <c r="Z565" s="371">
        <v>1</v>
      </c>
    </row>
    <row r="566" spans="1:26" x14ac:dyDescent="0.25">
      <c r="A566" s="481">
        <v>42274</v>
      </c>
      <c r="B566" s="470"/>
      <c r="C566" s="368">
        <v>42277</v>
      </c>
      <c r="D566" s="494">
        <v>3</v>
      </c>
      <c r="E566" s="470"/>
      <c r="F566" s="482" t="s">
        <v>710</v>
      </c>
      <c r="G566" s="470"/>
      <c r="H566" s="369" t="s">
        <v>659</v>
      </c>
      <c r="I566" s="369" t="s">
        <v>711</v>
      </c>
      <c r="J566" s="367" t="s">
        <v>712</v>
      </c>
      <c r="K566" s="482" t="s">
        <v>713</v>
      </c>
      <c r="L566" s="470"/>
      <c r="M566" s="470"/>
      <c r="N566" s="369" t="s">
        <v>655</v>
      </c>
      <c r="O566" s="369" t="s">
        <v>655</v>
      </c>
      <c r="P566" s="369" t="s">
        <v>655</v>
      </c>
      <c r="Q566" s="369" t="s">
        <v>655</v>
      </c>
      <c r="R566" s="367" t="s">
        <v>714</v>
      </c>
      <c r="S566" s="367">
        <v>3685974</v>
      </c>
      <c r="T566" s="483">
        <v>5298.18</v>
      </c>
      <c r="U566" s="470"/>
      <c r="V566" s="483">
        <v>3114.92</v>
      </c>
      <c r="W566" s="470"/>
      <c r="X566" s="470"/>
      <c r="Y566" s="370">
        <f t="shared" si="10"/>
        <v>3114.92</v>
      </c>
      <c r="Z566" s="371"/>
    </row>
    <row r="567" spans="1:26" x14ac:dyDescent="0.25">
      <c r="A567" s="481">
        <v>42282</v>
      </c>
      <c r="B567" s="470"/>
      <c r="C567" s="368">
        <v>42286</v>
      </c>
      <c r="D567" s="494">
        <v>4</v>
      </c>
      <c r="E567" s="470"/>
      <c r="F567" s="482" t="s">
        <v>673</v>
      </c>
      <c r="G567" s="470"/>
      <c r="H567" s="369" t="s">
        <v>659</v>
      </c>
      <c r="I567" s="369" t="s">
        <v>1320</v>
      </c>
      <c r="J567" s="367" t="s">
        <v>1321</v>
      </c>
      <c r="K567" s="482" t="s">
        <v>1322</v>
      </c>
      <c r="L567" s="470"/>
      <c r="M567" s="470"/>
      <c r="N567" s="369" t="s">
        <v>655</v>
      </c>
      <c r="O567" s="369" t="s">
        <v>655</v>
      </c>
      <c r="P567" s="369" t="s">
        <v>655</v>
      </c>
      <c r="Q567" s="369" t="s">
        <v>655</v>
      </c>
      <c r="R567" s="367" t="s">
        <v>1323</v>
      </c>
      <c r="S567" s="367">
        <v>3724731</v>
      </c>
      <c r="T567" s="483">
        <v>7064.24</v>
      </c>
      <c r="U567" s="470"/>
      <c r="V567" s="483">
        <v>4693.03</v>
      </c>
      <c r="W567" s="470"/>
      <c r="X567" s="470"/>
      <c r="Y567" s="370">
        <f t="shared" si="10"/>
        <v>4693.03</v>
      </c>
      <c r="Z567" s="371">
        <v>2</v>
      </c>
    </row>
    <row r="568" spans="1:26" x14ac:dyDescent="0.25">
      <c r="A568" s="481">
        <v>42289</v>
      </c>
      <c r="B568" s="470"/>
      <c r="C568" s="368">
        <v>42291</v>
      </c>
      <c r="D568" s="494">
        <v>2</v>
      </c>
      <c r="E568" s="470"/>
      <c r="F568" s="482" t="s">
        <v>673</v>
      </c>
      <c r="G568" s="470"/>
      <c r="H568" s="369" t="s">
        <v>659</v>
      </c>
      <c r="I568" s="369" t="s">
        <v>1359</v>
      </c>
      <c r="J568" s="367" t="s">
        <v>1360</v>
      </c>
      <c r="K568" s="482" t="s">
        <v>1361</v>
      </c>
      <c r="L568" s="470"/>
      <c r="M568" s="470"/>
      <c r="N568" s="369" t="s">
        <v>655</v>
      </c>
      <c r="O568" s="369" t="s">
        <v>655</v>
      </c>
      <c r="P568" s="369" t="s">
        <v>655</v>
      </c>
      <c r="Q568" s="369" t="s">
        <v>655</v>
      </c>
      <c r="R568" s="367" t="s">
        <v>1362</v>
      </c>
      <c r="S568" s="367">
        <v>3762464</v>
      </c>
      <c r="T568" s="483">
        <v>3532.12</v>
      </c>
      <c r="U568" s="470"/>
      <c r="V568" s="483">
        <v>6230.83</v>
      </c>
      <c r="W568" s="470"/>
      <c r="X568" s="470"/>
      <c r="Y568" s="370">
        <f t="shared" si="10"/>
        <v>6230.83</v>
      </c>
      <c r="Z568" s="371"/>
    </row>
    <row r="569" spans="1:26" x14ac:dyDescent="0.25">
      <c r="A569" s="481">
        <v>42339</v>
      </c>
      <c r="B569" s="470"/>
      <c r="C569" s="368">
        <v>42347</v>
      </c>
      <c r="D569" s="494">
        <v>8</v>
      </c>
      <c r="E569" s="470"/>
      <c r="F569" s="482" t="s">
        <v>695</v>
      </c>
      <c r="G569" s="470"/>
      <c r="H569" s="369" t="s">
        <v>659</v>
      </c>
      <c r="I569" s="369" t="s">
        <v>1557</v>
      </c>
      <c r="J569" s="367" t="s">
        <v>1436</v>
      </c>
      <c r="K569" s="482" t="s">
        <v>1558</v>
      </c>
      <c r="L569" s="470"/>
      <c r="M569" s="470"/>
      <c r="N569" s="369" t="s">
        <v>655</v>
      </c>
      <c r="O569" s="369" t="s">
        <v>655</v>
      </c>
      <c r="P569" s="369" t="s">
        <v>655</v>
      </c>
      <c r="Q569" s="369" t="s">
        <v>655</v>
      </c>
      <c r="R569" s="367" t="s">
        <v>1559</v>
      </c>
      <c r="S569" s="367">
        <v>4046759</v>
      </c>
      <c r="T569" s="483">
        <v>14128.48</v>
      </c>
      <c r="U569" s="470"/>
      <c r="V569" s="483">
        <v>432.98</v>
      </c>
      <c r="W569" s="470"/>
      <c r="X569" s="470"/>
      <c r="Y569" s="370">
        <f t="shared" si="10"/>
        <v>432.98</v>
      </c>
      <c r="Z569" s="371"/>
    </row>
    <row r="570" spans="1:26" x14ac:dyDescent="0.25">
      <c r="A570" s="481">
        <v>42358</v>
      </c>
      <c r="B570" s="470"/>
      <c r="C570" s="368">
        <v>42374</v>
      </c>
      <c r="D570" s="494">
        <v>16</v>
      </c>
      <c r="E570" s="470"/>
      <c r="F570" s="482" t="s">
        <v>697</v>
      </c>
      <c r="G570" s="470"/>
      <c r="H570" s="369" t="s">
        <v>659</v>
      </c>
      <c r="I570" s="369" t="s">
        <v>1624</v>
      </c>
      <c r="J570" s="367" t="s">
        <v>1625</v>
      </c>
      <c r="K570" s="482" t="s">
        <v>1329</v>
      </c>
      <c r="L570" s="470"/>
      <c r="M570" s="470"/>
      <c r="N570" s="369" t="s">
        <v>655</v>
      </c>
      <c r="O570" s="369" t="s">
        <v>655</v>
      </c>
      <c r="P570" s="369" t="s">
        <v>655</v>
      </c>
      <c r="Q570" s="369" t="s">
        <v>655</v>
      </c>
      <c r="R570" s="367" t="s">
        <v>1626</v>
      </c>
      <c r="S570" s="367">
        <v>4176819</v>
      </c>
      <c r="T570" s="483">
        <v>28256.959999999999</v>
      </c>
      <c r="U570" s="470"/>
      <c r="V570" s="483">
        <v>11099.36</v>
      </c>
      <c r="W570" s="470"/>
      <c r="X570" s="470"/>
      <c r="Y570" s="370">
        <f t="shared" si="10"/>
        <v>11099.36</v>
      </c>
      <c r="Z570" s="371"/>
    </row>
    <row r="571" spans="1:26" x14ac:dyDescent="0.25">
      <c r="A571" s="481">
        <v>42405</v>
      </c>
      <c r="B571" s="470"/>
      <c r="C571" s="368">
        <v>42411</v>
      </c>
      <c r="D571" s="494">
        <v>6</v>
      </c>
      <c r="E571" s="470"/>
      <c r="F571" s="482" t="s">
        <v>1788</v>
      </c>
      <c r="G571" s="470"/>
      <c r="H571" s="369" t="s">
        <v>659</v>
      </c>
      <c r="I571" s="369" t="s">
        <v>1789</v>
      </c>
      <c r="J571" s="367" t="s">
        <v>1790</v>
      </c>
      <c r="K571" s="482" t="s">
        <v>1791</v>
      </c>
      <c r="L571" s="470"/>
      <c r="M571" s="470"/>
      <c r="N571" s="369" t="s">
        <v>655</v>
      </c>
      <c r="O571" s="369" t="s">
        <v>655</v>
      </c>
      <c r="P571" s="369" t="s">
        <v>655</v>
      </c>
      <c r="Q571" s="369" t="s">
        <v>655</v>
      </c>
      <c r="R571" s="367" t="s">
        <v>1792</v>
      </c>
      <c r="S571" s="367">
        <v>4470378</v>
      </c>
      <c r="T571" s="483">
        <v>10596.36</v>
      </c>
      <c r="U571" s="470"/>
      <c r="V571" s="483">
        <v>1388.45</v>
      </c>
      <c r="W571" s="470"/>
      <c r="X571" s="470"/>
      <c r="Y571" s="370">
        <f t="shared" ref="Y571:Y581" si="11">IF(Q571="Y",V571,IF(V571&gt;T571,V571,T571))</f>
        <v>10596.36</v>
      </c>
      <c r="Z571" s="371"/>
    </row>
    <row r="572" spans="1:26" x14ac:dyDescent="0.25">
      <c r="A572" s="481">
        <v>42445</v>
      </c>
      <c r="B572" s="470"/>
      <c r="C572" s="368">
        <v>42448</v>
      </c>
      <c r="D572" s="494">
        <v>3</v>
      </c>
      <c r="E572" s="470"/>
      <c r="F572" s="482" t="s">
        <v>1034</v>
      </c>
      <c r="G572" s="470"/>
      <c r="H572" s="369" t="s">
        <v>659</v>
      </c>
      <c r="I572" s="369" t="s">
        <v>765</v>
      </c>
      <c r="J572" s="367" t="s">
        <v>766</v>
      </c>
      <c r="K572" s="482" t="s">
        <v>767</v>
      </c>
      <c r="L572" s="470"/>
      <c r="M572" s="470"/>
      <c r="N572" s="369" t="s">
        <v>655</v>
      </c>
      <c r="O572" s="369" t="s">
        <v>655</v>
      </c>
      <c r="P572" s="369" t="s">
        <v>655</v>
      </c>
      <c r="Q572" s="369" t="s">
        <v>655</v>
      </c>
      <c r="R572" s="367" t="s">
        <v>1960</v>
      </c>
      <c r="S572" s="367">
        <v>4761334</v>
      </c>
      <c r="T572" s="483">
        <v>5298.18</v>
      </c>
      <c r="U572" s="470"/>
      <c r="V572" s="483">
        <v>49.42</v>
      </c>
      <c r="W572" s="470"/>
      <c r="X572" s="470"/>
      <c r="Y572" s="370">
        <f t="shared" si="11"/>
        <v>5298.18</v>
      </c>
      <c r="Z572" s="371"/>
    </row>
    <row r="573" spans="1:26" x14ac:dyDescent="0.25">
      <c r="A573" s="481">
        <v>42462</v>
      </c>
      <c r="B573" s="470"/>
      <c r="C573" s="368">
        <v>42465</v>
      </c>
      <c r="D573" s="494">
        <v>3</v>
      </c>
      <c r="E573" s="470"/>
      <c r="F573" s="482" t="s">
        <v>664</v>
      </c>
      <c r="G573" s="470"/>
      <c r="H573" s="369" t="s">
        <v>659</v>
      </c>
      <c r="I573" s="369" t="s">
        <v>665</v>
      </c>
      <c r="J573" s="367" t="s">
        <v>666</v>
      </c>
      <c r="K573" s="482" t="s">
        <v>667</v>
      </c>
      <c r="L573" s="470"/>
      <c r="M573" s="470"/>
      <c r="N573" s="369" t="s">
        <v>655</v>
      </c>
      <c r="O573" s="369" t="s">
        <v>655</v>
      </c>
      <c r="P573" s="369" t="s">
        <v>655</v>
      </c>
      <c r="Q573" s="369" t="s">
        <v>655</v>
      </c>
      <c r="R573" s="367" t="s">
        <v>668</v>
      </c>
      <c r="S573" s="367">
        <v>4870972</v>
      </c>
      <c r="T573" s="483">
        <v>5298.18</v>
      </c>
      <c r="U573" s="470"/>
      <c r="V573" s="483">
        <v>0</v>
      </c>
      <c r="W573" s="470"/>
      <c r="X573" s="470"/>
      <c r="Y573" s="370">
        <f t="shared" si="11"/>
        <v>5298.18</v>
      </c>
      <c r="Z573" s="371">
        <v>1</v>
      </c>
    </row>
    <row r="574" spans="1:26" x14ac:dyDescent="0.25">
      <c r="A574" s="481">
        <v>42464</v>
      </c>
      <c r="B574" s="470"/>
      <c r="C574" s="368">
        <v>42466</v>
      </c>
      <c r="D574" s="494">
        <v>2</v>
      </c>
      <c r="E574" s="470"/>
      <c r="F574" s="482" t="s">
        <v>673</v>
      </c>
      <c r="G574" s="470"/>
      <c r="H574" s="369" t="s">
        <v>659</v>
      </c>
      <c r="I574" s="369" t="s">
        <v>756</v>
      </c>
      <c r="J574" s="367" t="s">
        <v>757</v>
      </c>
      <c r="K574" s="482" t="s">
        <v>758</v>
      </c>
      <c r="L574" s="470"/>
      <c r="M574" s="470"/>
      <c r="N574" s="369" t="s">
        <v>655</v>
      </c>
      <c r="O574" s="369" t="s">
        <v>753</v>
      </c>
      <c r="P574" s="369" t="s">
        <v>655</v>
      </c>
      <c r="Q574" s="369" t="s">
        <v>655</v>
      </c>
      <c r="R574" s="367" t="s">
        <v>759</v>
      </c>
      <c r="S574" s="367">
        <v>4877718</v>
      </c>
      <c r="T574" s="483">
        <v>3532.12</v>
      </c>
      <c r="U574" s="470"/>
      <c r="V574" s="483">
        <v>1591.48</v>
      </c>
      <c r="W574" s="470"/>
      <c r="X574" s="470"/>
      <c r="Y574" s="370">
        <f t="shared" si="11"/>
        <v>3532.12</v>
      </c>
      <c r="Z574" s="371">
        <v>2</v>
      </c>
    </row>
    <row r="575" spans="1:26" x14ac:dyDescent="0.25">
      <c r="A575" s="481">
        <v>42468</v>
      </c>
      <c r="B575" s="470"/>
      <c r="C575" s="368">
        <v>42473</v>
      </c>
      <c r="D575" s="494">
        <v>5</v>
      </c>
      <c r="E575" s="470"/>
      <c r="F575" s="482" t="s">
        <v>673</v>
      </c>
      <c r="G575" s="470"/>
      <c r="H575" s="369" t="s">
        <v>659</v>
      </c>
      <c r="I575" s="369" t="s">
        <v>760</v>
      </c>
      <c r="J575" s="367" t="s">
        <v>761</v>
      </c>
      <c r="K575" s="482" t="s">
        <v>762</v>
      </c>
      <c r="L575" s="470"/>
      <c r="M575" s="470"/>
      <c r="N575" s="369" t="s">
        <v>655</v>
      </c>
      <c r="O575" s="369" t="s">
        <v>655</v>
      </c>
      <c r="P575" s="369" t="s">
        <v>655</v>
      </c>
      <c r="Q575" s="369" t="s">
        <v>655</v>
      </c>
      <c r="R575" s="367" t="s">
        <v>764</v>
      </c>
      <c r="S575" s="367">
        <v>4901360</v>
      </c>
      <c r="T575" s="483">
        <v>8830.2999999999993</v>
      </c>
      <c r="U575" s="470"/>
      <c r="V575" s="483">
        <v>842.33</v>
      </c>
      <c r="W575" s="470"/>
      <c r="X575" s="470"/>
      <c r="Y575" s="370">
        <f t="shared" si="11"/>
        <v>8830.2999999999993</v>
      </c>
      <c r="Z575" s="371"/>
    </row>
    <row r="576" spans="1:26" x14ac:dyDescent="0.25">
      <c r="A576" s="481">
        <v>42471</v>
      </c>
      <c r="B576" s="470"/>
      <c r="C576" s="368">
        <v>42472</v>
      </c>
      <c r="D576" s="494">
        <v>1</v>
      </c>
      <c r="E576" s="470"/>
      <c r="F576" s="482" t="s">
        <v>673</v>
      </c>
      <c r="G576" s="470"/>
      <c r="H576" s="369" t="s">
        <v>659</v>
      </c>
      <c r="I576" s="369" t="s">
        <v>765</v>
      </c>
      <c r="J576" s="367" t="s">
        <v>766</v>
      </c>
      <c r="K576" s="482" t="s">
        <v>767</v>
      </c>
      <c r="L576" s="470"/>
      <c r="M576" s="470"/>
      <c r="N576" s="369" t="s">
        <v>655</v>
      </c>
      <c r="O576" s="369" t="s">
        <v>655</v>
      </c>
      <c r="P576" s="369" t="s">
        <v>655</v>
      </c>
      <c r="Q576" s="369" t="s">
        <v>655</v>
      </c>
      <c r="R576" s="367" t="s">
        <v>2044</v>
      </c>
      <c r="S576" s="367">
        <v>4916306</v>
      </c>
      <c r="T576" s="483">
        <v>1766.06</v>
      </c>
      <c r="U576" s="470"/>
      <c r="V576" s="483">
        <v>1899.97</v>
      </c>
      <c r="W576" s="470"/>
      <c r="X576" s="470"/>
      <c r="Y576" s="370">
        <f t="shared" si="11"/>
        <v>1899.97</v>
      </c>
      <c r="Z576" s="371"/>
    </row>
    <row r="577" spans="1:26" x14ac:dyDescent="0.25">
      <c r="A577" s="481">
        <v>42476</v>
      </c>
      <c r="B577" s="470"/>
      <c r="C577" s="368">
        <v>42479</v>
      </c>
      <c r="D577" s="494">
        <v>3</v>
      </c>
      <c r="E577" s="470"/>
      <c r="F577" s="482" t="s">
        <v>673</v>
      </c>
      <c r="G577" s="470"/>
      <c r="H577" s="369" t="s">
        <v>659</v>
      </c>
      <c r="I577" s="369" t="s">
        <v>765</v>
      </c>
      <c r="J577" s="367" t="s">
        <v>766</v>
      </c>
      <c r="K577" s="482" t="s">
        <v>767</v>
      </c>
      <c r="L577" s="470"/>
      <c r="M577" s="470"/>
      <c r="N577" s="369" t="s">
        <v>655</v>
      </c>
      <c r="O577" s="369" t="s">
        <v>655</v>
      </c>
      <c r="P577" s="369" t="s">
        <v>655</v>
      </c>
      <c r="Q577" s="369" t="s">
        <v>655</v>
      </c>
      <c r="R577" s="367" t="s">
        <v>768</v>
      </c>
      <c r="S577" s="367">
        <v>4948389</v>
      </c>
      <c r="T577" s="483">
        <v>5298.18</v>
      </c>
      <c r="U577" s="470"/>
      <c r="V577" s="483">
        <v>3958.66</v>
      </c>
      <c r="W577" s="470"/>
      <c r="X577" s="470"/>
      <c r="Y577" s="370">
        <f t="shared" si="11"/>
        <v>5298.18</v>
      </c>
      <c r="Z577" s="371"/>
    </row>
    <row r="578" spans="1:26" x14ac:dyDescent="0.25">
      <c r="A578" s="481">
        <v>42486</v>
      </c>
      <c r="B578" s="470"/>
      <c r="C578" s="368">
        <v>42488</v>
      </c>
      <c r="D578" s="494">
        <v>2</v>
      </c>
      <c r="E578" s="470"/>
      <c r="F578" s="482" t="s">
        <v>728</v>
      </c>
      <c r="G578" s="470"/>
      <c r="H578" s="369" t="s">
        <v>659</v>
      </c>
      <c r="I578" s="369" t="s">
        <v>2132</v>
      </c>
      <c r="J578" s="367" t="s">
        <v>2133</v>
      </c>
      <c r="K578" s="482" t="s">
        <v>2134</v>
      </c>
      <c r="L578" s="470"/>
      <c r="M578" s="470"/>
      <c r="N578" s="369" t="s">
        <v>655</v>
      </c>
      <c r="O578" s="369" t="s">
        <v>655</v>
      </c>
      <c r="P578" s="369" t="s">
        <v>655</v>
      </c>
      <c r="Q578" s="369" t="s">
        <v>655</v>
      </c>
      <c r="R578" s="367" t="s">
        <v>2135</v>
      </c>
      <c r="S578" s="367">
        <v>5008893</v>
      </c>
      <c r="T578" s="483">
        <v>3532.12</v>
      </c>
      <c r="U578" s="470"/>
      <c r="V578" s="483">
        <v>2170.65</v>
      </c>
      <c r="W578" s="470"/>
      <c r="X578" s="470"/>
      <c r="Y578" s="370">
        <f t="shared" si="11"/>
        <v>3532.12</v>
      </c>
      <c r="Z578" s="371"/>
    </row>
    <row r="579" spans="1:26" x14ac:dyDescent="0.25">
      <c r="A579" s="481">
        <v>42487</v>
      </c>
      <c r="B579" s="470"/>
      <c r="C579" s="368">
        <v>42492</v>
      </c>
      <c r="D579" s="494">
        <v>5</v>
      </c>
      <c r="E579" s="470"/>
      <c r="F579" s="482" t="s">
        <v>2322</v>
      </c>
      <c r="G579" s="470"/>
      <c r="H579" s="369" t="s">
        <v>659</v>
      </c>
      <c r="I579" s="369" t="s">
        <v>2056</v>
      </c>
      <c r="J579" s="367" t="s">
        <v>2057</v>
      </c>
      <c r="K579" s="482" t="s">
        <v>2058</v>
      </c>
      <c r="L579" s="470"/>
      <c r="M579" s="470"/>
      <c r="N579" s="369" t="s">
        <v>655</v>
      </c>
      <c r="O579" s="369" t="s">
        <v>655</v>
      </c>
      <c r="P579" s="369" t="s">
        <v>655</v>
      </c>
      <c r="Q579" s="369" t="s">
        <v>655</v>
      </c>
      <c r="R579" s="367" t="s">
        <v>2323</v>
      </c>
      <c r="S579" s="367">
        <v>5018715</v>
      </c>
      <c r="T579" s="483">
        <v>8830.2999999999993</v>
      </c>
      <c r="U579" s="470"/>
      <c r="V579" s="483">
        <v>316.74</v>
      </c>
      <c r="W579" s="470"/>
      <c r="X579" s="470"/>
      <c r="Y579" s="370">
        <f t="shared" si="11"/>
        <v>8830.2999999999993</v>
      </c>
      <c r="Z579" s="371"/>
    </row>
    <row r="580" spans="1:26" x14ac:dyDescent="0.25">
      <c r="A580" s="481">
        <v>42488</v>
      </c>
      <c r="B580" s="470"/>
      <c r="C580" s="368">
        <v>42495</v>
      </c>
      <c r="D580" s="494">
        <v>7</v>
      </c>
      <c r="E580" s="470"/>
      <c r="F580" s="482" t="s">
        <v>2144</v>
      </c>
      <c r="G580" s="470"/>
      <c r="H580" s="369" t="s">
        <v>659</v>
      </c>
      <c r="I580" s="369" t="s">
        <v>2104</v>
      </c>
      <c r="J580" s="367" t="s">
        <v>1813</v>
      </c>
      <c r="K580" s="482" t="s">
        <v>2105</v>
      </c>
      <c r="L580" s="470"/>
      <c r="M580" s="470"/>
      <c r="N580" s="369" t="s">
        <v>655</v>
      </c>
      <c r="O580" s="369" t="s">
        <v>655</v>
      </c>
      <c r="P580" s="369" t="s">
        <v>655</v>
      </c>
      <c r="Q580" s="369" t="s">
        <v>655</v>
      </c>
      <c r="R580" s="367" t="s">
        <v>2145</v>
      </c>
      <c r="S580" s="367">
        <v>5023377</v>
      </c>
      <c r="T580" s="483">
        <v>12362.42</v>
      </c>
      <c r="U580" s="470"/>
      <c r="V580" s="483">
        <v>0</v>
      </c>
      <c r="W580" s="470"/>
      <c r="X580" s="470"/>
      <c r="Y580" s="370">
        <f t="shared" si="11"/>
        <v>12362.42</v>
      </c>
      <c r="Z580" s="371"/>
    </row>
    <row r="581" spans="1:26" x14ac:dyDescent="0.25">
      <c r="A581" s="481">
        <v>42497</v>
      </c>
      <c r="B581" s="470"/>
      <c r="C581" s="368">
        <v>42499</v>
      </c>
      <c r="D581" s="494">
        <v>2</v>
      </c>
      <c r="E581" s="470"/>
      <c r="F581" s="482" t="s">
        <v>673</v>
      </c>
      <c r="G581" s="470"/>
      <c r="H581" s="369" t="s">
        <v>659</v>
      </c>
      <c r="I581" s="369" t="s">
        <v>2198</v>
      </c>
      <c r="J581" s="367" t="s">
        <v>2199</v>
      </c>
      <c r="K581" s="482" t="s">
        <v>1449</v>
      </c>
      <c r="L581" s="470"/>
      <c r="M581" s="470"/>
      <c r="N581" s="369" t="s">
        <v>655</v>
      </c>
      <c r="O581" s="369" t="s">
        <v>753</v>
      </c>
      <c r="P581" s="369" t="s">
        <v>655</v>
      </c>
      <c r="Q581" s="369" t="s">
        <v>655</v>
      </c>
      <c r="R581" s="367" t="s">
        <v>2200</v>
      </c>
      <c r="S581" s="367">
        <v>5088832</v>
      </c>
      <c r="T581" s="483">
        <v>3532.12</v>
      </c>
      <c r="U581" s="470"/>
      <c r="V581" s="483">
        <v>3447.77</v>
      </c>
      <c r="W581" s="470"/>
      <c r="X581" s="470"/>
      <c r="Y581" s="370">
        <f t="shared" si="11"/>
        <v>3532.12</v>
      </c>
      <c r="Z581" s="371"/>
    </row>
    <row r="582" spans="1:26" x14ac:dyDescent="0.25">
      <c r="A582" s="484" t="s">
        <v>655</v>
      </c>
      <c r="B582" s="470"/>
      <c r="C582" s="470"/>
      <c r="D582" s="485" t="s">
        <v>2324</v>
      </c>
      <c r="E582" s="470"/>
      <c r="F582" s="470"/>
      <c r="G582" s="470"/>
      <c r="H582" s="484" t="s">
        <v>2325</v>
      </c>
      <c r="I582" s="470"/>
      <c r="J582" s="470"/>
      <c r="K582" s="470"/>
      <c r="L582" s="470"/>
      <c r="M582" s="470"/>
      <c r="N582" s="470"/>
      <c r="O582" s="372" t="s">
        <v>655</v>
      </c>
      <c r="P582" s="372" t="s">
        <v>655</v>
      </c>
      <c r="Q582" s="372" t="s">
        <v>655</v>
      </c>
      <c r="R582" s="372" t="s">
        <v>655</v>
      </c>
      <c r="S582" s="372">
        <v>117716331</v>
      </c>
      <c r="T582" s="486">
        <v>240184.16</v>
      </c>
      <c r="U582" s="470"/>
      <c r="V582" s="486">
        <v>153842.19</v>
      </c>
      <c r="W582" s="470"/>
      <c r="X582" s="470"/>
      <c r="Y582" s="373">
        <f>SUM(Y553:Y581)</f>
        <v>207186.96999999991</v>
      </c>
      <c r="Z582" s="374" t="s">
        <v>655</v>
      </c>
    </row>
    <row r="583" spans="1:26" x14ac:dyDescent="0.25">
      <c r="A583" s="489" t="s">
        <v>655</v>
      </c>
      <c r="B583" s="470"/>
      <c r="C583" s="470"/>
      <c r="D583" s="490" t="s">
        <v>2324</v>
      </c>
      <c r="E583" s="470"/>
      <c r="F583" s="470"/>
      <c r="G583" s="470"/>
      <c r="H583" s="489" t="s">
        <v>2326</v>
      </c>
      <c r="I583" s="470"/>
      <c r="J583" s="470"/>
      <c r="K583" s="470"/>
      <c r="L583" s="470"/>
      <c r="M583" s="470"/>
      <c r="N583" s="470"/>
      <c r="O583" s="375" t="s">
        <v>655</v>
      </c>
      <c r="P583" s="375" t="s">
        <v>655</v>
      </c>
      <c r="Q583" s="375" t="s">
        <v>655</v>
      </c>
      <c r="R583" s="375" t="s">
        <v>655</v>
      </c>
      <c r="S583" s="375" t="s">
        <v>655</v>
      </c>
      <c r="T583" s="491">
        <v>240184.16</v>
      </c>
      <c r="U583" s="470"/>
      <c r="V583" s="491">
        <v>153842.19</v>
      </c>
      <c r="W583" s="470"/>
      <c r="X583" s="470"/>
      <c r="Y583" s="376">
        <f>Y582</f>
        <v>207186.96999999991</v>
      </c>
      <c r="Z583" s="377" t="s">
        <v>655</v>
      </c>
    </row>
    <row r="584" spans="1:26" x14ac:dyDescent="0.25">
      <c r="A584" s="492" t="s">
        <v>655</v>
      </c>
      <c r="B584" s="470"/>
      <c r="C584" s="378" t="s">
        <v>655</v>
      </c>
      <c r="D584" s="493" t="s">
        <v>655</v>
      </c>
      <c r="E584" s="470"/>
      <c r="F584" s="493" t="s">
        <v>655</v>
      </c>
      <c r="G584" s="470"/>
      <c r="H584" s="378" t="s">
        <v>655</v>
      </c>
      <c r="I584" s="378" t="s">
        <v>655</v>
      </c>
      <c r="J584" s="378" t="s">
        <v>655</v>
      </c>
      <c r="K584" s="492" t="s">
        <v>655</v>
      </c>
      <c r="L584" s="470"/>
      <c r="M584" s="470"/>
      <c r="N584" s="378" t="s">
        <v>655</v>
      </c>
      <c r="O584" s="378" t="s">
        <v>655</v>
      </c>
      <c r="P584" s="378" t="s">
        <v>655</v>
      </c>
      <c r="Q584" s="378" t="s">
        <v>655</v>
      </c>
      <c r="R584" s="378" t="s">
        <v>655</v>
      </c>
      <c r="S584" s="378" t="s">
        <v>655</v>
      </c>
      <c r="T584" s="488" t="s">
        <v>655</v>
      </c>
      <c r="U584" s="470"/>
      <c r="V584" s="488" t="s">
        <v>655</v>
      </c>
      <c r="W584" s="470"/>
      <c r="X584" s="470"/>
      <c r="Y584" s="379" t="s">
        <v>655</v>
      </c>
      <c r="Z584" s="379" t="s">
        <v>655</v>
      </c>
    </row>
    <row r="585" spans="1:26" x14ac:dyDescent="0.25">
      <c r="A585" s="474" t="s">
        <v>2327</v>
      </c>
      <c r="B585" s="470"/>
      <c r="C585" s="470"/>
      <c r="D585" s="470"/>
      <c r="E585" s="470"/>
      <c r="F585" s="470"/>
      <c r="G585" s="470"/>
      <c r="H585" s="470"/>
      <c r="I585" s="470"/>
      <c r="J585" s="470"/>
      <c r="K585" s="470"/>
      <c r="L585" s="470"/>
      <c r="M585" s="470"/>
      <c r="N585" s="470"/>
      <c r="O585" s="470"/>
      <c r="P585" s="364" t="s">
        <v>655</v>
      </c>
      <c r="Q585" s="365" t="s">
        <v>655</v>
      </c>
      <c r="R585" s="365" t="s">
        <v>655</v>
      </c>
      <c r="S585" s="365" t="s">
        <v>655</v>
      </c>
      <c r="T585" s="475" t="s">
        <v>655</v>
      </c>
      <c r="U585" s="470"/>
      <c r="V585" s="475" t="s">
        <v>655</v>
      </c>
      <c r="W585" s="470"/>
      <c r="X585" s="470"/>
      <c r="Y585" s="365" t="s">
        <v>655</v>
      </c>
      <c r="Z585" s="365" t="s">
        <v>655</v>
      </c>
    </row>
    <row r="586" spans="1:26" x14ac:dyDescent="0.25">
      <c r="A586" s="474" t="s">
        <v>657</v>
      </c>
      <c r="B586" s="470"/>
      <c r="C586" s="470"/>
      <c r="D586" s="470"/>
      <c r="E586" s="470"/>
      <c r="F586" s="470"/>
      <c r="G586" s="470"/>
      <c r="H586" s="470"/>
      <c r="I586" s="470"/>
      <c r="J586" s="470"/>
      <c r="K586" s="470"/>
      <c r="L586" s="470"/>
      <c r="M586" s="470"/>
      <c r="N586" s="470"/>
      <c r="O586" s="470"/>
      <c r="P586" s="364" t="s">
        <v>655</v>
      </c>
      <c r="Q586" s="365" t="s">
        <v>655</v>
      </c>
      <c r="R586" s="365" t="s">
        <v>655</v>
      </c>
      <c r="S586" s="365" t="s">
        <v>655</v>
      </c>
      <c r="T586" s="475" t="s">
        <v>655</v>
      </c>
      <c r="U586" s="470"/>
      <c r="V586" s="475" t="s">
        <v>655</v>
      </c>
      <c r="W586" s="470"/>
      <c r="X586" s="470"/>
      <c r="Y586" s="365" t="s">
        <v>655</v>
      </c>
      <c r="Z586" s="365" t="s">
        <v>655</v>
      </c>
    </row>
    <row r="587" spans="1:26" x14ac:dyDescent="0.25">
      <c r="A587" s="487" t="s">
        <v>491</v>
      </c>
      <c r="B587" s="470"/>
      <c r="C587" s="470"/>
      <c r="D587" s="470"/>
      <c r="E587" s="470"/>
      <c r="F587" s="470"/>
      <c r="G587" s="470"/>
      <c r="H587" s="470"/>
      <c r="I587" s="470"/>
      <c r="J587" s="470"/>
      <c r="K587" s="470"/>
      <c r="L587" s="470"/>
      <c r="M587" s="470"/>
      <c r="N587" s="470"/>
      <c r="O587" s="470"/>
      <c r="P587" s="366" t="s">
        <v>655</v>
      </c>
      <c r="Q587" s="367" t="s">
        <v>655</v>
      </c>
      <c r="R587" s="367" t="s">
        <v>655</v>
      </c>
      <c r="S587" s="367" t="s">
        <v>655</v>
      </c>
      <c r="T587" s="482" t="s">
        <v>655</v>
      </c>
      <c r="U587" s="470"/>
      <c r="V587" s="482" t="s">
        <v>655</v>
      </c>
      <c r="W587" s="470"/>
      <c r="X587" s="470"/>
      <c r="Y587" s="367" t="s">
        <v>655</v>
      </c>
      <c r="Z587" s="367" t="s">
        <v>655</v>
      </c>
    </row>
    <row r="588" spans="1:26" x14ac:dyDescent="0.25">
      <c r="A588" s="481">
        <v>42324</v>
      </c>
      <c r="B588" s="470"/>
      <c r="C588" s="368">
        <v>42325</v>
      </c>
      <c r="F588" s="482" t="s">
        <v>1469</v>
      </c>
      <c r="G588" s="470"/>
      <c r="H588" s="369" t="s">
        <v>659</v>
      </c>
      <c r="I588" s="369" t="s">
        <v>674</v>
      </c>
      <c r="J588" s="367" t="s">
        <v>675</v>
      </c>
      <c r="K588" s="482" t="s">
        <v>676</v>
      </c>
      <c r="L588" s="470"/>
      <c r="M588" s="470"/>
      <c r="N588" s="369" t="s">
        <v>655</v>
      </c>
      <c r="O588" s="369" t="s">
        <v>655</v>
      </c>
      <c r="P588" s="369" t="s">
        <v>655</v>
      </c>
      <c r="Q588" s="369" t="s">
        <v>655</v>
      </c>
      <c r="R588" s="367" t="s">
        <v>1470</v>
      </c>
      <c r="S588" s="367">
        <v>3963847</v>
      </c>
      <c r="T588" s="483">
        <v>2349.75</v>
      </c>
      <c r="U588" s="470"/>
      <c r="V588" s="483">
        <v>2001.93</v>
      </c>
      <c r="W588" s="470"/>
      <c r="X588" s="470"/>
      <c r="Y588" s="370">
        <f t="shared" ref="Y588" si="12">V588</f>
        <v>2001.93</v>
      </c>
      <c r="Z588" s="371"/>
    </row>
    <row r="589" spans="1:26" x14ac:dyDescent="0.25">
      <c r="A589" s="481">
        <v>42482</v>
      </c>
      <c r="B589" s="470"/>
      <c r="C589" s="368">
        <v>42485</v>
      </c>
      <c r="F589" s="482" t="s">
        <v>678</v>
      </c>
      <c r="G589" s="470"/>
      <c r="H589" s="369" t="s">
        <v>659</v>
      </c>
      <c r="I589" s="369" t="s">
        <v>769</v>
      </c>
      <c r="J589" s="367" t="s">
        <v>770</v>
      </c>
      <c r="K589" s="482" t="s">
        <v>771</v>
      </c>
      <c r="L589" s="470"/>
      <c r="M589" s="470"/>
      <c r="N589" s="369" t="s">
        <v>655</v>
      </c>
      <c r="O589" s="369" t="s">
        <v>655</v>
      </c>
      <c r="P589" s="369" t="s">
        <v>655</v>
      </c>
      <c r="Q589" s="369" t="s">
        <v>655</v>
      </c>
      <c r="R589" s="367" t="s">
        <v>772</v>
      </c>
      <c r="S589" s="367">
        <v>4987754</v>
      </c>
      <c r="T589" s="483">
        <v>2349.75</v>
      </c>
      <c r="U589" s="470"/>
      <c r="V589" s="483">
        <v>3305.01</v>
      </c>
      <c r="W589" s="470"/>
      <c r="X589" s="470"/>
      <c r="Y589" s="370">
        <f t="shared" ref="Y589" si="13">IF(Q589="Y",V589,IF(V589&gt;T589,V589,T589))</f>
        <v>3305.01</v>
      </c>
      <c r="Z589" s="371"/>
    </row>
    <row r="590" spans="1:26" x14ac:dyDescent="0.25">
      <c r="A590" s="484" t="s">
        <v>655</v>
      </c>
      <c r="B590" s="470"/>
      <c r="C590" s="470"/>
      <c r="D590" s="485" t="s">
        <v>669</v>
      </c>
      <c r="E590" s="470"/>
      <c r="F590" s="470"/>
      <c r="G590" s="470"/>
      <c r="H590" s="484" t="s">
        <v>2328</v>
      </c>
      <c r="I590" s="470"/>
      <c r="J590" s="470"/>
      <c r="K590" s="470"/>
      <c r="L590" s="470"/>
      <c r="M590" s="470"/>
      <c r="N590" s="470"/>
      <c r="O590" s="372" t="s">
        <v>655</v>
      </c>
      <c r="P590" s="372" t="s">
        <v>655</v>
      </c>
      <c r="Q590" s="372" t="s">
        <v>655</v>
      </c>
      <c r="R590" s="372" t="s">
        <v>655</v>
      </c>
      <c r="S590" s="372">
        <v>8951601</v>
      </c>
      <c r="T590" s="486">
        <v>4699.5</v>
      </c>
      <c r="U590" s="470"/>
      <c r="V590" s="486">
        <v>5306.94</v>
      </c>
      <c r="W590" s="470"/>
      <c r="X590" s="470"/>
      <c r="Y590" s="373">
        <f>SUM(Y588:Y589)</f>
        <v>5306.9400000000005</v>
      </c>
      <c r="Z590" s="374" t="s">
        <v>655</v>
      </c>
    </row>
    <row r="591" spans="1:26" x14ac:dyDescent="0.25">
      <c r="A591" s="489" t="s">
        <v>655</v>
      </c>
      <c r="B591" s="470"/>
      <c r="C591" s="470"/>
      <c r="D591" s="490" t="s">
        <v>669</v>
      </c>
      <c r="E591" s="470"/>
      <c r="F591" s="470"/>
      <c r="G591" s="470"/>
      <c r="H591" s="489" t="s">
        <v>2329</v>
      </c>
      <c r="I591" s="470"/>
      <c r="J591" s="470"/>
      <c r="K591" s="470"/>
      <c r="L591" s="470"/>
      <c r="M591" s="470"/>
      <c r="N591" s="470"/>
      <c r="O591" s="375" t="s">
        <v>655</v>
      </c>
      <c r="P591" s="375" t="s">
        <v>655</v>
      </c>
      <c r="Q591" s="375" t="s">
        <v>655</v>
      </c>
      <c r="R591" s="375" t="s">
        <v>655</v>
      </c>
      <c r="S591" s="375" t="s">
        <v>655</v>
      </c>
      <c r="T591" s="491">
        <v>4699.5</v>
      </c>
      <c r="U591" s="470"/>
      <c r="V591" s="491">
        <v>5306.94</v>
      </c>
      <c r="W591" s="470"/>
      <c r="X591" s="470"/>
      <c r="Y591" s="376">
        <f>Y590</f>
        <v>5306.9400000000005</v>
      </c>
      <c r="Z591" s="377" t="s">
        <v>655</v>
      </c>
    </row>
    <row r="592" spans="1:26" x14ac:dyDescent="0.25">
      <c r="A592" s="492" t="s">
        <v>655</v>
      </c>
      <c r="B592" s="470"/>
      <c r="C592" s="378" t="s">
        <v>655</v>
      </c>
      <c r="D592" s="493" t="s">
        <v>655</v>
      </c>
      <c r="E592" s="470"/>
      <c r="F592" s="493" t="s">
        <v>655</v>
      </c>
      <c r="G592" s="470"/>
      <c r="H592" s="378" t="s">
        <v>655</v>
      </c>
      <c r="I592" s="378" t="s">
        <v>655</v>
      </c>
      <c r="J592" s="378" t="s">
        <v>655</v>
      </c>
      <c r="K592" s="492" t="s">
        <v>655</v>
      </c>
      <c r="L592" s="470"/>
      <c r="M592" s="470"/>
      <c r="N592" s="378" t="s">
        <v>655</v>
      </c>
      <c r="O592" s="378" t="s">
        <v>655</v>
      </c>
      <c r="P592" s="378" t="s">
        <v>655</v>
      </c>
      <c r="Q592" s="378" t="s">
        <v>655</v>
      </c>
      <c r="R592" s="378" t="s">
        <v>655</v>
      </c>
      <c r="S592" s="378" t="s">
        <v>655</v>
      </c>
      <c r="T592" s="488" t="s">
        <v>655</v>
      </c>
      <c r="U592" s="470"/>
      <c r="V592" s="488" t="s">
        <v>655</v>
      </c>
      <c r="W592" s="470"/>
      <c r="X592" s="470"/>
      <c r="Y592" s="379" t="s">
        <v>655</v>
      </c>
      <c r="Z592" s="379" t="s">
        <v>655</v>
      </c>
    </row>
    <row r="593" spans="1:26" x14ac:dyDescent="0.25">
      <c r="A593" s="474" t="s">
        <v>2330</v>
      </c>
      <c r="B593" s="470"/>
      <c r="C593" s="470"/>
      <c r="D593" s="470"/>
      <c r="E593" s="470"/>
      <c r="F593" s="470"/>
      <c r="G593" s="470"/>
      <c r="H593" s="470"/>
      <c r="I593" s="470"/>
      <c r="J593" s="470"/>
      <c r="K593" s="470"/>
      <c r="L593" s="470"/>
      <c r="M593" s="470"/>
      <c r="N593" s="470"/>
      <c r="O593" s="470"/>
      <c r="P593" s="364" t="s">
        <v>655</v>
      </c>
      <c r="Q593" s="365" t="s">
        <v>655</v>
      </c>
      <c r="R593" s="365" t="s">
        <v>655</v>
      </c>
      <c r="S593" s="365" t="s">
        <v>655</v>
      </c>
      <c r="T593" s="475" t="s">
        <v>655</v>
      </c>
      <c r="U593" s="470"/>
      <c r="V593" s="475" t="s">
        <v>655</v>
      </c>
      <c r="W593" s="470"/>
      <c r="X593" s="470"/>
      <c r="Y593" s="365" t="s">
        <v>655</v>
      </c>
      <c r="Z593" s="365" t="s">
        <v>655</v>
      </c>
    </row>
    <row r="594" spans="1:26" x14ac:dyDescent="0.25">
      <c r="A594" s="474" t="s">
        <v>657</v>
      </c>
      <c r="B594" s="470"/>
      <c r="C594" s="470"/>
      <c r="D594" s="470"/>
      <c r="E594" s="470"/>
      <c r="F594" s="470"/>
      <c r="G594" s="470"/>
      <c r="H594" s="470"/>
      <c r="I594" s="470"/>
      <c r="J594" s="470"/>
      <c r="K594" s="470"/>
      <c r="L594" s="470"/>
      <c r="M594" s="470"/>
      <c r="N594" s="470"/>
      <c r="O594" s="470"/>
      <c r="P594" s="364" t="s">
        <v>655</v>
      </c>
      <c r="Q594" s="365" t="s">
        <v>655</v>
      </c>
      <c r="R594" s="365" t="s">
        <v>655</v>
      </c>
      <c r="S594" s="365" t="s">
        <v>655</v>
      </c>
      <c r="T594" s="475" t="s">
        <v>655</v>
      </c>
      <c r="U594" s="470"/>
      <c r="V594" s="475" t="s">
        <v>655</v>
      </c>
      <c r="W594" s="470"/>
      <c r="X594" s="470"/>
      <c r="Y594" s="365" t="s">
        <v>655</v>
      </c>
      <c r="Z594" s="365" t="s">
        <v>655</v>
      </c>
    </row>
    <row r="595" spans="1:26" x14ac:dyDescent="0.25">
      <c r="A595" s="487" t="s">
        <v>491</v>
      </c>
      <c r="B595" s="470"/>
      <c r="C595" s="470"/>
      <c r="D595" s="470"/>
      <c r="E595" s="470"/>
      <c r="F595" s="470"/>
      <c r="G595" s="470"/>
      <c r="H595" s="470"/>
      <c r="I595" s="470"/>
      <c r="J595" s="470"/>
      <c r="K595" s="470"/>
      <c r="L595" s="470"/>
      <c r="M595" s="470"/>
      <c r="N595" s="470"/>
      <c r="O595" s="470"/>
      <c r="P595" s="366" t="s">
        <v>655</v>
      </c>
      <c r="Q595" s="367" t="s">
        <v>655</v>
      </c>
      <c r="R595" s="367" t="s">
        <v>655</v>
      </c>
      <c r="S595" s="367" t="s">
        <v>655</v>
      </c>
      <c r="T595" s="482" t="s">
        <v>655</v>
      </c>
      <c r="U595" s="470"/>
      <c r="V595" s="482" t="s">
        <v>655</v>
      </c>
      <c r="W595" s="470"/>
      <c r="X595" s="470"/>
      <c r="Y595" s="367" t="s">
        <v>655</v>
      </c>
      <c r="Z595" s="367" t="s">
        <v>655</v>
      </c>
    </row>
    <row r="596" spans="1:26" x14ac:dyDescent="0.25">
      <c r="A596" s="481">
        <v>42159</v>
      </c>
      <c r="B596" s="470"/>
      <c r="C596" s="380"/>
      <c r="F596" s="482" t="s">
        <v>2331</v>
      </c>
      <c r="G596" s="470"/>
      <c r="H596" s="369" t="s">
        <v>659</v>
      </c>
      <c r="I596" s="369" t="s">
        <v>2332</v>
      </c>
      <c r="J596" s="367" t="s">
        <v>930</v>
      </c>
      <c r="K596" s="482" t="s">
        <v>2333</v>
      </c>
      <c r="L596" s="470"/>
      <c r="M596" s="470"/>
      <c r="N596" s="369" t="s">
        <v>655</v>
      </c>
      <c r="O596" s="369" t="s">
        <v>655</v>
      </c>
      <c r="P596" s="369" t="s">
        <v>655</v>
      </c>
      <c r="Q596" s="369" t="s">
        <v>655</v>
      </c>
      <c r="R596" s="367" t="s">
        <v>2334</v>
      </c>
      <c r="S596" s="367">
        <v>3121144</v>
      </c>
      <c r="T596" s="483">
        <v>276.27</v>
      </c>
      <c r="U596" s="470"/>
      <c r="V596" s="483">
        <v>0</v>
      </c>
      <c r="W596" s="470"/>
      <c r="X596" s="470"/>
      <c r="Y596" s="370">
        <f t="shared" ref="Y596:Y624" si="14">V596</f>
        <v>0</v>
      </c>
      <c r="Z596" s="371"/>
    </row>
    <row r="597" spans="1:26" x14ac:dyDescent="0.25">
      <c r="A597" s="481">
        <v>42163</v>
      </c>
      <c r="B597" s="470"/>
      <c r="C597" s="380"/>
      <c r="F597" s="482" t="s">
        <v>2335</v>
      </c>
      <c r="G597" s="470"/>
      <c r="H597" s="369" t="s">
        <v>659</v>
      </c>
      <c r="I597" s="369" t="s">
        <v>2336</v>
      </c>
      <c r="J597" s="367" t="s">
        <v>2337</v>
      </c>
      <c r="K597" s="482" t="s">
        <v>2338</v>
      </c>
      <c r="L597" s="470"/>
      <c r="M597" s="470"/>
      <c r="N597" s="369" t="s">
        <v>655</v>
      </c>
      <c r="O597" s="369" t="s">
        <v>655</v>
      </c>
      <c r="P597" s="369" t="s">
        <v>655</v>
      </c>
      <c r="Q597" s="369" t="s">
        <v>655</v>
      </c>
      <c r="R597" s="367" t="s">
        <v>2339</v>
      </c>
      <c r="S597" s="367">
        <v>3124329</v>
      </c>
      <c r="T597" s="483">
        <v>276.27</v>
      </c>
      <c r="U597" s="470"/>
      <c r="V597" s="483">
        <v>226.29</v>
      </c>
      <c r="W597" s="470"/>
      <c r="X597" s="470"/>
      <c r="Y597" s="370">
        <f t="shared" si="14"/>
        <v>226.29</v>
      </c>
      <c r="Z597" s="371"/>
    </row>
    <row r="598" spans="1:26" x14ac:dyDescent="0.25">
      <c r="A598" s="481">
        <v>42166</v>
      </c>
      <c r="B598" s="470"/>
      <c r="C598" s="380"/>
      <c r="F598" s="482" t="s">
        <v>2340</v>
      </c>
      <c r="G598" s="470"/>
      <c r="H598" s="369" t="s">
        <v>659</v>
      </c>
      <c r="I598" s="369" t="s">
        <v>790</v>
      </c>
      <c r="J598" s="367" t="s">
        <v>791</v>
      </c>
      <c r="K598" s="482" t="s">
        <v>792</v>
      </c>
      <c r="L598" s="470"/>
      <c r="M598" s="470"/>
      <c r="N598" s="369" t="s">
        <v>655</v>
      </c>
      <c r="O598" s="369" t="s">
        <v>655</v>
      </c>
      <c r="P598" s="369" t="s">
        <v>655</v>
      </c>
      <c r="Q598" s="369" t="s">
        <v>655</v>
      </c>
      <c r="R598" s="367" t="s">
        <v>2341</v>
      </c>
      <c r="S598" s="367">
        <v>3124317</v>
      </c>
      <c r="T598" s="483">
        <v>276.27</v>
      </c>
      <c r="U598" s="470"/>
      <c r="V598" s="483">
        <v>79.62</v>
      </c>
      <c r="W598" s="470"/>
      <c r="X598" s="470"/>
      <c r="Y598" s="370">
        <f t="shared" si="14"/>
        <v>79.62</v>
      </c>
      <c r="Z598" s="371"/>
    </row>
    <row r="599" spans="1:26" x14ac:dyDescent="0.25">
      <c r="A599" s="481">
        <v>42227</v>
      </c>
      <c r="B599" s="470"/>
      <c r="C599" s="380"/>
      <c r="F599" s="482" t="s">
        <v>2331</v>
      </c>
      <c r="G599" s="470"/>
      <c r="H599" s="369" t="s">
        <v>659</v>
      </c>
      <c r="I599" s="369" t="s">
        <v>1420</v>
      </c>
      <c r="J599" s="367" t="s">
        <v>1421</v>
      </c>
      <c r="K599" s="482" t="s">
        <v>693</v>
      </c>
      <c r="L599" s="470"/>
      <c r="M599" s="470"/>
      <c r="N599" s="369" t="s">
        <v>655</v>
      </c>
      <c r="O599" s="369" t="s">
        <v>655</v>
      </c>
      <c r="P599" s="369" t="s">
        <v>655</v>
      </c>
      <c r="Q599" s="369" t="s">
        <v>655</v>
      </c>
      <c r="R599" s="367" t="s">
        <v>2342</v>
      </c>
      <c r="S599" s="367">
        <v>3431571</v>
      </c>
      <c r="T599" s="483">
        <v>276.27</v>
      </c>
      <c r="U599" s="470"/>
      <c r="V599" s="483">
        <v>0</v>
      </c>
      <c r="W599" s="470"/>
      <c r="X599" s="470"/>
      <c r="Y599" s="370">
        <f t="shared" si="14"/>
        <v>0</v>
      </c>
      <c r="Z599" s="371"/>
    </row>
    <row r="600" spans="1:26" x14ac:dyDescent="0.25">
      <c r="A600" s="481">
        <v>42242</v>
      </c>
      <c r="B600" s="470"/>
      <c r="C600" s="380"/>
      <c r="F600" s="482" t="s">
        <v>2343</v>
      </c>
      <c r="G600" s="470"/>
      <c r="H600" s="369" t="s">
        <v>659</v>
      </c>
      <c r="I600" s="369" t="s">
        <v>2344</v>
      </c>
      <c r="J600" s="367" t="s">
        <v>2345</v>
      </c>
      <c r="K600" s="482" t="s">
        <v>1806</v>
      </c>
      <c r="L600" s="470"/>
      <c r="M600" s="470"/>
      <c r="N600" s="369" t="s">
        <v>655</v>
      </c>
      <c r="O600" s="369" t="s">
        <v>655</v>
      </c>
      <c r="P600" s="369" t="s">
        <v>655</v>
      </c>
      <c r="Q600" s="369" t="s">
        <v>655</v>
      </c>
      <c r="R600" s="367" t="s">
        <v>2346</v>
      </c>
      <c r="S600" s="367">
        <v>3447328</v>
      </c>
      <c r="T600" s="483">
        <v>276.27</v>
      </c>
      <c r="U600" s="470"/>
      <c r="V600" s="483">
        <v>0</v>
      </c>
      <c r="W600" s="470"/>
      <c r="X600" s="470"/>
      <c r="Y600" s="370">
        <f t="shared" si="14"/>
        <v>0</v>
      </c>
      <c r="Z600" s="371"/>
    </row>
    <row r="601" spans="1:26" x14ac:dyDescent="0.25">
      <c r="A601" s="481">
        <v>42255</v>
      </c>
      <c r="B601" s="470"/>
      <c r="C601" s="380"/>
      <c r="F601" s="482" t="s">
        <v>2331</v>
      </c>
      <c r="G601" s="470"/>
      <c r="H601" s="369" t="s">
        <v>659</v>
      </c>
      <c r="I601" s="369" t="s">
        <v>2347</v>
      </c>
      <c r="J601" s="367" t="s">
        <v>2348</v>
      </c>
      <c r="K601" s="482" t="s">
        <v>738</v>
      </c>
      <c r="L601" s="470"/>
      <c r="M601" s="470"/>
      <c r="N601" s="369" t="s">
        <v>655</v>
      </c>
      <c r="O601" s="369" t="s">
        <v>655</v>
      </c>
      <c r="P601" s="369" t="s">
        <v>655</v>
      </c>
      <c r="Q601" s="369" t="s">
        <v>655</v>
      </c>
      <c r="R601" s="367" t="s">
        <v>2349</v>
      </c>
      <c r="S601" s="367">
        <v>3624418</v>
      </c>
      <c r="T601" s="483">
        <v>276.27</v>
      </c>
      <c r="U601" s="470"/>
      <c r="V601" s="483">
        <v>0</v>
      </c>
      <c r="W601" s="470"/>
      <c r="X601" s="470"/>
      <c r="Y601" s="370">
        <f t="shared" si="14"/>
        <v>0</v>
      </c>
      <c r="Z601" s="371"/>
    </row>
    <row r="602" spans="1:26" x14ac:dyDescent="0.25">
      <c r="A602" s="481">
        <v>42257</v>
      </c>
      <c r="B602" s="470"/>
      <c r="C602" s="380"/>
      <c r="F602" s="482" t="s">
        <v>2331</v>
      </c>
      <c r="G602" s="470"/>
      <c r="H602" s="369" t="s">
        <v>659</v>
      </c>
      <c r="I602" s="369" t="s">
        <v>2350</v>
      </c>
      <c r="J602" s="367" t="s">
        <v>2351</v>
      </c>
      <c r="K602" s="482" t="s">
        <v>2352</v>
      </c>
      <c r="L602" s="470"/>
      <c r="M602" s="470"/>
      <c r="N602" s="369" t="s">
        <v>655</v>
      </c>
      <c r="O602" s="369" t="s">
        <v>655</v>
      </c>
      <c r="P602" s="369" t="s">
        <v>655</v>
      </c>
      <c r="Q602" s="369" t="s">
        <v>655</v>
      </c>
      <c r="R602" s="367" t="s">
        <v>2353</v>
      </c>
      <c r="S602" s="367">
        <v>3622965</v>
      </c>
      <c r="T602" s="483">
        <v>276.27</v>
      </c>
      <c r="U602" s="470"/>
      <c r="V602" s="483">
        <v>0</v>
      </c>
      <c r="W602" s="470"/>
      <c r="X602" s="470"/>
      <c r="Y602" s="370">
        <f t="shared" si="14"/>
        <v>0</v>
      </c>
      <c r="Z602" s="371"/>
    </row>
    <row r="603" spans="1:26" x14ac:dyDescent="0.25">
      <c r="A603" s="481">
        <v>42276</v>
      </c>
      <c r="B603" s="470"/>
      <c r="C603" s="380"/>
      <c r="F603" s="482" t="s">
        <v>2354</v>
      </c>
      <c r="G603" s="470"/>
      <c r="H603" s="369" t="s">
        <v>659</v>
      </c>
      <c r="I603" s="369" t="s">
        <v>1233</v>
      </c>
      <c r="J603" s="367" t="s">
        <v>1234</v>
      </c>
      <c r="K603" s="482" t="s">
        <v>1235</v>
      </c>
      <c r="L603" s="470"/>
      <c r="M603" s="470"/>
      <c r="N603" s="369" t="s">
        <v>655</v>
      </c>
      <c r="O603" s="369" t="s">
        <v>655</v>
      </c>
      <c r="P603" s="369" t="s">
        <v>655</v>
      </c>
      <c r="Q603" s="369" t="s">
        <v>655</v>
      </c>
      <c r="R603" s="367" t="s">
        <v>2355</v>
      </c>
      <c r="S603" s="367">
        <v>3695806</v>
      </c>
      <c r="T603" s="483">
        <v>276.27</v>
      </c>
      <c r="U603" s="470"/>
      <c r="V603" s="483">
        <v>77.67</v>
      </c>
      <c r="W603" s="470"/>
      <c r="X603" s="470"/>
      <c r="Y603" s="370">
        <f t="shared" si="14"/>
        <v>77.67</v>
      </c>
      <c r="Z603" s="371"/>
    </row>
    <row r="604" spans="1:26" x14ac:dyDescent="0.25">
      <c r="A604" s="481">
        <v>42283</v>
      </c>
      <c r="B604" s="470"/>
      <c r="C604" s="380"/>
      <c r="F604" s="482" t="s">
        <v>2331</v>
      </c>
      <c r="G604" s="470"/>
      <c r="H604" s="369" t="s">
        <v>659</v>
      </c>
      <c r="I604" s="369" t="s">
        <v>2356</v>
      </c>
      <c r="J604" s="367" t="s">
        <v>1181</v>
      </c>
      <c r="K604" s="482" t="s">
        <v>975</v>
      </c>
      <c r="L604" s="470"/>
      <c r="M604" s="470"/>
      <c r="N604" s="369" t="s">
        <v>655</v>
      </c>
      <c r="O604" s="369" t="s">
        <v>655</v>
      </c>
      <c r="P604" s="369" t="s">
        <v>655</v>
      </c>
      <c r="Q604" s="369" t="s">
        <v>655</v>
      </c>
      <c r="R604" s="367" t="s">
        <v>2357</v>
      </c>
      <c r="S604" s="367">
        <v>3745695</v>
      </c>
      <c r="T604" s="483">
        <v>276.27</v>
      </c>
      <c r="U604" s="470"/>
      <c r="V604" s="483">
        <v>0</v>
      </c>
      <c r="W604" s="470"/>
      <c r="X604" s="470"/>
      <c r="Y604" s="370">
        <f t="shared" si="14"/>
        <v>0</v>
      </c>
      <c r="Z604" s="371"/>
    </row>
    <row r="605" spans="1:26" x14ac:dyDescent="0.25">
      <c r="A605" s="481">
        <v>42290</v>
      </c>
      <c r="B605" s="470"/>
      <c r="C605" s="380"/>
      <c r="F605" s="482" t="s">
        <v>2331</v>
      </c>
      <c r="G605" s="470"/>
      <c r="H605" s="369" t="s">
        <v>659</v>
      </c>
      <c r="I605" s="369" t="s">
        <v>2358</v>
      </c>
      <c r="J605" s="367" t="s">
        <v>2359</v>
      </c>
      <c r="K605" s="482" t="s">
        <v>2360</v>
      </c>
      <c r="L605" s="470"/>
      <c r="M605" s="470"/>
      <c r="N605" s="369" t="s">
        <v>655</v>
      </c>
      <c r="O605" s="369" t="s">
        <v>655</v>
      </c>
      <c r="P605" s="369" t="s">
        <v>655</v>
      </c>
      <c r="Q605" s="369" t="s">
        <v>655</v>
      </c>
      <c r="R605" s="367" t="s">
        <v>2361</v>
      </c>
      <c r="S605" s="367">
        <v>3745704</v>
      </c>
      <c r="T605" s="483">
        <v>276.27</v>
      </c>
      <c r="U605" s="470"/>
      <c r="V605" s="483">
        <v>0</v>
      </c>
      <c r="W605" s="470"/>
      <c r="X605" s="470"/>
      <c r="Y605" s="370">
        <f t="shared" si="14"/>
        <v>0</v>
      </c>
      <c r="Z605" s="371"/>
    </row>
    <row r="606" spans="1:26" x14ac:dyDescent="0.25">
      <c r="A606" s="481">
        <v>42291</v>
      </c>
      <c r="B606" s="470"/>
      <c r="C606" s="380"/>
      <c r="F606" s="482" t="s">
        <v>2362</v>
      </c>
      <c r="G606" s="470"/>
      <c r="H606" s="369" t="s">
        <v>659</v>
      </c>
      <c r="I606" s="369" t="s">
        <v>2363</v>
      </c>
      <c r="J606" s="367" t="s">
        <v>2364</v>
      </c>
      <c r="K606" s="482" t="s">
        <v>1060</v>
      </c>
      <c r="L606" s="470"/>
      <c r="M606" s="470"/>
      <c r="N606" s="369" t="s">
        <v>655</v>
      </c>
      <c r="O606" s="369" t="s">
        <v>655</v>
      </c>
      <c r="P606" s="369" t="s">
        <v>655</v>
      </c>
      <c r="Q606" s="369" t="s">
        <v>655</v>
      </c>
      <c r="R606" s="367" t="s">
        <v>2365</v>
      </c>
      <c r="S606" s="367">
        <v>3745671</v>
      </c>
      <c r="T606" s="483">
        <v>276.27</v>
      </c>
      <c r="U606" s="470"/>
      <c r="V606" s="483">
        <v>79.62</v>
      </c>
      <c r="W606" s="470"/>
      <c r="X606" s="470"/>
      <c r="Y606" s="370">
        <f t="shared" si="14"/>
        <v>79.62</v>
      </c>
      <c r="Z606" s="371"/>
    </row>
    <row r="607" spans="1:26" x14ac:dyDescent="0.25">
      <c r="A607" s="481">
        <v>42296</v>
      </c>
      <c r="B607" s="470"/>
      <c r="C607" s="380"/>
      <c r="F607" s="482" t="s">
        <v>2366</v>
      </c>
      <c r="G607" s="470"/>
      <c r="H607" s="369" t="s">
        <v>659</v>
      </c>
      <c r="I607" s="369" t="s">
        <v>2344</v>
      </c>
      <c r="J607" s="367" t="s">
        <v>2345</v>
      </c>
      <c r="K607" s="482" t="s">
        <v>1806</v>
      </c>
      <c r="L607" s="470"/>
      <c r="M607" s="470"/>
      <c r="N607" s="369" t="s">
        <v>655</v>
      </c>
      <c r="O607" s="369" t="s">
        <v>655</v>
      </c>
      <c r="P607" s="369" t="s">
        <v>655</v>
      </c>
      <c r="Q607" s="369" t="s">
        <v>655</v>
      </c>
      <c r="R607" s="367" t="s">
        <v>2367</v>
      </c>
      <c r="S607" s="367">
        <v>3746160</v>
      </c>
      <c r="T607" s="483">
        <v>276.27</v>
      </c>
      <c r="U607" s="470"/>
      <c r="V607" s="483">
        <v>144.62</v>
      </c>
      <c r="W607" s="470"/>
      <c r="X607" s="470"/>
      <c r="Y607" s="370">
        <f t="shared" si="14"/>
        <v>144.62</v>
      </c>
      <c r="Z607" s="371"/>
    </row>
    <row r="608" spans="1:26" x14ac:dyDescent="0.25">
      <c r="A608" s="481">
        <v>42313</v>
      </c>
      <c r="B608" s="470"/>
      <c r="C608" s="380"/>
      <c r="F608" s="482" t="s">
        <v>2331</v>
      </c>
      <c r="G608" s="470"/>
      <c r="H608" s="369" t="s">
        <v>659</v>
      </c>
      <c r="I608" s="369" t="s">
        <v>2368</v>
      </c>
      <c r="J608" s="367" t="s">
        <v>2369</v>
      </c>
      <c r="K608" s="482" t="s">
        <v>2370</v>
      </c>
      <c r="L608" s="470"/>
      <c r="M608" s="470"/>
      <c r="N608" s="369" t="s">
        <v>655</v>
      </c>
      <c r="O608" s="369" t="s">
        <v>655</v>
      </c>
      <c r="P608" s="369" t="s">
        <v>655</v>
      </c>
      <c r="Q608" s="369" t="s">
        <v>655</v>
      </c>
      <c r="R608" s="367" t="s">
        <v>2371</v>
      </c>
      <c r="S608" s="367">
        <v>3824313</v>
      </c>
      <c r="T608" s="483">
        <v>276.27</v>
      </c>
      <c r="U608" s="470"/>
      <c r="V608" s="483">
        <v>0</v>
      </c>
      <c r="W608" s="470"/>
      <c r="X608" s="470"/>
      <c r="Y608" s="370">
        <f t="shared" si="14"/>
        <v>0</v>
      </c>
      <c r="Z608" s="371"/>
    </row>
    <row r="609" spans="1:26" x14ac:dyDescent="0.25">
      <c r="A609" s="481">
        <v>42317</v>
      </c>
      <c r="B609" s="470"/>
      <c r="C609" s="380"/>
      <c r="F609" s="482" t="s">
        <v>2372</v>
      </c>
      <c r="G609" s="470"/>
      <c r="H609" s="369" t="s">
        <v>659</v>
      </c>
      <c r="I609" s="369" t="s">
        <v>1275</v>
      </c>
      <c r="J609" s="367" t="s">
        <v>1276</v>
      </c>
      <c r="K609" s="482" t="s">
        <v>1277</v>
      </c>
      <c r="L609" s="470"/>
      <c r="M609" s="470"/>
      <c r="N609" s="369" t="s">
        <v>655</v>
      </c>
      <c r="O609" s="369" t="s">
        <v>655</v>
      </c>
      <c r="P609" s="369" t="s">
        <v>655</v>
      </c>
      <c r="Q609" s="369" t="s">
        <v>655</v>
      </c>
      <c r="R609" s="367" t="s">
        <v>2373</v>
      </c>
      <c r="S609" s="367">
        <v>3824302</v>
      </c>
      <c r="T609" s="483">
        <v>276.27</v>
      </c>
      <c r="U609" s="470"/>
      <c r="V609" s="483">
        <v>96.68</v>
      </c>
      <c r="W609" s="470"/>
      <c r="X609" s="470"/>
      <c r="Y609" s="370">
        <f t="shared" si="14"/>
        <v>96.68</v>
      </c>
      <c r="Z609" s="371"/>
    </row>
    <row r="610" spans="1:26" x14ac:dyDescent="0.25">
      <c r="A610" s="481">
        <v>42318</v>
      </c>
      <c r="B610" s="470"/>
      <c r="C610" s="380"/>
      <c r="F610" s="482" t="s">
        <v>2331</v>
      </c>
      <c r="G610" s="470"/>
      <c r="H610" s="369" t="s">
        <v>659</v>
      </c>
      <c r="I610" s="369" t="s">
        <v>2374</v>
      </c>
      <c r="J610" s="367" t="s">
        <v>1309</v>
      </c>
      <c r="K610" s="482" t="s">
        <v>2375</v>
      </c>
      <c r="L610" s="470"/>
      <c r="M610" s="470"/>
      <c r="N610" s="369" t="s">
        <v>655</v>
      </c>
      <c r="O610" s="369" t="s">
        <v>655</v>
      </c>
      <c r="P610" s="369" t="s">
        <v>655</v>
      </c>
      <c r="Q610" s="369" t="s">
        <v>655</v>
      </c>
      <c r="R610" s="367" t="s">
        <v>2376</v>
      </c>
      <c r="S610" s="367">
        <v>3901394</v>
      </c>
      <c r="T610" s="483">
        <v>276.27</v>
      </c>
      <c r="U610" s="470"/>
      <c r="V610" s="483">
        <v>0</v>
      </c>
      <c r="W610" s="470"/>
      <c r="X610" s="470"/>
      <c r="Y610" s="370">
        <f t="shared" si="14"/>
        <v>0</v>
      </c>
      <c r="Z610" s="371"/>
    </row>
    <row r="611" spans="1:26" x14ac:dyDescent="0.25">
      <c r="A611" s="481">
        <v>42340</v>
      </c>
      <c r="B611" s="470"/>
      <c r="C611" s="380"/>
      <c r="F611" s="482" t="s">
        <v>2377</v>
      </c>
      <c r="G611" s="470"/>
      <c r="H611" s="369" t="s">
        <v>659</v>
      </c>
      <c r="I611" s="369" t="s">
        <v>721</v>
      </c>
      <c r="J611" s="367" t="s">
        <v>722</v>
      </c>
      <c r="K611" s="482" t="s">
        <v>723</v>
      </c>
      <c r="L611" s="470"/>
      <c r="M611" s="470"/>
      <c r="N611" s="369" t="s">
        <v>655</v>
      </c>
      <c r="O611" s="369" t="s">
        <v>655</v>
      </c>
      <c r="P611" s="369" t="s">
        <v>655</v>
      </c>
      <c r="Q611" s="369" t="s">
        <v>655</v>
      </c>
      <c r="R611" s="367" t="s">
        <v>2378</v>
      </c>
      <c r="S611" s="367">
        <v>3964030</v>
      </c>
      <c r="T611" s="483">
        <v>276.27</v>
      </c>
      <c r="U611" s="470"/>
      <c r="V611" s="483">
        <v>79.790000000000006</v>
      </c>
      <c r="W611" s="470"/>
      <c r="X611" s="470"/>
      <c r="Y611" s="370">
        <f t="shared" si="14"/>
        <v>79.790000000000006</v>
      </c>
      <c r="Z611" s="371"/>
    </row>
    <row r="612" spans="1:26" x14ac:dyDescent="0.25">
      <c r="A612" s="481">
        <v>42346</v>
      </c>
      <c r="B612" s="470"/>
      <c r="C612" s="380"/>
      <c r="F612" s="482" t="s">
        <v>2379</v>
      </c>
      <c r="G612" s="470"/>
      <c r="H612" s="369" t="s">
        <v>659</v>
      </c>
      <c r="I612" s="369" t="s">
        <v>2380</v>
      </c>
      <c r="J612" s="367" t="s">
        <v>2381</v>
      </c>
      <c r="K612" s="482" t="s">
        <v>1001</v>
      </c>
      <c r="L612" s="470"/>
      <c r="M612" s="470"/>
      <c r="N612" s="369" t="s">
        <v>655</v>
      </c>
      <c r="O612" s="369" t="s">
        <v>655</v>
      </c>
      <c r="P612" s="369" t="s">
        <v>655</v>
      </c>
      <c r="Q612" s="369" t="s">
        <v>655</v>
      </c>
      <c r="R612" s="367" t="s">
        <v>2382</v>
      </c>
      <c r="S612" s="367">
        <v>4072521</v>
      </c>
      <c r="T612" s="483">
        <v>276.27</v>
      </c>
      <c r="U612" s="470"/>
      <c r="V612" s="483">
        <v>111.45</v>
      </c>
      <c r="W612" s="470"/>
      <c r="X612" s="470"/>
      <c r="Y612" s="370">
        <f t="shared" si="14"/>
        <v>111.45</v>
      </c>
      <c r="Z612" s="371">
        <v>2</v>
      </c>
    </row>
    <row r="613" spans="1:26" x14ac:dyDescent="0.25">
      <c r="A613" s="481">
        <v>42348</v>
      </c>
      <c r="B613" s="470"/>
      <c r="C613" s="380"/>
      <c r="F613" s="482" t="s">
        <v>2379</v>
      </c>
      <c r="G613" s="470"/>
      <c r="H613" s="369" t="s">
        <v>659</v>
      </c>
      <c r="I613" s="369" t="s">
        <v>2380</v>
      </c>
      <c r="J613" s="367" t="s">
        <v>2381</v>
      </c>
      <c r="K613" s="482" t="s">
        <v>1001</v>
      </c>
      <c r="L613" s="470"/>
      <c r="M613" s="470"/>
      <c r="N613" s="369" t="s">
        <v>655</v>
      </c>
      <c r="O613" s="369" t="s">
        <v>655</v>
      </c>
      <c r="P613" s="369" t="s">
        <v>655</v>
      </c>
      <c r="Q613" s="369" t="s">
        <v>655</v>
      </c>
      <c r="R613" s="367" t="s">
        <v>2383</v>
      </c>
      <c r="S613" s="367">
        <v>4113225</v>
      </c>
      <c r="T613" s="483">
        <v>276.27</v>
      </c>
      <c r="U613" s="470"/>
      <c r="V613" s="483">
        <v>92.75</v>
      </c>
      <c r="W613" s="470"/>
      <c r="X613" s="470"/>
      <c r="Y613" s="370">
        <f t="shared" si="14"/>
        <v>92.75</v>
      </c>
      <c r="Z613" s="371"/>
    </row>
    <row r="614" spans="1:26" x14ac:dyDescent="0.25">
      <c r="A614" s="481">
        <v>42354</v>
      </c>
      <c r="B614" s="470"/>
      <c r="C614" s="380"/>
      <c r="F614" s="482" t="s">
        <v>2340</v>
      </c>
      <c r="G614" s="470"/>
      <c r="H614" s="369" t="s">
        <v>659</v>
      </c>
      <c r="I614" s="369" t="s">
        <v>691</v>
      </c>
      <c r="J614" s="367" t="s">
        <v>692</v>
      </c>
      <c r="K614" s="482" t="s">
        <v>693</v>
      </c>
      <c r="L614" s="470"/>
      <c r="M614" s="470"/>
      <c r="N614" s="369" t="s">
        <v>655</v>
      </c>
      <c r="O614" s="369" t="s">
        <v>655</v>
      </c>
      <c r="P614" s="369" t="s">
        <v>655</v>
      </c>
      <c r="Q614" s="369" t="s">
        <v>655</v>
      </c>
      <c r="R614" s="367" t="s">
        <v>2384</v>
      </c>
      <c r="S614" s="367">
        <v>4072511</v>
      </c>
      <c r="T614" s="483">
        <v>276.27</v>
      </c>
      <c r="U614" s="470"/>
      <c r="V614" s="483">
        <v>0</v>
      </c>
      <c r="W614" s="470"/>
      <c r="X614" s="470"/>
      <c r="Y614" s="370">
        <f t="shared" si="14"/>
        <v>0</v>
      </c>
      <c r="Z614" s="371"/>
    </row>
    <row r="615" spans="1:26" x14ac:dyDescent="0.25">
      <c r="A615" s="481">
        <v>42355</v>
      </c>
      <c r="B615" s="470"/>
      <c r="C615" s="380"/>
      <c r="F615" s="482" t="s">
        <v>2331</v>
      </c>
      <c r="G615" s="470"/>
      <c r="H615" s="369" t="s">
        <v>659</v>
      </c>
      <c r="I615" s="369" t="s">
        <v>2385</v>
      </c>
      <c r="J615" s="367" t="s">
        <v>2386</v>
      </c>
      <c r="K615" s="482" t="s">
        <v>2387</v>
      </c>
      <c r="L615" s="470"/>
      <c r="M615" s="470"/>
      <c r="N615" s="369" t="s">
        <v>655</v>
      </c>
      <c r="O615" s="369" t="s">
        <v>655</v>
      </c>
      <c r="P615" s="369" t="s">
        <v>655</v>
      </c>
      <c r="Q615" s="369" t="s">
        <v>655</v>
      </c>
      <c r="R615" s="367" t="s">
        <v>2388</v>
      </c>
      <c r="S615" s="367">
        <v>4072584</v>
      </c>
      <c r="T615" s="483">
        <v>276.27</v>
      </c>
      <c r="U615" s="470"/>
      <c r="V615" s="483">
        <v>0</v>
      </c>
      <c r="W615" s="470"/>
      <c r="X615" s="470"/>
      <c r="Y615" s="370">
        <f t="shared" si="14"/>
        <v>0</v>
      </c>
      <c r="Z615" s="371"/>
    </row>
    <row r="616" spans="1:26" x14ac:dyDescent="0.25">
      <c r="A616" s="481">
        <v>42356</v>
      </c>
      <c r="B616" s="470"/>
      <c r="C616" s="380"/>
      <c r="F616" s="482" t="s">
        <v>2354</v>
      </c>
      <c r="G616" s="470"/>
      <c r="H616" s="369" t="s">
        <v>659</v>
      </c>
      <c r="I616" s="369" t="s">
        <v>2389</v>
      </c>
      <c r="J616" s="367" t="s">
        <v>2390</v>
      </c>
      <c r="K616" s="482" t="s">
        <v>931</v>
      </c>
      <c r="L616" s="470"/>
      <c r="M616" s="470"/>
      <c r="N616" s="369" t="s">
        <v>655</v>
      </c>
      <c r="O616" s="369" t="s">
        <v>655</v>
      </c>
      <c r="P616" s="369" t="s">
        <v>655</v>
      </c>
      <c r="Q616" s="369" t="s">
        <v>655</v>
      </c>
      <c r="R616" s="367" t="s">
        <v>2391</v>
      </c>
      <c r="S616" s="367">
        <v>4157545</v>
      </c>
      <c r="T616" s="483">
        <v>276.27</v>
      </c>
      <c r="U616" s="470"/>
      <c r="V616" s="483">
        <v>146.37</v>
      </c>
      <c r="W616" s="470"/>
      <c r="X616" s="470"/>
      <c r="Y616" s="370">
        <f t="shared" si="14"/>
        <v>146.37</v>
      </c>
      <c r="Z616" s="371">
        <v>4</v>
      </c>
    </row>
    <row r="617" spans="1:26" x14ac:dyDescent="0.25">
      <c r="A617" s="481">
        <v>42367</v>
      </c>
      <c r="B617" s="470"/>
      <c r="C617" s="380"/>
      <c r="F617" s="482" t="s">
        <v>2354</v>
      </c>
      <c r="G617" s="470"/>
      <c r="H617" s="369" t="s">
        <v>659</v>
      </c>
      <c r="I617" s="369" t="s">
        <v>2389</v>
      </c>
      <c r="J617" s="367" t="s">
        <v>2390</v>
      </c>
      <c r="K617" s="482" t="s">
        <v>931</v>
      </c>
      <c r="L617" s="470"/>
      <c r="M617" s="470"/>
      <c r="N617" s="369" t="s">
        <v>655</v>
      </c>
      <c r="O617" s="369" t="s">
        <v>655</v>
      </c>
      <c r="P617" s="369" t="s">
        <v>655</v>
      </c>
      <c r="Q617" s="369" t="s">
        <v>655</v>
      </c>
      <c r="R617" s="367" t="s">
        <v>2392</v>
      </c>
      <c r="S617" s="367">
        <v>4195843</v>
      </c>
      <c r="T617" s="483">
        <v>276.27</v>
      </c>
      <c r="U617" s="470"/>
      <c r="V617" s="483">
        <v>59.47</v>
      </c>
      <c r="W617" s="470"/>
      <c r="X617" s="470"/>
      <c r="Y617" s="370">
        <f t="shared" si="14"/>
        <v>59.47</v>
      </c>
      <c r="Z617" s="371"/>
    </row>
    <row r="618" spans="1:26" x14ac:dyDescent="0.25">
      <c r="A618" s="481">
        <v>42374</v>
      </c>
      <c r="B618" s="470"/>
      <c r="C618" s="380"/>
      <c r="F618" s="482" t="s">
        <v>2393</v>
      </c>
      <c r="G618" s="470"/>
      <c r="H618" s="369" t="s">
        <v>659</v>
      </c>
      <c r="I618" s="369" t="s">
        <v>721</v>
      </c>
      <c r="J618" s="367" t="s">
        <v>722</v>
      </c>
      <c r="K618" s="482" t="s">
        <v>723</v>
      </c>
      <c r="L618" s="470"/>
      <c r="M618" s="470"/>
      <c r="N618" s="369" t="s">
        <v>655</v>
      </c>
      <c r="O618" s="369" t="s">
        <v>655</v>
      </c>
      <c r="P618" s="369" t="s">
        <v>655</v>
      </c>
      <c r="Q618" s="369" t="s">
        <v>655</v>
      </c>
      <c r="R618" s="367" t="s">
        <v>2394</v>
      </c>
      <c r="S618" s="367">
        <v>4114015</v>
      </c>
      <c r="T618" s="483">
        <v>276.27</v>
      </c>
      <c r="U618" s="470"/>
      <c r="V618" s="483">
        <v>79.790000000000006</v>
      </c>
      <c r="W618" s="470"/>
      <c r="X618" s="470"/>
      <c r="Y618" s="370">
        <f t="shared" si="14"/>
        <v>79.790000000000006</v>
      </c>
      <c r="Z618" s="371">
        <v>3</v>
      </c>
    </row>
    <row r="619" spans="1:26" x14ac:dyDescent="0.25">
      <c r="A619" s="481">
        <v>42375</v>
      </c>
      <c r="B619" s="470"/>
      <c r="C619" s="380"/>
      <c r="F619" s="482" t="s">
        <v>2395</v>
      </c>
      <c r="G619" s="470"/>
      <c r="H619" s="369" t="s">
        <v>659</v>
      </c>
      <c r="I619" s="369" t="s">
        <v>721</v>
      </c>
      <c r="J619" s="367" t="s">
        <v>722</v>
      </c>
      <c r="K619" s="482" t="s">
        <v>723</v>
      </c>
      <c r="L619" s="470"/>
      <c r="M619" s="470"/>
      <c r="N619" s="369" t="s">
        <v>655</v>
      </c>
      <c r="O619" s="369" t="s">
        <v>655</v>
      </c>
      <c r="P619" s="369" t="s">
        <v>655</v>
      </c>
      <c r="Q619" s="369" t="s">
        <v>655</v>
      </c>
      <c r="R619" s="367" t="s">
        <v>2396</v>
      </c>
      <c r="S619" s="367">
        <v>4113226</v>
      </c>
      <c r="T619" s="483">
        <v>276.27</v>
      </c>
      <c r="U619" s="470"/>
      <c r="V619" s="483">
        <v>0</v>
      </c>
      <c r="W619" s="470"/>
      <c r="X619" s="470"/>
      <c r="Y619" s="370">
        <f t="shared" si="14"/>
        <v>0</v>
      </c>
      <c r="Z619" s="371"/>
    </row>
    <row r="620" spans="1:26" ht="22.5" x14ac:dyDescent="0.25">
      <c r="A620" s="481">
        <v>42382</v>
      </c>
      <c r="B620" s="470"/>
      <c r="C620" s="380"/>
      <c r="F620" s="482" t="s">
        <v>2397</v>
      </c>
      <c r="G620" s="470"/>
      <c r="H620" s="369" t="s">
        <v>659</v>
      </c>
      <c r="I620" s="369" t="s">
        <v>2398</v>
      </c>
      <c r="J620" s="367" t="s">
        <v>2399</v>
      </c>
      <c r="K620" s="482" t="s">
        <v>2400</v>
      </c>
      <c r="L620" s="470"/>
      <c r="M620" s="470"/>
      <c r="N620" s="369" t="s">
        <v>1699</v>
      </c>
      <c r="O620" s="369" t="s">
        <v>655</v>
      </c>
      <c r="P620" s="369" t="s">
        <v>655</v>
      </c>
      <c r="Q620" s="369" t="s">
        <v>753</v>
      </c>
      <c r="R620" s="367" t="s">
        <v>2401</v>
      </c>
      <c r="S620" s="367">
        <v>4325948</v>
      </c>
      <c r="T620" s="483">
        <v>276.27</v>
      </c>
      <c r="U620" s="470"/>
      <c r="V620" s="483">
        <v>0</v>
      </c>
      <c r="W620" s="470"/>
      <c r="X620" s="470"/>
      <c r="Y620" s="370">
        <f t="shared" si="14"/>
        <v>0</v>
      </c>
      <c r="Z620" s="371"/>
    </row>
    <row r="621" spans="1:26" x14ac:dyDescent="0.25">
      <c r="A621" s="481">
        <v>42382</v>
      </c>
      <c r="B621" s="470"/>
      <c r="C621" s="380"/>
      <c r="F621" s="482" t="s">
        <v>2402</v>
      </c>
      <c r="G621" s="470"/>
      <c r="H621" s="369" t="s">
        <v>659</v>
      </c>
      <c r="I621" s="369" t="s">
        <v>2403</v>
      </c>
      <c r="J621" s="367" t="s">
        <v>2404</v>
      </c>
      <c r="K621" s="482" t="s">
        <v>1989</v>
      </c>
      <c r="L621" s="470"/>
      <c r="M621" s="470"/>
      <c r="N621" s="369" t="s">
        <v>655</v>
      </c>
      <c r="O621" s="369" t="s">
        <v>655</v>
      </c>
      <c r="P621" s="369" t="s">
        <v>655</v>
      </c>
      <c r="Q621" s="369" t="s">
        <v>655</v>
      </c>
      <c r="R621" s="367" t="s">
        <v>2405</v>
      </c>
      <c r="S621" s="367">
        <v>4195839</v>
      </c>
      <c r="T621" s="483">
        <v>276.27</v>
      </c>
      <c r="U621" s="470"/>
      <c r="V621" s="483">
        <v>88.95</v>
      </c>
      <c r="W621" s="470"/>
      <c r="X621" s="470"/>
      <c r="Y621" s="370">
        <f t="shared" si="14"/>
        <v>88.95</v>
      </c>
      <c r="Z621" s="371"/>
    </row>
    <row r="622" spans="1:26" x14ac:dyDescent="0.25">
      <c r="A622" s="481">
        <v>42383</v>
      </c>
      <c r="B622" s="470"/>
      <c r="C622" s="380"/>
      <c r="F622" s="482" t="s">
        <v>2331</v>
      </c>
      <c r="G622" s="470"/>
      <c r="H622" s="369" t="s">
        <v>659</v>
      </c>
      <c r="I622" s="369" t="s">
        <v>2406</v>
      </c>
      <c r="J622" s="367" t="s">
        <v>2407</v>
      </c>
      <c r="K622" s="482" t="s">
        <v>2408</v>
      </c>
      <c r="L622" s="470"/>
      <c r="M622" s="470"/>
      <c r="N622" s="369" t="s">
        <v>655</v>
      </c>
      <c r="O622" s="369" t="s">
        <v>655</v>
      </c>
      <c r="P622" s="369" t="s">
        <v>655</v>
      </c>
      <c r="Q622" s="369" t="s">
        <v>655</v>
      </c>
      <c r="R622" s="367" t="s">
        <v>2409</v>
      </c>
      <c r="S622" s="367">
        <v>4113210</v>
      </c>
      <c r="T622" s="483">
        <v>276.27</v>
      </c>
      <c r="U622" s="470"/>
      <c r="V622" s="483">
        <v>0</v>
      </c>
      <c r="W622" s="470"/>
      <c r="X622" s="470"/>
      <c r="Y622" s="370">
        <f t="shared" si="14"/>
        <v>0</v>
      </c>
      <c r="Z622" s="371"/>
    </row>
    <row r="623" spans="1:26" x14ac:dyDescent="0.25">
      <c r="A623" s="481">
        <v>42397</v>
      </c>
      <c r="B623" s="470"/>
      <c r="C623" s="380"/>
      <c r="F623" s="482" t="s">
        <v>2331</v>
      </c>
      <c r="G623" s="470"/>
      <c r="H623" s="369" t="s">
        <v>659</v>
      </c>
      <c r="I623" s="369" t="s">
        <v>1443</v>
      </c>
      <c r="J623" s="367" t="s">
        <v>1444</v>
      </c>
      <c r="K623" s="482" t="s">
        <v>1445</v>
      </c>
      <c r="L623" s="470"/>
      <c r="M623" s="470"/>
      <c r="N623" s="369" t="s">
        <v>655</v>
      </c>
      <c r="O623" s="369" t="s">
        <v>655</v>
      </c>
      <c r="P623" s="369" t="s">
        <v>655</v>
      </c>
      <c r="Q623" s="369" t="s">
        <v>655</v>
      </c>
      <c r="R623" s="367" t="s">
        <v>2410</v>
      </c>
      <c r="S623" s="367">
        <v>4187764</v>
      </c>
      <c r="T623" s="483">
        <v>276.27</v>
      </c>
      <c r="U623" s="470"/>
      <c r="V623" s="483">
        <v>0</v>
      </c>
      <c r="W623" s="470"/>
      <c r="X623" s="470"/>
      <c r="Y623" s="370">
        <f t="shared" si="14"/>
        <v>0</v>
      </c>
      <c r="Z623" s="371"/>
    </row>
    <row r="624" spans="1:26" x14ac:dyDescent="0.25">
      <c r="A624" s="481">
        <v>42398</v>
      </c>
      <c r="B624" s="470"/>
      <c r="C624" s="380"/>
      <c r="F624" s="482" t="s">
        <v>2402</v>
      </c>
      <c r="G624" s="470"/>
      <c r="H624" s="369" t="s">
        <v>659</v>
      </c>
      <c r="I624" s="369" t="s">
        <v>2403</v>
      </c>
      <c r="J624" s="367" t="s">
        <v>2404</v>
      </c>
      <c r="K624" s="482" t="s">
        <v>1989</v>
      </c>
      <c r="L624" s="470"/>
      <c r="M624" s="470"/>
      <c r="N624" s="369" t="s">
        <v>655</v>
      </c>
      <c r="O624" s="369" t="s">
        <v>655</v>
      </c>
      <c r="P624" s="369" t="s">
        <v>655</v>
      </c>
      <c r="Q624" s="369" t="s">
        <v>655</v>
      </c>
      <c r="R624" s="367" t="s">
        <v>2411</v>
      </c>
      <c r="S624" s="367">
        <v>4326398</v>
      </c>
      <c r="T624" s="483">
        <v>276.27</v>
      </c>
      <c r="U624" s="470"/>
      <c r="V624" s="483">
        <v>482.72</v>
      </c>
      <c r="W624" s="470"/>
      <c r="X624" s="470"/>
      <c r="Y624" s="370">
        <f t="shared" si="14"/>
        <v>482.72</v>
      </c>
      <c r="Z624" s="371"/>
    </row>
    <row r="625" spans="1:26" x14ac:dyDescent="0.25">
      <c r="A625" s="481">
        <v>42402</v>
      </c>
      <c r="B625" s="470"/>
      <c r="C625" s="380"/>
      <c r="F625" s="482" t="s">
        <v>2331</v>
      </c>
      <c r="G625" s="470"/>
      <c r="H625" s="369" t="s">
        <v>659</v>
      </c>
      <c r="I625" s="369" t="s">
        <v>2347</v>
      </c>
      <c r="J625" s="367" t="s">
        <v>2348</v>
      </c>
      <c r="K625" s="482" t="s">
        <v>738</v>
      </c>
      <c r="L625" s="470"/>
      <c r="M625" s="470"/>
      <c r="N625" s="369" t="s">
        <v>655</v>
      </c>
      <c r="O625" s="369" t="s">
        <v>655</v>
      </c>
      <c r="P625" s="369" t="s">
        <v>655</v>
      </c>
      <c r="Q625" s="369" t="s">
        <v>655</v>
      </c>
      <c r="R625" s="367" t="s">
        <v>2412</v>
      </c>
      <c r="S625" s="367">
        <v>4187772</v>
      </c>
      <c r="T625" s="483">
        <v>276.27</v>
      </c>
      <c r="U625" s="470"/>
      <c r="V625" s="483">
        <v>0</v>
      </c>
      <c r="W625" s="470"/>
      <c r="X625" s="470"/>
      <c r="Y625" s="370">
        <f t="shared" ref="Y625:Y663" si="15">IF(Q625="Y",V625,IF(V625&gt;T625,V625,T625))</f>
        <v>276.27</v>
      </c>
      <c r="Z625" s="371"/>
    </row>
    <row r="626" spans="1:26" x14ac:dyDescent="0.25">
      <c r="A626" s="481">
        <v>42404</v>
      </c>
      <c r="B626" s="470"/>
      <c r="C626" s="380"/>
      <c r="F626" s="482" t="s">
        <v>2331</v>
      </c>
      <c r="G626" s="470"/>
      <c r="H626" s="369" t="s">
        <v>659</v>
      </c>
      <c r="I626" s="369" t="s">
        <v>1420</v>
      </c>
      <c r="J626" s="367" t="s">
        <v>1421</v>
      </c>
      <c r="K626" s="482" t="s">
        <v>693</v>
      </c>
      <c r="L626" s="470"/>
      <c r="M626" s="470"/>
      <c r="N626" s="369" t="s">
        <v>655</v>
      </c>
      <c r="O626" s="369" t="s">
        <v>655</v>
      </c>
      <c r="P626" s="369" t="s">
        <v>655</v>
      </c>
      <c r="Q626" s="369" t="s">
        <v>655</v>
      </c>
      <c r="R626" s="367" t="s">
        <v>2413</v>
      </c>
      <c r="S626" s="367">
        <v>4367288</v>
      </c>
      <c r="T626" s="483">
        <v>276.27</v>
      </c>
      <c r="U626" s="470"/>
      <c r="V626" s="483">
        <v>0</v>
      </c>
      <c r="W626" s="470"/>
      <c r="X626" s="470"/>
      <c r="Y626" s="370">
        <f t="shared" si="15"/>
        <v>276.27</v>
      </c>
      <c r="Z626" s="371"/>
    </row>
    <row r="627" spans="1:26" x14ac:dyDescent="0.25">
      <c r="A627" s="481">
        <v>42410</v>
      </c>
      <c r="B627" s="470"/>
      <c r="C627" s="380"/>
      <c r="F627" s="482" t="s">
        <v>2414</v>
      </c>
      <c r="G627" s="470"/>
      <c r="H627" s="369" t="s">
        <v>659</v>
      </c>
      <c r="I627" s="369" t="s">
        <v>2380</v>
      </c>
      <c r="J627" s="367" t="s">
        <v>2381</v>
      </c>
      <c r="K627" s="482" t="s">
        <v>1001</v>
      </c>
      <c r="L627" s="470"/>
      <c r="M627" s="470"/>
      <c r="N627" s="369" t="s">
        <v>655</v>
      </c>
      <c r="O627" s="369" t="s">
        <v>655</v>
      </c>
      <c r="P627" s="369" t="s">
        <v>655</v>
      </c>
      <c r="Q627" s="369" t="s">
        <v>655</v>
      </c>
      <c r="R627" s="367" t="s">
        <v>2415</v>
      </c>
      <c r="S627" s="367">
        <v>4258284</v>
      </c>
      <c r="T627" s="483">
        <v>276.27</v>
      </c>
      <c r="U627" s="470"/>
      <c r="V627" s="483">
        <v>64.150000000000006</v>
      </c>
      <c r="W627" s="470"/>
      <c r="X627" s="470"/>
      <c r="Y627" s="370">
        <f t="shared" si="15"/>
        <v>276.27</v>
      </c>
      <c r="Z627" s="371"/>
    </row>
    <row r="628" spans="1:26" x14ac:dyDescent="0.25">
      <c r="A628" s="481">
        <v>42410</v>
      </c>
      <c r="B628" s="470"/>
      <c r="C628" s="380"/>
      <c r="F628" s="482" t="s">
        <v>2416</v>
      </c>
      <c r="G628" s="470"/>
      <c r="H628" s="369" t="s">
        <v>659</v>
      </c>
      <c r="I628" s="369" t="s">
        <v>2380</v>
      </c>
      <c r="J628" s="367" t="s">
        <v>2381</v>
      </c>
      <c r="K628" s="482" t="s">
        <v>1001</v>
      </c>
      <c r="L628" s="470"/>
      <c r="M628" s="470"/>
      <c r="N628" s="369" t="s">
        <v>655</v>
      </c>
      <c r="O628" s="369" t="s">
        <v>655</v>
      </c>
      <c r="P628" s="369" t="s">
        <v>655</v>
      </c>
      <c r="Q628" s="369" t="s">
        <v>655</v>
      </c>
      <c r="R628" s="367" t="s">
        <v>2417</v>
      </c>
      <c r="S628" s="367">
        <v>4622296</v>
      </c>
      <c r="T628" s="483">
        <v>276.27</v>
      </c>
      <c r="U628" s="470"/>
      <c r="V628" s="483">
        <v>0</v>
      </c>
      <c r="W628" s="470"/>
      <c r="X628" s="470"/>
      <c r="Y628" s="370">
        <f t="shared" si="15"/>
        <v>276.27</v>
      </c>
      <c r="Z628" s="371"/>
    </row>
    <row r="629" spans="1:26" x14ac:dyDescent="0.25">
      <c r="A629" s="481">
        <v>42419</v>
      </c>
      <c r="B629" s="470"/>
      <c r="C629" s="380"/>
      <c r="F629" s="482" t="s">
        <v>2418</v>
      </c>
      <c r="G629" s="470"/>
      <c r="H629" s="369" t="s">
        <v>659</v>
      </c>
      <c r="I629" s="369" t="s">
        <v>1743</v>
      </c>
      <c r="J629" s="367" t="s">
        <v>1744</v>
      </c>
      <c r="K629" s="482" t="s">
        <v>662</v>
      </c>
      <c r="L629" s="470"/>
      <c r="M629" s="470"/>
      <c r="N629" s="369" t="s">
        <v>655</v>
      </c>
      <c r="O629" s="369" t="s">
        <v>655</v>
      </c>
      <c r="P629" s="369" t="s">
        <v>655</v>
      </c>
      <c r="Q629" s="369" t="s">
        <v>655</v>
      </c>
      <c r="R629" s="367" t="s">
        <v>2419</v>
      </c>
      <c r="S629" s="367">
        <v>4585489</v>
      </c>
      <c r="T629" s="483">
        <v>276.27</v>
      </c>
      <c r="U629" s="470"/>
      <c r="V629" s="483">
        <v>81.680000000000007</v>
      </c>
      <c r="W629" s="470"/>
      <c r="X629" s="470"/>
      <c r="Y629" s="370">
        <f t="shared" si="15"/>
        <v>276.27</v>
      </c>
      <c r="Z629" s="371"/>
    </row>
    <row r="630" spans="1:26" x14ac:dyDescent="0.25">
      <c r="A630" s="481">
        <v>42419</v>
      </c>
      <c r="B630" s="470"/>
      <c r="C630" s="380"/>
      <c r="F630" s="482" t="s">
        <v>2402</v>
      </c>
      <c r="G630" s="470"/>
      <c r="H630" s="369" t="s">
        <v>659</v>
      </c>
      <c r="I630" s="369" t="s">
        <v>2403</v>
      </c>
      <c r="J630" s="367" t="s">
        <v>2404</v>
      </c>
      <c r="K630" s="482" t="s">
        <v>1989</v>
      </c>
      <c r="L630" s="470"/>
      <c r="M630" s="470"/>
      <c r="N630" s="369" t="s">
        <v>655</v>
      </c>
      <c r="O630" s="369" t="s">
        <v>655</v>
      </c>
      <c r="P630" s="369" t="s">
        <v>655</v>
      </c>
      <c r="Q630" s="369" t="s">
        <v>655</v>
      </c>
      <c r="R630" s="367" t="s">
        <v>2420</v>
      </c>
      <c r="S630" s="367">
        <v>4502295</v>
      </c>
      <c r="T630" s="483">
        <v>276.27</v>
      </c>
      <c r="U630" s="470"/>
      <c r="V630" s="483">
        <v>33.270000000000003</v>
      </c>
      <c r="W630" s="470"/>
      <c r="X630" s="470"/>
      <c r="Y630" s="370">
        <f t="shared" si="15"/>
        <v>276.27</v>
      </c>
      <c r="Z630" s="371"/>
    </row>
    <row r="631" spans="1:26" x14ac:dyDescent="0.25">
      <c r="A631" s="481">
        <v>42423</v>
      </c>
      <c r="B631" s="470"/>
      <c r="C631" s="380"/>
      <c r="F631" s="482" t="s">
        <v>2331</v>
      </c>
      <c r="G631" s="470"/>
      <c r="H631" s="369" t="s">
        <v>659</v>
      </c>
      <c r="I631" s="369" t="s">
        <v>2406</v>
      </c>
      <c r="J631" s="367" t="s">
        <v>2407</v>
      </c>
      <c r="K631" s="482" t="s">
        <v>2408</v>
      </c>
      <c r="L631" s="470"/>
      <c r="M631" s="470"/>
      <c r="N631" s="369" t="s">
        <v>655</v>
      </c>
      <c r="O631" s="369" t="s">
        <v>655</v>
      </c>
      <c r="P631" s="369" t="s">
        <v>655</v>
      </c>
      <c r="Q631" s="369" t="s">
        <v>655</v>
      </c>
      <c r="R631" s="367" t="s">
        <v>2421</v>
      </c>
      <c r="S631" s="367">
        <v>4587013</v>
      </c>
      <c r="T631" s="483">
        <v>276.27</v>
      </c>
      <c r="U631" s="470"/>
      <c r="V631" s="483">
        <v>0</v>
      </c>
      <c r="W631" s="470"/>
      <c r="X631" s="470"/>
      <c r="Y631" s="370">
        <f t="shared" si="15"/>
        <v>276.27</v>
      </c>
      <c r="Z631" s="371"/>
    </row>
    <row r="632" spans="1:26" x14ac:dyDescent="0.25">
      <c r="A632" s="481">
        <v>42425</v>
      </c>
      <c r="B632" s="470"/>
      <c r="C632" s="380"/>
      <c r="F632" s="482" t="s">
        <v>2422</v>
      </c>
      <c r="G632" s="470"/>
      <c r="H632" s="369" t="s">
        <v>659</v>
      </c>
      <c r="I632" s="369" t="s">
        <v>1760</v>
      </c>
      <c r="J632" s="367" t="s">
        <v>1761</v>
      </c>
      <c r="K632" s="482" t="s">
        <v>1353</v>
      </c>
      <c r="L632" s="470"/>
      <c r="M632" s="470"/>
      <c r="N632" s="369" t="s">
        <v>655</v>
      </c>
      <c r="O632" s="369" t="s">
        <v>655</v>
      </c>
      <c r="P632" s="369" t="s">
        <v>655</v>
      </c>
      <c r="Q632" s="369" t="s">
        <v>655</v>
      </c>
      <c r="R632" s="367" t="s">
        <v>2423</v>
      </c>
      <c r="S632" s="367">
        <v>4577873</v>
      </c>
      <c r="T632" s="483">
        <v>276.27</v>
      </c>
      <c r="U632" s="470"/>
      <c r="V632" s="483">
        <v>0</v>
      </c>
      <c r="W632" s="470"/>
      <c r="X632" s="470"/>
      <c r="Y632" s="370">
        <f t="shared" si="15"/>
        <v>276.27</v>
      </c>
      <c r="Z632" s="371"/>
    </row>
    <row r="633" spans="1:26" x14ac:dyDescent="0.25">
      <c r="A633" s="481">
        <v>42426</v>
      </c>
      <c r="B633" s="470"/>
      <c r="C633" s="380"/>
      <c r="F633" s="482" t="s">
        <v>2424</v>
      </c>
      <c r="G633" s="470"/>
      <c r="H633" s="369" t="s">
        <v>659</v>
      </c>
      <c r="I633" s="369" t="s">
        <v>2425</v>
      </c>
      <c r="J633" s="367" t="s">
        <v>2426</v>
      </c>
      <c r="K633" s="482" t="s">
        <v>2427</v>
      </c>
      <c r="L633" s="470"/>
      <c r="M633" s="470"/>
      <c r="N633" s="369" t="s">
        <v>655</v>
      </c>
      <c r="O633" s="369" t="s">
        <v>655</v>
      </c>
      <c r="P633" s="369" t="s">
        <v>655</v>
      </c>
      <c r="Q633" s="369" t="s">
        <v>655</v>
      </c>
      <c r="R633" s="367" t="s">
        <v>2428</v>
      </c>
      <c r="S633" s="367">
        <v>4621953</v>
      </c>
      <c r="T633" s="483">
        <v>276.27</v>
      </c>
      <c r="U633" s="470"/>
      <c r="V633" s="483">
        <v>0</v>
      </c>
      <c r="W633" s="470"/>
      <c r="X633" s="470"/>
      <c r="Y633" s="370">
        <f t="shared" si="15"/>
        <v>276.27</v>
      </c>
      <c r="Z633" s="371"/>
    </row>
    <row r="634" spans="1:26" x14ac:dyDescent="0.25">
      <c r="A634" s="481">
        <v>42430</v>
      </c>
      <c r="B634" s="470"/>
      <c r="C634" s="380"/>
      <c r="F634" s="482" t="s">
        <v>2429</v>
      </c>
      <c r="G634" s="470"/>
      <c r="H634" s="369" t="s">
        <v>659</v>
      </c>
      <c r="I634" s="369" t="s">
        <v>2430</v>
      </c>
      <c r="J634" s="367" t="s">
        <v>2431</v>
      </c>
      <c r="K634" s="482" t="s">
        <v>2432</v>
      </c>
      <c r="L634" s="470"/>
      <c r="M634" s="470"/>
      <c r="N634" s="369" t="s">
        <v>655</v>
      </c>
      <c r="O634" s="369" t="s">
        <v>655</v>
      </c>
      <c r="P634" s="369" t="s">
        <v>655</v>
      </c>
      <c r="Q634" s="369" t="s">
        <v>655</v>
      </c>
      <c r="R634" s="367" t="s">
        <v>2433</v>
      </c>
      <c r="S634" s="367">
        <v>4405177</v>
      </c>
      <c r="T634" s="483">
        <v>276.27</v>
      </c>
      <c r="U634" s="470"/>
      <c r="V634" s="483">
        <v>0</v>
      </c>
      <c r="W634" s="470"/>
      <c r="X634" s="470"/>
      <c r="Y634" s="370">
        <f t="shared" si="15"/>
        <v>276.27</v>
      </c>
      <c r="Z634" s="371"/>
    </row>
    <row r="635" spans="1:26" x14ac:dyDescent="0.25">
      <c r="A635" s="481">
        <v>42432</v>
      </c>
      <c r="B635" s="470"/>
      <c r="C635" s="380"/>
      <c r="F635" s="482" t="s">
        <v>2416</v>
      </c>
      <c r="G635" s="470"/>
      <c r="H635" s="369" t="s">
        <v>659</v>
      </c>
      <c r="I635" s="369" t="s">
        <v>2380</v>
      </c>
      <c r="J635" s="367" t="s">
        <v>2381</v>
      </c>
      <c r="K635" s="482" t="s">
        <v>1001</v>
      </c>
      <c r="L635" s="470"/>
      <c r="M635" s="470"/>
      <c r="N635" s="369" t="s">
        <v>655</v>
      </c>
      <c r="O635" s="369" t="s">
        <v>655</v>
      </c>
      <c r="P635" s="369" t="s">
        <v>655</v>
      </c>
      <c r="Q635" s="369" t="s">
        <v>655</v>
      </c>
      <c r="R635" s="367" t="s">
        <v>2434</v>
      </c>
      <c r="S635" s="367">
        <v>4689538</v>
      </c>
      <c r="T635" s="483">
        <v>276.27</v>
      </c>
      <c r="U635" s="470"/>
      <c r="V635" s="483">
        <v>92.75</v>
      </c>
      <c r="W635" s="470"/>
      <c r="X635" s="470"/>
      <c r="Y635" s="370">
        <f t="shared" si="15"/>
        <v>276.27</v>
      </c>
      <c r="Z635" s="371"/>
    </row>
    <row r="636" spans="1:26" x14ac:dyDescent="0.25">
      <c r="A636" s="481">
        <v>42433</v>
      </c>
      <c r="B636" s="470"/>
      <c r="C636" s="380"/>
      <c r="F636" s="482" t="s">
        <v>2418</v>
      </c>
      <c r="G636" s="470"/>
      <c r="H636" s="369" t="s">
        <v>659</v>
      </c>
      <c r="I636" s="369" t="s">
        <v>1743</v>
      </c>
      <c r="J636" s="367" t="s">
        <v>1744</v>
      </c>
      <c r="K636" s="482" t="s">
        <v>662</v>
      </c>
      <c r="L636" s="470"/>
      <c r="M636" s="470"/>
      <c r="N636" s="369" t="s">
        <v>655</v>
      </c>
      <c r="O636" s="369" t="s">
        <v>655</v>
      </c>
      <c r="P636" s="369" t="s">
        <v>655</v>
      </c>
      <c r="Q636" s="369" t="s">
        <v>655</v>
      </c>
      <c r="R636" s="367" t="s">
        <v>2435</v>
      </c>
      <c r="S636" s="367">
        <v>4689511</v>
      </c>
      <c r="T636" s="483">
        <v>276.27</v>
      </c>
      <c r="U636" s="470"/>
      <c r="V636" s="483">
        <v>0</v>
      </c>
      <c r="W636" s="470"/>
      <c r="X636" s="470"/>
      <c r="Y636" s="370">
        <f t="shared" si="15"/>
        <v>276.27</v>
      </c>
      <c r="Z636" s="371"/>
    </row>
    <row r="637" spans="1:26" x14ac:dyDescent="0.25">
      <c r="A637" s="481">
        <v>42444</v>
      </c>
      <c r="B637" s="470"/>
      <c r="C637" s="380"/>
      <c r="F637" s="482" t="s">
        <v>2436</v>
      </c>
      <c r="G637" s="470"/>
      <c r="H637" s="369" t="s">
        <v>659</v>
      </c>
      <c r="I637" s="369" t="s">
        <v>2437</v>
      </c>
      <c r="J637" s="367" t="s">
        <v>2438</v>
      </c>
      <c r="K637" s="482" t="s">
        <v>2439</v>
      </c>
      <c r="L637" s="470"/>
      <c r="M637" s="470"/>
      <c r="N637" s="369" t="s">
        <v>655</v>
      </c>
      <c r="O637" s="369" t="s">
        <v>655</v>
      </c>
      <c r="P637" s="369" t="s">
        <v>655</v>
      </c>
      <c r="Q637" s="369" t="s">
        <v>753</v>
      </c>
      <c r="R637" s="367" t="s">
        <v>2440</v>
      </c>
      <c r="S637" s="367">
        <v>4731330</v>
      </c>
      <c r="T637" s="483">
        <v>276.27</v>
      </c>
      <c r="U637" s="470"/>
      <c r="V637" s="483">
        <v>0</v>
      </c>
      <c r="W637" s="470"/>
      <c r="X637" s="470"/>
      <c r="Y637" s="370">
        <f t="shared" si="15"/>
        <v>0</v>
      </c>
      <c r="Z637" s="371"/>
    </row>
    <row r="638" spans="1:26" x14ac:dyDescent="0.25">
      <c r="A638" s="481">
        <v>42444</v>
      </c>
      <c r="B638" s="470"/>
      <c r="C638" s="380"/>
      <c r="F638" s="482" t="s">
        <v>2441</v>
      </c>
      <c r="G638" s="470"/>
      <c r="H638" s="369" t="s">
        <v>659</v>
      </c>
      <c r="I638" s="369" t="s">
        <v>2442</v>
      </c>
      <c r="J638" s="367" t="s">
        <v>2443</v>
      </c>
      <c r="K638" s="482" t="s">
        <v>701</v>
      </c>
      <c r="L638" s="470"/>
      <c r="M638" s="470"/>
      <c r="N638" s="369" t="s">
        <v>655</v>
      </c>
      <c r="O638" s="369" t="s">
        <v>655</v>
      </c>
      <c r="P638" s="369" t="s">
        <v>655</v>
      </c>
      <c r="Q638" s="369" t="s">
        <v>655</v>
      </c>
      <c r="R638" s="367" t="s">
        <v>2444</v>
      </c>
      <c r="S638" s="367">
        <v>4720150</v>
      </c>
      <c r="T638" s="483">
        <v>276.27</v>
      </c>
      <c r="U638" s="470"/>
      <c r="V638" s="483">
        <v>0</v>
      </c>
      <c r="W638" s="470"/>
      <c r="X638" s="470"/>
      <c r="Y638" s="370">
        <f t="shared" si="15"/>
        <v>276.27</v>
      </c>
      <c r="Z638" s="371"/>
    </row>
    <row r="639" spans="1:26" x14ac:dyDescent="0.25">
      <c r="A639" s="481">
        <v>42458</v>
      </c>
      <c r="B639" s="470"/>
      <c r="C639" s="380"/>
      <c r="F639" s="482" t="s">
        <v>2445</v>
      </c>
      <c r="G639" s="470"/>
      <c r="H639" s="369" t="s">
        <v>659</v>
      </c>
      <c r="I639" s="369" t="s">
        <v>765</v>
      </c>
      <c r="J639" s="367" t="s">
        <v>766</v>
      </c>
      <c r="K639" s="482" t="s">
        <v>767</v>
      </c>
      <c r="L639" s="470"/>
      <c r="M639" s="470"/>
      <c r="N639" s="369" t="s">
        <v>655</v>
      </c>
      <c r="O639" s="369" t="s">
        <v>655</v>
      </c>
      <c r="P639" s="369" t="s">
        <v>655</v>
      </c>
      <c r="Q639" s="369" t="s">
        <v>655</v>
      </c>
      <c r="R639" s="367" t="s">
        <v>2446</v>
      </c>
      <c r="S639" s="367">
        <v>4770912</v>
      </c>
      <c r="T639" s="483">
        <v>276.27</v>
      </c>
      <c r="U639" s="470"/>
      <c r="V639" s="483">
        <v>0</v>
      </c>
      <c r="W639" s="470"/>
      <c r="X639" s="470"/>
      <c r="Y639" s="370">
        <f t="shared" si="15"/>
        <v>276.27</v>
      </c>
      <c r="Z639" s="371">
        <v>1</v>
      </c>
    </row>
    <row r="640" spans="1:26" x14ac:dyDescent="0.25">
      <c r="A640" s="481">
        <v>42465</v>
      </c>
      <c r="B640" s="470"/>
      <c r="C640" s="380"/>
      <c r="F640" s="482" t="s">
        <v>2331</v>
      </c>
      <c r="G640" s="470"/>
      <c r="H640" s="369" t="s">
        <v>659</v>
      </c>
      <c r="I640" s="369" t="s">
        <v>2447</v>
      </c>
      <c r="J640" s="367" t="s">
        <v>2448</v>
      </c>
      <c r="K640" s="482" t="s">
        <v>2230</v>
      </c>
      <c r="L640" s="470"/>
      <c r="M640" s="470"/>
      <c r="N640" s="369" t="s">
        <v>655</v>
      </c>
      <c r="O640" s="369" t="s">
        <v>655</v>
      </c>
      <c r="P640" s="369" t="s">
        <v>655</v>
      </c>
      <c r="Q640" s="369" t="s">
        <v>655</v>
      </c>
      <c r="R640" s="367" t="s">
        <v>2449</v>
      </c>
      <c r="S640" s="367">
        <v>4842416</v>
      </c>
      <c r="T640" s="483">
        <v>276.27</v>
      </c>
      <c r="U640" s="470"/>
      <c r="V640" s="483">
        <v>0</v>
      </c>
      <c r="W640" s="470"/>
      <c r="X640" s="470"/>
      <c r="Y640" s="370">
        <f t="shared" si="15"/>
        <v>276.27</v>
      </c>
      <c r="Z640" s="371"/>
    </row>
    <row r="641" spans="1:26" x14ac:dyDescent="0.25">
      <c r="A641" s="481">
        <v>42466</v>
      </c>
      <c r="B641" s="470"/>
      <c r="C641" s="380"/>
      <c r="F641" s="482" t="s">
        <v>2450</v>
      </c>
      <c r="G641" s="470"/>
      <c r="H641" s="369" t="s">
        <v>659</v>
      </c>
      <c r="I641" s="369" t="s">
        <v>2451</v>
      </c>
      <c r="J641" s="367" t="s">
        <v>701</v>
      </c>
      <c r="K641" s="482" t="s">
        <v>2452</v>
      </c>
      <c r="L641" s="470"/>
      <c r="M641" s="470"/>
      <c r="N641" s="369" t="s">
        <v>655</v>
      </c>
      <c r="O641" s="369" t="s">
        <v>655</v>
      </c>
      <c r="P641" s="369" t="s">
        <v>655</v>
      </c>
      <c r="Q641" s="369" t="s">
        <v>655</v>
      </c>
      <c r="R641" s="367" t="s">
        <v>2453</v>
      </c>
      <c r="S641" s="367">
        <v>4853024</v>
      </c>
      <c r="T641" s="483">
        <v>276.27</v>
      </c>
      <c r="U641" s="470"/>
      <c r="V641" s="483">
        <v>0</v>
      </c>
      <c r="W641" s="470"/>
      <c r="X641" s="470"/>
      <c r="Y641" s="370">
        <f t="shared" si="15"/>
        <v>276.27</v>
      </c>
      <c r="Z641" s="371"/>
    </row>
    <row r="642" spans="1:26" x14ac:dyDescent="0.25">
      <c r="A642" s="481">
        <v>42466</v>
      </c>
      <c r="B642" s="470"/>
      <c r="C642" s="380"/>
      <c r="F642" s="482" t="s">
        <v>2454</v>
      </c>
      <c r="G642" s="470"/>
      <c r="H642" s="369" t="s">
        <v>659</v>
      </c>
      <c r="I642" s="369" t="s">
        <v>769</v>
      </c>
      <c r="J642" s="367" t="s">
        <v>770</v>
      </c>
      <c r="K642" s="482" t="s">
        <v>771</v>
      </c>
      <c r="L642" s="470"/>
      <c r="M642" s="470"/>
      <c r="N642" s="369" t="s">
        <v>655</v>
      </c>
      <c r="O642" s="369" t="s">
        <v>655</v>
      </c>
      <c r="P642" s="369" t="s">
        <v>655</v>
      </c>
      <c r="Q642" s="369" t="s">
        <v>655</v>
      </c>
      <c r="R642" s="367" t="s">
        <v>2455</v>
      </c>
      <c r="S642" s="367">
        <v>4853269</v>
      </c>
      <c r="T642" s="483">
        <v>276.27</v>
      </c>
      <c r="U642" s="470"/>
      <c r="V642" s="483">
        <v>0</v>
      </c>
      <c r="W642" s="470"/>
      <c r="X642" s="470"/>
      <c r="Y642" s="370">
        <f t="shared" si="15"/>
        <v>276.27</v>
      </c>
      <c r="Z642" s="371"/>
    </row>
    <row r="643" spans="1:26" x14ac:dyDescent="0.25">
      <c r="A643" s="481">
        <v>42467</v>
      </c>
      <c r="B643" s="470"/>
      <c r="C643" s="380"/>
      <c r="F643" s="482" t="s">
        <v>2456</v>
      </c>
      <c r="G643" s="470"/>
      <c r="H643" s="369" t="s">
        <v>659</v>
      </c>
      <c r="I643" s="369" t="s">
        <v>1760</v>
      </c>
      <c r="J643" s="367" t="s">
        <v>1761</v>
      </c>
      <c r="K643" s="482" t="s">
        <v>1353</v>
      </c>
      <c r="L643" s="470"/>
      <c r="M643" s="470"/>
      <c r="N643" s="369" t="s">
        <v>655</v>
      </c>
      <c r="O643" s="369" t="s">
        <v>655</v>
      </c>
      <c r="P643" s="369" t="s">
        <v>655</v>
      </c>
      <c r="Q643" s="369" t="s">
        <v>655</v>
      </c>
      <c r="R643" s="367" t="s">
        <v>2457</v>
      </c>
      <c r="S643" s="367">
        <v>4853076</v>
      </c>
      <c r="T643" s="483">
        <v>276.27</v>
      </c>
      <c r="U643" s="470"/>
      <c r="V643" s="483">
        <v>0</v>
      </c>
      <c r="W643" s="470"/>
      <c r="X643" s="470"/>
      <c r="Y643" s="370">
        <f t="shared" si="15"/>
        <v>276.27</v>
      </c>
      <c r="Z643" s="371"/>
    </row>
    <row r="644" spans="1:26" x14ac:dyDescent="0.25">
      <c r="A644" s="481">
        <v>42468</v>
      </c>
      <c r="B644" s="470"/>
      <c r="C644" s="380"/>
      <c r="F644" s="482" t="s">
        <v>2458</v>
      </c>
      <c r="G644" s="470"/>
      <c r="H644" s="369" t="s">
        <v>659</v>
      </c>
      <c r="I644" s="369" t="s">
        <v>2459</v>
      </c>
      <c r="J644" s="367" t="s">
        <v>2460</v>
      </c>
      <c r="K644" s="482" t="s">
        <v>2461</v>
      </c>
      <c r="L644" s="470"/>
      <c r="M644" s="470"/>
      <c r="N644" s="369" t="s">
        <v>1699</v>
      </c>
      <c r="O644" s="369" t="s">
        <v>655</v>
      </c>
      <c r="P644" s="369" t="s">
        <v>655</v>
      </c>
      <c r="Q644" s="369" t="s">
        <v>655</v>
      </c>
      <c r="R644" s="367" t="s">
        <v>2462</v>
      </c>
      <c r="S644" s="367">
        <v>4845597</v>
      </c>
      <c r="T644" s="483">
        <v>276.27</v>
      </c>
      <c r="U644" s="470"/>
      <c r="V644" s="483">
        <v>79.62</v>
      </c>
      <c r="W644" s="470"/>
      <c r="X644" s="470"/>
      <c r="Y644" s="370">
        <f t="shared" si="15"/>
        <v>276.27</v>
      </c>
      <c r="Z644" s="371"/>
    </row>
    <row r="645" spans="1:26" x14ac:dyDescent="0.25">
      <c r="A645" s="481">
        <v>42471</v>
      </c>
      <c r="B645" s="470"/>
      <c r="C645" s="380"/>
      <c r="F645" s="482" t="s">
        <v>2463</v>
      </c>
      <c r="G645" s="470"/>
      <c r="H645" s="369" t="s">
        <v>659</v>
      </c>
      <c r="I645" s="369" t="s">
        <v>2380</v>
      </c>
      <c r="J645" s="367" t="s">
        <v>2381</v>
      </c>
      <c r="K645" s="482" t="s">
        <v>1001</v>
      </c>
      <c r="L645" s="470"/>
      <c r="M645" s="470"/>
      <c r="N645" s="369" t="s">
        <v>655</v>
      </c>
      <c r="O645" s="369" t="s">
        <v>655</v>
      </c>
      <c r="P645" s="369" t="s">
        <v>655</v>
      </c>
      <c r="Q645" s="369" t="s">
        <v>655</v>
      </c>
      <c r="R645" s="367" t="s">
        <v>2464</v>
      </c>
      <c r="S645" s="367">
        <v>4888553</v>
      </c>
      <c r="T645" s="483">
        <v>276.27</v>
      </c>
      <c r="U645" s="470"/>
      <c r="V645" s="483">
        <v>0</v>
      </c>
      <c r="W645" s="470"/>
      <c r="X645" s="470"/>
      <c r="Y645" s="370">
        <f t="shared" si="15"/>
        <v>276.27</v>
      </c>
      <c r="Z645" s="371"/>
    </row>
    <row r="646" spans="1:26" x14ac:dyDescent="0.25">
      <c r="A646" s="481">
        <v>42472</v>
      </c>
      <c r="B646" s="470"/>
      <c r="C646" s="380"/>
      <c r="F646" s="482" t="s">
        <v>2331</v>
      </c>
      <c r="G646" s="470"/>
      <c r="H646" s="369" t="s">
        <v>659</v>
      </c>
      <c r="I646" s="369" t="s">
        <v>2465</v>
      </c>
      <c r="J646" s="367" t="s">
        <v>2466</v>
      </c>
      <c r="K646" s="482" t="s">
        <v>2105</v>
      </c>
      <c r="L646" s="470"/>
      <c r="M646" s="470"/>
      <c r="N646" s="369" t="s">
        <v>655</v>
      </c>
      <c r="O646" s="369" t="s">
        <v>655</v>
      </c>
      <c r="P646" s="369" t="s">
        <v>655</v>
      </c>
      <c r="Q646" s="369" t="s">
        <v>655</v>
      </c>
      <c r="R646" s="367" t="s">
        <v>2467</v>
      </c>
      <c r="S646" s="367">
        <v>4842418</v>
      </c>
      <c r="T646" s="483">
        <v>276.27</v>
      </c>
      <c r="U646" s="470"/>
      <c r="V646" s="483">
        <v>0</v>
      </c>
      <c r="W646" s="470"/>
      <c r="X646" s="470"/>
      <c r="Y646" s="370">
        <f t="shared" si="15"/>
        <v>276.27</v>
      </c>
      <c r="Z646" s="371"/>
    </row>
    <row r="647" spans="1:26" x14ac:dyDescent="0.25">
      <c r="A647" s="481">
        <v>42474</v>
      </c>
      <c r="B647" s="470"/>
      <c r="C647" s="380"/>
      <c r="F647" s="482" t="s">
        <v>2331</v>
      </c>
      <c r="G647" s="470"/>
      <c r="H647" s="369" t="s">
        <v>659</v>
      </c>
      <c r="I647" s="369" t="s">
        <v>1443</v>
      </c>
      <c r="J647" s="367" t="s">
        <v>1444</v>
      </c>
      <c r="K647" s="482" t="s">
        <v>1445</v>
      </c>
      <c r="L647" s="470"/>
      <c r="M647" s="470"/>
      <c r="N647" s="369" t="s">
        <v>655</v>
      </c>
      <c r="O647" s="369" t="s">
        <v>655</v>
      </c>
      <c r="P647" s="369" t="s">
        <v>655</v>
      </c>
      <c r="Q647" s="369" t="s">
        <v>655</v>
      </c>
      <c r="R647" s="367" t="s">
        <v>2468</v>
      </c>
      <c r="S647" s="367">
        <v>4842419</v>
      </c>
      <c r="T647" s="483">
        <v>276.27</v>
      </c>
      <c r="U647" s="470"/>
      <c r="V647" s="483">
        <v>0</v>
      </c>
      <c r="W647" s="470"/>
      <c r="X647" s="470"/>
      <c r="Y647" s="370">
        <f t="shared" si="15"/>
        <v>276.27</v>
      </c>
      <c r="Z647" s="371"/>
    </row>
    <row r="648" spans="1:26" x14ac:dyDescent="0.25">
      <c r="A648" s="481">
        <v>42475</v>
      </c>
      <c r="B648" s="470"/>
      <c r="C648" s="380"/>
      <c r="F648" s="482" t="s">
        <v>2469</v>
      </c>
      <c r="G648" s="470"/>
      <c r="H648" s="369" t="s">
        <v>659</v>
      </c>
      <c r="I648" s="369" t="s">
        <v>2056</v>
      </c>
      <c r="J648" s="367" t="s">
        <v>2057</v>
      </c>
      <c r="K648" s="482" t="s">
        <v>2058</v>
      </c>
      <c r="L648" s="470"/>
      <c r="M648" s="470"/>
      <c r="N648" s="369" t="s">
        <v>655</v>
      </c>
      <c r="O648" s="369" t="s">
        <v>655</v>
      </c>
      <c r="P648" s="369" t="s">
        <v>655</v>
      </c>
      <c r="Q648" s="369" t="s">
        <v>655</v>
      </c>
      <c r="R648" s="367" t="s">
        <v>2470</v>
      </c>
      <c r="S648" s="367">
        <v>4939653</v>
      </c>
      <c r="T648" s="483">
        <v>276.27</v>
      </c>
      <c r="U648" s="470"/>
      <c r="V648" s="483">
        <v>145.30000000000001</v>
      </c>
      <c r="W648" s="470"/>
      <c r="X648" s="470"/>
      <c r="Y648" s="370">
        <f t="shared" si="15"/>
        <v>276.27</v>
      </c>
      <c r="Z648" s="371"/>
    </row>
    <row r="649" spans="1:26" x14ac:dyDescent="0.25">
      <c r="A649" s="481">
        <v>42479</v>
      </c>
      <c r="B649" s="470"/>
      <c r="C649" s="380"/>
      <c r="F649" s="482" t="s">
        <v>2331</v>
      </c>
      <c r="G649" s="470"/>
      <c r="H649" s="369" t="s">
        <v>659</v>
      </c>
      <c r="I649" s="369" t="s">
        <v>2471</v>
      </c>
      <c r="J649" s="367" t="s">
        <v>1008</v>
      </c>
      <c r="K649" s="482" t="s">
        <v>861</v>
      </c>
      <c r="L649" s="470"/>
      <c r="M649" s="470"/>
      <c r="N649" s="369" t="s">
        <v>655</v>
      </c>
      <c r="O649" s="369" t="s">
        <v>655</v>
      </c>
      <c r="P649" s="369" t="s">
        <v>655</v>
      </c>
      <c r="Q649" s="369" t="s">
        <v>655</v>
      </c>
      <c r="R649" s="367" t="s">
        <v>2472</v>
      </c>
      <c r="S649" s="367">
        <v>4842421</v>
      </c>
      <c r="T649" s="483">
        <v>276.27</v>
      </c>
      <c r="U649" s="470"/>
      <c r="V649" s="483">
        <v>0</v>
      </c>
      <c r="W649" s="470"/>
      <c r="X649" s="470"/>
      <c r="Y649" s="370">
        <f t="shared" si="15"/>
        <v>276.27</v>
      </c>
      <c r="Z649" s="371"/>
    </row>
    <row r="650" spans="1:26" x14ac:dyDescent="0.25">
      <c r="A650" s="481">
        <v>42481</v>
      </c>
      <c r="B650" s="470"/>
      <c r="C650" s="380"/>
      <c r="F650" s="482" t="s">
        <v>2473</v>
      </c>
      <c r="G650" s="470"/>
      <c r="H650" s="369" t="s">
        <v>659</v>
      </c>
      <c r="I650" s="369" t="s">
        <v>2474</v>
      </c>
      <c r="J650" s="367" t="s">
        <v>2475</v>
      </c>
      <c r="K650" s="482" t="s">
        <v>2214</v>
      </c>
      <c r="L650" s="470"/>
      <c r="M650" s="470"/>
      <c r="N650" s="369" t="s">
        <v>1699</v>
      </c>
      <c r="O650" s="369" t="s">
        <v>655</v>
      </c>
      <c r="P650" s="369" t="s">
        <v>655</v>
      </c>
      <c r="Q650" s="369" t="s">
        <v>655</v>
      </c>
      <c r="R650" s="367" t="s">
        <v>2476</v>
      </c>
      <c r="S650" s="367">
        <v>4853058</v>
      </c>
      <c r="T650" s="483">
        <v>276.27</v>
      </c>
      <c r="U650" s="470"/>
      <c r="V650" s="483">
        <v>0</v>
      </c>
      <c r="W650" s="470"/>
      <c r="X650" s="470"/>
      <c r="Y650" s="370">
        <f t="shared" si="15"/>
        <v>276.27</v>
      </c>
      <c r="Z650" s="371"/>
    </row>
    <row r="651" spans="1:26" x14ac:dyDescent="0.25">
      <c r="A651" s="481">
        <v>42487</v>
      </c>
      <c r="B651" s="470"/>
      <c r="C651" s="380"/>
      <c r="F651" s="482" t="s">
        <v>2469</v>
      </c>
      <c r="G651" s="470"/>
      <c r="H651" s="369" t="s">
        <v>659</v>
      </c>
      <c r="I651" s="369" t="s">
        <v>2056</v>
      </c>
      <c r="J651" s="367" t="s">
        <v>2057</v>
      </c>
      <c r="K651" s="482" t="s">
        <v>2058</v>
      </c>
      <c r="L651" s="470"/>
      <c r="M651" s="470"/>
      <c r="N651" s="369" t="s">
        <v>655</v>
      </c>
      <c r="O651" s="369" t="s">
        <v>655</v>
      </c>
      <c r="P651" s="369" t="s">
        <v>655</v>
      </c>
      <c r="Q651" s="369" t="s">
        <v>655</v>
      </c>
      <c r="R651" s="367" t="s">
        <v>2477</v>
      </c>
      <c r="S651" s="367">
        <v>4970937</v>
      </c>
      <c r="T651" s="483">
        <v>276.27</v>
      </c>
      <c r="U651" s="470"/>
      <c r="V651" s="483">
        <v>104.91</v>
      </c>
      <c r="W651" s="470"/>
      <c r="X651" s="470"/>
      <c r="Y651" s="370">
        <f t="shared" si="15"/>
        <v>276.27</v>
      </c>
      <c r="Z651" s="371"/>
    </row>
    <row r="652" spans="1:26" x14ac:dyDescent="0.25">
      <c r="A652" s="481">
        <v>42489</v>
      </c>
      <c r="B652" s="470"/>
      <c r="C652" s="380"/>
      <c r="F652" s="482" t="s">
        <v>2478</v>
      </c>
      <c r="G652" s="470"/>
      <c r="H652" s="369" t="s">
        <v>659</v>
      </c>
      <c r="I652" s="369" t="s">
        <v>2479</v>
      </c>
      <c r="J652" s="367" t="s">
        <v>1173</v>
      </c>
      <c r="K652" s="482" t="s">
        <v>2480</v>
      </c>
      <c r="L652" s="470"/>
      <c r="M652" s="470"/>
      <c r="N652" s="369" t="s">
        <v>655</v>
      </c>
      <c r="O652" s="369" t="s">
        <v>655</v>
      </c>
      <c r="P652" s="369" t="s">
        <v>655</v>
      </c>
      <c r="Q652" s="369" t="s">
        <v>655</v>
      </c>
      <c r="R652" s="367" t="s">
        <v>2481</v>
      </c>
      <c r="S652" s="367">
        <v>4887569</v>
      </c>
      <c r="T652" s="483">
        <v>276.27</v>
      </c>
      <c r="U652" s="470"/>
      <c r="V652" s="483">
        <v>192.47</v>
      </c>
      <c r="W652" s="470"/>
      <c r="X652" s="470"/>
      <c r="Y652" s="370">
        <f t="shared" si="15"/>
        <v>276.27</v>
      </c>
      <c r="Z652" s="371"/>
    </row>
    <row r="653" spans="1:26" x14ac:dyDescent="0.25">
      <c r="A653" s="481">
        <v>42495</v>
      </c>
      <c r="B653" s="470"/>
      <c r="C653" s="380"/>
      <c r="F653" s="482" t="s">
        <v>2331</v>
      </c>
      <c r="G653" s="470"/>
      <c r="H653" s="369" t="s">
        <v>659</v>
      </c>
      <c r="I653" s="369" t="s">
        <v>2482</v>
      </c>
      <c r="J653" s="367" t="s">
        <v>2483</v>
      </c>
      <c r="K653" s="482" t="s">
        <v>1500</v>
      </c>
      <c r="L653" s="470"/>
      <c r="M653" s="470"/>
      <c r="N653" s="369" t="s">
        <v>655</v>
      </c>
      <c r="O653" s="369" t="s">
        <v>655</v>
      </c>
      <c r="P653" s="369" t="s">
        <v>655</v>
      </c>
      <c r="Q653" s="369" t="s">
        <v>655</v>
      </c>
      <c r="R653" s="367" t="s">
        <v>2484</v>
      </c>
      <c r="S653" s="367">
        <v>4986174</v>
      </c>
      <c r="T653" s="483">
        <v>276.27</v>
      </c>
      <c r="U653" s="470"/>
      <c r="V653" s="483">
        <v>0</v>
      </c>
      <c r="W653" s="470"/>
      <c r="X653" s="470"/>
      <c r="Y653" s="370">
        <f t="shared" si="15"/>
        <v>276.27</v>
      </c>
      <c r="Z653" s="371"/>
    </row>
    <row r="654" spans="1:26" x14ac:dyDescent="0.25">
      <c r="A654" s="481">
        <v>42496</v>
      </c>
      <c r="B654" s="470"/>
      <c r="C654" s="380"/>
      <c r="F654" s="482" t="s">
        <v>2458</v>
      </c>
      <c r="G654" s="470"/>
      <c r="H654" s="369" t="s">
        <v>659</v>
      </c>
      <c r="I654" s="369" t="s">
        <v>2459</v>
      </c>
      <c r="J654" s="367" t="s">
        <v>2460</v>
      </c>
      <c r="K654" s="482" t="s">
        <v>2461</v>
      </c>
      <c r="L654" s="470"/>
      <c r="M654" s="470"/>
      <c r="N654" s="369" t="s">
        <v>655</v>
      </c>
      <c r="O654" s="369" t="s">
        <v>655</v>
      </c>
      <c r="P654" s="369" t="s">
        <v>655</v>
      </c>
      <c r="Q654" s="369" t="s">
        <v>753</v>
      </c>
      <c r="R654" s="367" t="s">
        <v>2485</v>
      </c>
      <c r="S654" s="367">
        <v>4999927</v>
      </c>
      <c r="T654" s="483">
        <v>276.27</v>
      </c>
      <c r="U654" s="470"/>
      <c r="V654" s="483">
        <v>0</v>
      </c>
      <c r="W654" s="470"/>
      <c r="X654" s="470"/>
      <c r="Y654" s="370">
        <f t="shared" si="15"/>
        <v>0</v>
      </c>
      <c r="Z654" s="371"/>
    </row>
    <row r="655" spans="1:26" x14ac:dyDescent="0.25">
      <c r="A655" s="481">
        <v>42500</v>
      </c>
      <c r="B655" s="470"/>
      <c r="C655" s="380"/>
      <c r="F655" s="482" t="s">
        <v>2450</v>
      </c>
      <c r="G655" s="470"/>
      <c r="H655" s="369" t="s">
        <v>659</v>
      </c>
      <c r="I655" s="369" t="s">
        <v>2451</v>
      </c>
      <c r="J655" s="367" t="s">
        <v>701</v>
      </c>
      <c r="K655" s="482" t="s">
        <v>2452</v>
      </c>
      <c r="L655" s="470"/>
      <c r="M655" s="470"/>
      <c r="N655" s="369" t="s">
        <v>655</v>
      </c>
      <c r="O655" s="369" t="s">
        <v>655</v>
      </c>
      <c r="P655" s="369" t="s">
        <v>655</v>
      </c>
      <c r="Q655" s="369" t="s">
        <v>655</v>
      </c>
      <c r="R655" s="367" t="s">
        <v>2486</v>
      </c>
      <c r="S655" s="367">
        <v>5068756</v>
      </c>
      <c r="T655" s="483">
        <v>276.27</v>
      </c>
      <c r="U655" s="470"/>
      <c r="V655" s="483">
        <v>33.270000000000003</v>
      </c>
      <c r="W655" s="470"/>
      <c r="X655" s="470"/>
      <c r="Y655" s="370">
        <f t="shared" si="15"/>
        <v>276.27</v>
      </c>
      <c r="Z655" s="371"/>
    </row>
    <row r="656" spans="1:26" x14ac:dyDescent="0.25">
      <c r="A656" s="481">
        <v>42500</v>
      </c>
      <c r="B656" s="470"/>
      <c r="C656" s="380"/>
      <c r="F656" s="482" t="s">
        <v>2331</v>
      </c>
      <c r="G656" s="470"/>
      <c r="H656" s="369" t="s">
        <v>659</v>
      </c>
      <c r="I656" s="369" t="s">
        <v>2487</v>
      </c>
      <c r="J656" s="367" t="s">
        <v>1467</v>
      </c>
      <c r="K656" s="482" t="s">
        <v>2488</v>
      </c>
      <c r="L656" s="470"/>
      <c r="M656" s="470"/>
      <c r="N656" s="369" t="s">
        <v>655</v>
      </c>
      <c r="O656" s="369" t="s">
        <v>655</v>
      </c>
      <c r="P656" s="369" t="s">
        <v>655</v>
      </c>
      <c r="Q656" s="369" t="s">
        <v>655</v>
      </c>
      <c r="R656" s="367" t="s">
        <v>2489</v>
      </c>
      <c r="S656" s="367">
        <v>4986192</v>
      </c>
      <c r="T656" s="483">
        <v>276.27</v>
      </c>
      <c r="U656" s="470"/>
      <c r="V656" s="483">
        <v>0</v>
      </c>
      <c r="W656" s="470"/>
      <c r="X656" s="470"/>
      <c r="Y656" s="370">
        <f t="shared" si="15"/>
        <v>276.27</v>
      </c>
      <c r="Z656" s="371"/>
    </row>
    <row r="657" spans="1:26" x14ac:dyDescent="0.25">
      <c r="A657" s="481">
        <v>42501</v>
      </c>
      <c r="B657" s="470"/>
      <c r="C657" s="380"/>
      <c r="F657" s="482" t="s">
        <v>2490</v>
      </c>
      <c r="G657" s="470"/>
      <c r="H657" s="369" t="s">
        <v>659</v>
      </c>
      <c r="I657" s="369" t="s">
        <v>2056</v>
      </c>
      <c r="J657" s="367" t="s">
        <v>2057</v>
      </c>
      <c r="K657" s="482" t="s">
        <v>2058</v>
      </c>
      <c r="L657" s="470"/>
      <c r="M657" s="470"/>
      <c r="N657" s="369" t="s">
        <v>655</v>
      </c>
      <c r="O657" s="369" t="s">
        <v>655</v>
      </c>
      <c r="P657" s="369" t="s">
        <v>655</v>
      </c>
      <c r="Q657" s="369" t="s">
        <v>655</v>
      </c>
      <c r="R657" s="367" t="s">
        <v>2491</v>
      </c>
      <c r="S657" s="367">
        <v>5056047</v>
      </c>
      <c r="T657" s="483">
        <v>276.27</v>
      </c>
      <c r="U657" s="470"/>
      <c r="V657" s="483">
        <v>57.88</v>
      </c>
      <c r="W657" s="470"/>
      <c r="X657" s="470"/>
      <c r="Y657" s="370">
        <f t="shared" si="15"/>
        <v>276.27</v>
      </c>
      <c r="Z657" s="371"/>
    </row>
    <row r="658" spans="1:26" x14ac:dyDescent="0.25">
      <c r="A658" s="481">
        <v>42502</v>
      </c>
      <c r="B658" s="470"/>
      <c r="C658" s="380"/>
      <c r="F658" s="482" t="s">
        <v>2331</v>
      </c>
      <c r="G658" s="470"/>
      <c r="H658" s="369" t="s">
        <v>659</v>
      </c>
      <c r="I658" s="369" t="s">
        <v>2492</v>
      </c>
      <c r="J658" s="367" t="s">
        <v>2493</v>
      </c>
      <c r="K658" s="482" t="s">
        <v>2494</v>
      </c>
      <c r="L658" s="470"/>
      <c r="M658" s="470"/>
      <c r="N658" s="369" t="s">
        <v>655</v>
      </c>
      <c r="O658" s="369" t="s">
        <v>655</v>
      </c>
      <c r="P658" s="369" t="s">
        <v>655</v>
      </c>
      <c r="Q658" s="369" t="s">
        <v>655</v>
      </c>
      <c r="R658" s="367" t="s">
        <v>2495</v>
      </c>
      <c r="S658" s="367">
        <v>4986198</v>
      </c>
      <c r="T658" s="483">
        <v>276.27</v>
      </c>
      <c r="U658" s="470"/>
      <c r="V658" s="483">
        <v>0</v>
      </c>
      <c r="W658" s="470"/>
      <c r="X658" s="470"/>
      <c r="Y658" s="370">
        <f t="shared" si="15"/>
        <v>276.27</v>
      </c>
      <c r="Z658" s="371"/>
    </row>
    <row r="659" spans="1:26" x14ac:dyDescent="0.25">
      <c r="A659" s="481">
        <v>42503</v>
      </c>
      <c r="B659" s="470"/>
      <c r="C659" s="380"/>
      <c r="F659" s="482" t="s">
        <v>2496</v>
      </c>
      <c r="G659" s="470"/>
      <c r="H659" s="369" t="s">
        <v>659</v>
      </c>
      <c r="I659" s="369" t="s">
        <v>2497</v>
      </c>
      <c r="J659" s="367" t="s">
        <v>2498</v>
      </c>
      <c r="K659" s="482" t="s">
        <v>2499</v>
      </c>
      <c r="L659" s="470"/>
      <c r="M659" s="470"/>
      <c r="N659" s="369" t="s">
        <v>655</v>
      </c>
      <c r="O659" s="369" t="s">
        <v>655</v>
      </c>
      <c r="P659" s="369" t="s">
        <v>655</v>
      </c>
      <c r="Q659" s="369" t="s">
        <v>655</v>
      </c>
      <c r="R659" s="367" t="s">
        <v>2500</v>
      </c>
      <c r="S659" s="367">
        <v>5009891</v>
      </c>
      <c r="T659" s="483">
        <v>276.27</v>
      </c>
      <c r="U659" s="470"/>
      <c r="V659" s="483">
        <v>0</v>
      </c>
      <c r="W659" s="470"/>
      <c r="X659" s="470"/>
      <c r="Y659" s="370">
        <f t="shared" si="15"/>
        <v>276.27</v>
      </c>
      <c r="Z659" s="371"/>
    </row>
    <row r="660" spans="1:26" x14ac:dyDescent="0.25">
      <c r="A660" s="481">
        <v>42507</v>
      </c>
      <c r="B660" s="470"/>
      <c r="C660" s="380"/>
      <c r="F660" s="482" t="s">
        <v>2501</v>
      </c>
      <c r="G660" s="470"/>
      <c r="H660" s="369" t="s">
        <v>659</v>
      </c>
      <c r="I660" s="369" t="s">
        <v>2502</v>
      </c>
      <c r="J660" s="367" t="s">
        <v>2503</v>
      </c>
      <c r="K660" s="482" t="s">
        <v>2504</v>
      </c>
      <c r="L660" s="470"/>
      <c r="M660" s="470"/>
      <c r="N660" s="369" t="s">
        <v>655</v>
      </c>
      <c r="O660" s="369" t="s">
        <v>655</v>
      </c>
      <c r="P660" s="369" t="s">
        <v>655</v>
      </c>
      <c r="Q660" s="369" t="s">
        <v>655</v>
      </c>
      <c r="R660" s="367" t="s">
        <v>2505</v>
      </c>
      <c r="S660" s="367">
        <v>5031265</v>
      </c>
      <c r="T660" s="483">
        <v>276.27</v>
      </c>
      <c r="U660" s="470"/>
      <c r="V660" s="483">
        <v>0</v>
      </c>
      <c r="W660" s="470"/>
      <c r="X660" s="470"/>
      <c r="Y660" s="370">
        <f t="shared" si="15"/>
        <v>276.27</v>
      </c>
      <c r="Z660" s="371"/>
    </row>
    <row r="661" spans="1:26" x14ac:dyDescent="0.25">
      <c r="A661" s="481">
        <v>42508</v>
      </c>
      <c r="B661" s="470"/>
      <c r="C661" s="380"/>
      <c r="F661" s="482" t="s">
        <v>2506</v>
      </c>
      <c r="G661" s="470"/>
      <c r="H661" s="369" t="s">
        <v>659</v>
      </c>
      <c r="I661" s="369" t="s">
        <v>2507</v>
      </c>
      <c r="J661" s="367" t="s">
        <v>2508</v>
      </c>
      <c r="K661" s="482" t="s">
        <v>2509</v>
      </c>
      <c r="L661" s="470"/>
      <c r="M661" s="470"/>
      <c r="N661" s="369" t="s">
        <v>655</v>
      </c>
      <c r="O661" s="369" t="s">
        <v>655</v>
      </c>
      <c r="P661" s="369" t="s">
        <v>655</v>
      </c>
      <c r="Q661" s="369" t="s">
        <v>655</v>
      </c>
      <c r="R661" s="367" t="s">
        <v>2510</v>
      </c>
      <c r="S661" s="367">
        <v>5062127</v>
      </c>
      <c r="T661" s="483">
        <v>276.27</v>
      </c>
      <c r="U661" s="470"/>
      <c r="V661" s="483">
        <v>0</v>
      </c>
      <c r="W661" s="470"/>
      <c r="X661" s="470"/>
      <c r="Y661" s="370">
        <f t="shared" si="15"/>
        <v>276.27</v>
      </c>
      <c r="Z661" s="371"/>
    </row>
    <row r="662" spans="1:26" x14ac:dyDescent="0.25">
      <c r="A662" s="481">
        <v>42516</v>
      </c>
      <c r="B662" s="470"/>
      <c r="C662" s="380"/>
      <c r="F662" s="482" t="s">
        <v>2506</v>
      </c>
      <c r="G662" s="470"/>
      <c r="H662" s="369" t="s">
        <v>659</v>
      </c>
      <c r="I662" s="369" t="s">
        <v>2507</v>
      </c>
      <c r="J662" s="367" t="s">
        <v>2508</v>
      </c>
      <c r="K662" s="482" t="s">
        <v>2509</v>
      </c>
      <c r="L662" s="470"/>
      <c r="M662" s="470"/>
      <c r="N662" s="369" t="s">
        <v>655</v>
      </c>
      <c r="O662" s="369" t="s">
        <v>655</v>
      </c>
      <c r="P662" s="369" t="s">
        <v>655</v>
      </c>
      <c r="Q662" s="369" t="s">
        <v>655</v>
      </c>
      <c r="R662" s="367" t="s">
        <v>2511</v>
      </c>
      <c r="S662" s="367">
        <v>5157581</v>
      </c>
      <c r="T662" s="483">
        <v>276.27</v>
      </c>
      <c r="U662" s="470"/>
      <c r="V662" s="483">
        <v>0</v>
      </c>
      <c r="W662" s="470"/>
      <c r="X662" s="470"/>
      <c r="Y662" s="370">
        <f t="shared" si="15"/>
        <v>276.27</v>
      </c>
      <c r="Z662" s="371"/>
    </row>
    <row r="663" spans="1:26" x14ac:dyDescent="0.25">
      <c r="A663" s="481">
        <v>42521</v>
      </c>
      <c r="B663" s="470"/>
      <c r="C663" s="380"/>
      <c r="F663" s="482" t="s">
        <v>2478</v>
      </c>
      <c r="G663" s="470"/>
      <c r="H663" s="369" t="s">
        <v>659</v>
      </c>
      <c r="I663" s="369" t="s">
        <v>2479</v>
      </c>
      <c r="J663" s="367" t="s">
        <v>1173</v>
      </c>
      <c r="K663" s="482" t="s">
        <v>2480</v>
      </c>
      <c r="L663" s="470"/>
      <c r="M663" s="470"/>
      <c r="N663" s="369" t="s">
        <v>655</v>
      </c>
      <c r="O663" s="369" t="s">
        <v>655</v>
      </c>
      <c r="P663" s="369" t="s">
        <v>655</v>
      </c>
      <c r="Q663" s="369" t="s">
        <v>655</v>
      </c>
      <c r="R663" s="367" t="s">
        <v>2512</v>
      </c>
      <c r="S663" s="367">
        <v>5052983</v>
      </c>
      <c r="T663" s="483">
        <v>276.27</v>
      </c>
      <c r="U663" s="470"/>
      <c r="V663" s="483">
        <v>0</v>
      </c>
      <c r="W663" s="470"/>
      <c r="X663" s="470"/>
      <c r="Y663" s="370">
        <f t="shared" si="15"/>
        <v>276.27</v>
      </c>
      <c r="Z663" s="371"/>
    </row>
    <row r="664" spans="1:26" x14ac:dyDescent="0.25">
      <c r="A664" s="484" t="s">
        <v>655</v>
      </c>
      <c r="B664" s="470"/>
      <c r="C664" s="470"/>
      <c r="D664" s="485" t="s">
        <v>2513</v>
      </c>
      <c r="E664" s="470"/>
      <c r="F664" s="470"/>
      <c r="G664" s="470"/>
      <c r="H664" s="484" t="s">
        <v>2514</v>
      </c>
      <c r="I664" s="470"/>
      <c r="J664" s="470"/>
      <c r="K664" s="470"/>
      <c r="L664" s="470"/>
      <c r="M664" s="470"/>
      <c r="N664" s="470"/>
      <c r="O664" s="372" t="s">
        <v>655</v>
      </c>
      <c r="P664" s="372" t="s">
        <v>655</v>
      </c>
      <c r="Q664" s="372" t="s">
        <v>655</v>
      </c>
      <c r="R664" s="372" t="s">
        <v>655</v>
      </c>
      <c r="S664" s="372">
        <v>298778208</v>
      </c>
      <c r="T664" s="486">
        <v>18786.36</v>
      </c>
      <c r="U664" s="470"/>
      <c r="V664" s="486">
        <v>2731.09</v>
      </c>
      <c r="W664" s="470"/>
      <c r="X664" s="470"/>
      <c r="Y664" s="373">
        <f>SUM(Y596:Y663)</f>
        <v>12067.780000000012</v>
      </c>
      <c r="Z664" s="374" t="s">
        <v>655</v>
      </c>
    </row>
    <row r="665" spans="1:26" x14ac:dyDescent="0.25">
      <c r="A665" s="489" t="s">
        <v>655</v>
      </c>
      <c r="B665" s="470"/>
      <c r="C665" s="470"/>
      <c r="D665" s="490" t="s">
        <v>2513</v>
      </c>
      <c r="E665" s="470"/>
      <c r="F665" s="470"/>
      <c r="G665" s="470"/>
      <c r="H665" s="489" t="s">
        <v>2515</v>
      </c>
      <c r="I665" s="470"/>
      <c r="J665" s="470"/>
      <c r="K665" s="470"/>
      <c r="L665" s="470"/>
      <c r="M665" s="470"/>
      <c r="N665" s="470"/>
      <c r="O665" s="375" t="s">
        <v>655</v>
      </c>
      <c r="P665" s="375" t="s">
        <v>655</v>
      </c>
      <c r="Q665" s="375" t="s">
        <v>655</v>
      </c>
      <c r="R665" s="375" t="s">
        <v>655</v>
      </c>
      <c r="S665" s="375" t="s">
        <v>655</v>
      </c>
      <c r="T665" s="491">
        <v>18786.36</v>
      </c>
      <c r="U665" s="470"/>
      <c r="V665" s="491">
        <v>2731.09</v>
      </c>
      <c r="W665" s="470"/>
      <c r="X665" s="470"/>
      <c r="Y665" s="376">
        <f>Y664</f>
        <v>12067.780000000012</v>
      </c>
      <c r="Z665" s="377" t="s">
        <v>655</v>
      </c>
    </row>
    <row r="666" spans="1:26" x14ac:dyDescent="0.25">
      <c r="A666" s="492" t="s">
        <v>655</v>
      </c>
      <c r="B666" s="470"/>
      <c r="C666" s="378" t="s">
        <v>655</v>
      </c>
      <c r="D666" s="493" t="s">
        <v>655</v>
      </c>
      <c r="E666" s="470"/>
      <c r="F666" s="493" t="s">
        <v>655</v>
      </c>
      <c r="G666" s="470"/>
      <c r="H666" s="378" t="s">
        <v>655</v>
      </c>
      <c r="I666" s="378" t="s">
        <v>655</v>
      </c>
      <c r="J666" s="378" t="s">
        <v>655</v>
      </c>
      <c r="K666" s="492" t="s">
        <v>655</v>
      </c>
      <c r="L666" s="470"/>
      <c r="M666" s="470"/>
      <c r="N666" s="378" t="s">
        <v>655</v>
      </c>
      <c r="O666" s="378" t="s">
        <v>655</v>
      </c>
      <c r="P666" s="378" t="s">
        <v>655</v>
      </c>
      <c r="Q666" s="378" t="s">
        <v>655</v>
      </c>
      <c r="R666" s="378" t="s">
        <v>655</v>
      </c>
      <c r="S666" s="378" t="s">
        <v>655</v>
      </c>
      <c r="T666" s="488" t="s">
        <v>655</v>
      </c>
      <c r="U666" s="470"/>
      <c r="V666" s="488" t="s">
        <v>655</v>
      </c>
      <c r="W666" s="470"/>
      <c r="X666" s="470"/>
      <c r="Y666" s="379" t="s">
        <v>655</v>
      </c>
      <c r="Z666" s="379" t="s">
        <v>655</v>
      </c>
    </row>
    <row r="667" spans="1:26" x14ac:dyDescent="0.25">
      <c r="A667" s="474" t="s">
        <v>2516</v>
      </c>
      <c r="B667" s="470"/>
      <c r="C667" s="470"/>
      <c r="D667" s="470"/>
      <c r="E667" s="470"/>
      <c r="F667" s="470"/>
      <c r="G667" s="470"/>
      <c r="H667" s="470"/>
      <c r="I667" s="470"/>
      <c r="J667" s="470"/>
      <c r="K667" s="470"/>
      <c r="L667" s="470"/>
      <c r="M667" s="470"/>
      <c r="N667" s="470"/>
      <c r="O667" s="470"/>
      <c r="P667" s="364" t="s">
        <v>655</v>
      </c>
      <c r="Q667" s="365" t="s">
        <v>655</v>
      </c>
      <c r="R667" s="365" t="s">
        <v>655</v>
      </c>
      <c r="S667" s="365" t="s">
        <v>655</v>
      </c>
      <c r="T667" s="475" t="s">
        <v>655</v>
      </c>
      <c r="U667" s="470"/>
      <c r="V667" s="475" t="s">
        <v>655</v>
      </c>
      <c r="W667" s="470"/>
      <c r="X667" s="470"/>
      <c r="Y667" s="365" t="s">
        <v>655</v>
      </c>
      <c r="Z667" s="365" t="s">
        <v>655</v>
      </c>
    </row>
    <row r="668" spans="1:26" x14ac:dyDescent="0.25">
      <c r="A668" s="474" t="s">
        <v>657</v>
      </c>
      <c r="B668" s="470"/>
      <c r="C668" s="470"/>
      <c r="D668" s="470"/>
      <c r="E668" s="470"/>
      <c r="F668" s="470"/>
      <c r="G668" s="470"/>
      <c r="H668" s="470"/>
      <c r="I668" s="470"/>
      <c r="J668" s="470"/>
      <c r="K668" s="470"/>
      <c r="L668" s="470"/>
      <c r="M668" s="470"/>
      <c r="N668" s="470"/>
      <c r="O668" s="470"/>
      <c r="P668" s="364" t="s">
        <v>655</v>
      </c>
      <c r="Q668" s="365" t="s">
        <v>655</v>
      </c>
      <c r="R668" s="365" t="s">
        <v>655</v>
      </c>
      <c r="S668" s="365" t="s">
        <v>655</v>
      </c>
      <c r="T668" s="475" t="s">
        <v>655</v>
      </c>
      <c r="U668" s="470"/>
      <c r="V668" s="475" t="s">
        <v>655</v>
      </c>
      <c r="W668" s="470"/>
      <c r="X668" s="470"/>
      <c r="Y668" s="365" t="s">
        <v>655</v>
      </c>
      <c r="Z668" s="365" t="s">
        <v>655</v>
      </c>
    </row>
    <row r="669" spans="1:26" x14ac:dyDescent="0.25">
      <c r="A669" s="487" t="s">
        <v>491</v>
      </c>
      <c r="B669" s="470"/>
      <c r="C669" s="470"/>
      <c r="D669" s="470"/>
      <c r="E669" s="470"/>
      <c r="F669" s="470"/>
      <c r="G669" s="470"/>
      <c r="H669" s="470"/>
      <c r="I669" s="470"/>
      <c r="J669" s="470"/>
      <c r="K669" s="470"/>
      <c r="L669" s="470"/>
      <c r="M669" s="470"/>
      <c r="N669" s="470"/>
      <c r="O669" s="470"/>
      <c r="P669" s="366" t="s">
        <v>655</v>
      </c>
      <c r="Q669" s="367" t="s">
        <v>655</v>
      </c>
      <c r="R669" s="367" t="s">
        <v>655</v>
      </c>
      <c r="S669" s="367" t="s">
        <v>655</v>
      </c>
      <c r="T669" s="482" t="s">
        <v>655</v>
      </c>
      <c r="U669" s="470"/>
      <c r="V669" s="482" t="s">
        <v>655</v>
      </c>
      <c r="W669" s="470"/>
      <c r="X669" s="470"/>
      <c r="Y669" s="367" t="s">
        <v>655</v>
      </c>
      <c r="Z669" s="367" t="s">
        <v>655</v>
      </c>
    </row>
    <row r="670" spans="1:26" x14ac:dyDescent="0.25">
      <c r="A670" s="481">
        <v>42223</v>
      </c>
      <c r="B670" s="470"/>
      <c r="C670" s="380"/>
      <c r="F670" s="482" t="s">
        <v>2517</v>
      </c>
      <c r="G670" s="470"/>
      <c r="H670" s="369" t="s">
        <v>659</v>
      </c>
      <c r="I670" s="369" t="s">
        <v>2518</v>
      </c>
      <c r="J670" s="367" t="s">
        <v>1879</v>
      </c>
      <c r="K670" s="482" t="s">
        <v>2519</v>
      </c>
      <c r="L670" s="470"/>
      <c r="M670" s="470"/>
      <c r="N670" s="369" t="s">
        <v>655</v>
      </c>
      <c r="O670" s="369" t="s">
        <v>655</v>
      </c>
      <c r="P670" s="369" t="s">
        <v>655</v>
      </c>
      <c r="Q670" s="369" t="s">
        <v>655</v>
      </c>
      <c r="R670" s="367" t="s">
        <v>2520</v>
      </c>
      <c r="S670" s="367">
        <v>3447333</v>
      </c>
      <c r="T670" s="483">
        <v>1360.28</v>
      </c>
      <c r="U670" s="470"/>
      <c r="V670" s="483">
        <v>0</v>
      </c>
      <c r="W670" s="470"/>
      <c r="X670" s="470"/>
      <c r="Y670" s="370">
        <f t="shared" ref="Y670:Y692" si="16">V670</f>
        <v>0</v>
      </c>
      <c r="Z670" s="371"/>
    </row>
    <row r="671" spans="1:26" x14ac:dyDescent="0.25">
      <c r="A671" s="481">
        <v>42285</v>
      </c>
      <c r="B671" s="470"/>
      <c r="C671" s="380"/>
      <c r="F671" s="482" t="s">
        <v>2424</v>
      </c>
      <c r="G671" s="470"/>
      <c r="H671" s="369" t="s">
        <v>659</v>
      </c>
      <c r="I671" s="369" t="s">
        <v>2521</v>
      </c>
      <c r="J671" s="367" t="s">
        <v>1148</v>
      </c>
      <c r="K671" s="482" t="s">
        <v>2522</v>
      </c>
      <c r="L671" s="470"/>
      <c r="M671" s="470"/>
      <c r="N671" s="369" t="s">
        <v>655</v>
      </c>
      <c r="O671" s="369" t="s">
        <v>655</v>
      </c>
      <c r="P671" s="369" t="s">
        <v>655</v>
      </c>
      <c r="Q671" s="369" t="s">
        <v>655</v>
      </c>
      <c r="R671" s="367" t="s">
        <v>2523</v>
      </c>
      <c r="S671" s="367">
        <v>3745809</v>
      </c>
      <c r="T671" s="483">
        <v>1360.28</v>
      </c>
      <c r="U671" s="470"/>
      <c r="V671" s="483">
        <v>82.08</v>
      </c>
      <c r="W671" s="470"/>
      <c r="X671" s="470"/>
      <c r="Y671" s="370">
        <f t="shared" si="16"/>
        <v>82.08</v>
      </c>
      <c r="Z671" s="371"/>
    </row>
    <row r="672" spans="1:26" x14ac:dyDescent="0.25">
      <c r="A672" s="481">
        <v>42289</v>
      </c>
      <c r="B672" s="470"/>
      <c r="C672" s="380"/>
      <c r="F672" s="482" t="s">
        <v>2354</v>
      </c>
      <c r="G672" s="470"/>
      <c r="H672" s="369" t="s">
        <v>659</v>
      </c>
      <c r="I672" s="369" t="s">
        <v>1275</v>
      </c>
      <c r="J672" s="367" t="s">
        <v>1276</v>
      </c>
      <c r="K672" s="482" t="s">
        <v>1277</v>
      </c>
      <c r="L672" s="470"/>
      <c r="M672" s="470"/>
      <c r="N672" s="369" t="s">
        <v>655</v>
      </c>
      <c r="O672" s="369" t="s">
        <v>655</v>
      </c>
      <c r="P672" s="369" t="s">
        <v>655</v>
      </c>
      <c r="Q672" s="369" t="s">
        <v>655</v>
      </c>
      <c r="R672" s="367" t="s">
        <v>2524</v>
      </c>
      <c r="S672" s="367">
        <v>3746167</v>
      </c>
      <c r="T672" s="483">
        <v>1360.28</v>
      </c>
      <c r="U672" s="470"/>
      <c r="V672" s="483">
        <v>376.39</v>
      </c>
      <c r="W672" s="470"/>
      <c r="X672" s="470"/>
      <c r="Y672" s="370">
        <f t="shared" si="16"/>
        <v>376.39</v>
      </c>
      <c r="Z672" s="371"/>
    </row>
    <row r="673" spans="1:26" x14ac:dyDescent="0.25">
      <c r="A673" s="481">
        <v>42291</v>
      </c>
      <c r="B673" s="470"/>
      <c r="C673" s="380"/>
      <c r="F673" s="482" t="s">
        <v>2525</v>
      </c>
      <c r="G673" s="470"/>
      <c r="H673" s="369" t="s">
        <v>659</v>
      </c>
      <c r="I673" s="369" t="s">
        <v>2526</v>
      </c>
      <c r="J673" s="367" t="s">
        <v>2527</v>
      </c>
      <c r="K673" s="482" t="s">
        <v>2528</v>
      </c>
      <c r="L673" s="470"/>
      <c r="M673" s="470"/>
      <c r="N673" s="369" t="s">
        <v>655</v>
      </c>
      <c r="O673" s="369" t="s">
        <v>655</v>
      </c>
      <c r="P673" s="369" t="s">
        <v>655</v>
      </c>
      <c r="Q673" s="369" t="s">
        <v>655</v>
      </c>
      <c r="R673" s="367" t="s">
        <v>2529</v>
      </c>
      <c r="S673" s="367">
        <v>3824301</v>
      </c>
      <c r="T673" s="483">
        <v>1360.28</v>
      </c>
      <c r="U673" s="470"/>
      <c r="V673" s="483">
        <v>0</v>
      </c>
      <c r="W673" s="470"/>
      <c r="X673" s="470"/>
      <c r="Y673" s="370">
        <f t="shared" si="16"/>
        <v>0</v>
      </c>
      <c r="Z673" s="371">
        <v>1</v>
      </c>
    </row>
    <row r="674" spans="1:26" x14ac:dyDescent="0.25">
      <c r="A674" s="481">
        <v>42303</v>
      </c>
      <c r="B674" s="470"/>
      <c r="C674" s="380"/>
      <c r="F674" s="482" t="s">
        <v>2393</v>
      </c>
      <c r="G674" s="470"/>
      <c r="H674" s="369" t="s">
        <v>659</v>
      </c>
      <c r="I674" s="369" t="s">
        <v>721</v>
      </c>
      <c r="J674" s="367" t="s">
        <v>722</v>
      </c>
      <c r="K674" s="482" t="s">
        <v>723</v>
      </c>
      <c r="L674" s="470"/>
      <c r="M674" s="470"/>
      <c r="N674" s="369" t="s">
        <v>655</v>
      </c>
      <c r="O674" s="369" t="s">
        <v>655</v>
      </c>
      <c r="P674" s="369" t="s">
        <v>655</v>
      </c>
      <c r="Q674" s="369" t="s">
        <v>655</v>
      </c>
      <c r="R674" s="367" t="s">
        <v>2530</v>
      </c>
      <c r="S674" s="367">
        <v>3824307</v>
      </c>
      <c r="T674" s="483">
        <v>1360.28</v>
      </c>
      <c r="U674" s="470"/>
      <c r="V674" s="483">
        <v>160.54</v>
      </c>
      <c r="W674" s="470"/>
      <c r="X674" s="470"/>
      <c r="Y674" s="370">
        <f t="shared" si="16"/>
        <v>160.54</v>
      </c>
      <c r="Z674" s="371">
        <v>10</v>
      </c>
    </row>
    <row r="675" spans="1:26" x14ac:dyDescent="0.25">
      <c r="A675" s="481">
        <v>42304</v>
      </c>
      <c r="B675" s="470"/>
      <c r="C675" s="380"/>
      <c r="F675" s="482" t="s">
        <v>2531</v>
      </c>
      <c r="G675" s="470"/>
      <c r="H675" s="369" t="s">
        <v>659</v>
      </c>
      <c r="I675" s="369" t="s">
        <v>2532</v>
      </c>
      <c r="J675" s="367" t="s">
        <v>2533</v>
      </c>
      <c r="K675" s="482" t="s">
        <v>2534</v>
      </c>
      <c r="L675" s="470"/>
      <c r="M675" s="470"/>
      <c r="N675" s="369" t="s">
        <v>655</v>
      </c>
      <c r="O675" s="369" t="s">
        <v>655</v>
      </c>
      <c r="P675" s="369" t="s">
        <v>655</v>
      </c>
      <c r="Q675" s="369" t="s">
        <v>655</v>
      </c>
      <c r="R675" s="367" t="s">
        <v>2535</v>
      </c>
      <c r="S675" s="367">
        <v>3901356</v>
      </c>
      <c r="T675" s="483">
        <v>1360.28</v>
      </c>
      <c r="U675" s="470"/>
      <c r="V675" s="483">
        <v>212.14</v>
      </c>
      <c r="W675" s="470"/>
      <c r="X675" s="470"/>
      <c r="Y675" s="370">
        <f t="shared" si="16"/>
        <v>212.14</v>
      </c>
      <c r="Z675" s="371">
        <v>2</v>
      </c>
    </row>
    <row r="676" spans="1:26" x14ac:dyDescent="0.25">
      <c r="A676" s="481">
        <v>42305</v>
      </c>
      <c r="B676" s="470"/>
      <c r="C676" s="380"/>
      <c r="F676" s="482" t="s">
        <v>2362</v>
      </c>
      <c r="G676" s="470"/>
      <c r="H676" s="369" t="s">
        <v>659</v>
      </c>
      <c r="I676" s="369" t="s">
        <v>2363</v>
      </c>
      <c r="J676" s="367" t="s">
        <v>2364</v>
      </c>
      <c r="K676" s="482" t="s">
        <v>1060</v>
      </c>
      <c r="L676" s="470"/>
      <c r="M676" s="470"/>
      <c r="N676" s="369" t="s">
        <v>655</v>
      </c>
      <c r="O676" s="369" t="s">
        <v>655</v>
      </c>
      <c r="P676" s="369" t="s">
        <v>655</v>
      </c>
      <c r="Q676" s="369" t="s">
        <v>655</v>
      </c>
      <c r="R676" s="367" t="s">
        <v>2536</v>
      </c>
      <c r="S676" s="367">
        <v>3824297</v>
      </c>
      <c r="T676" s="483">
        <v>1360.28</v>
      </c>
      <c r="U676" s="470"/>
      <c r="V676" s="483">
        <v>469.15</v>
      </c>
      <c r="W676" s="470"/>
      <c r="X676" s="470"/>
      <c r="Y676" s="370">
        <f t="shared" si="16"/>
        <v>469.15</v>
      </c>
      <c r="Z676" s="371"/>
    </row>
    <row r="677" spans="1:26" x14ac:dyDescent="0.25">
      <c r="A677" s="481">
        <v>42306</v>
      </c>
      <c r="B677" s="470"/>
      <c r="C677" s="380"/>
      <c r="F677" s="482" t="s">
        <v>2372</v>
      </c>
      <c r="G677" s="470"/>
      <c r="H677" s="369" t="s">
        <v>659</v>
      </c>
      <c r="I677" s="369" t="s">
        <v>691</v>
      </c>
      <c r="J677" s="367" t="s">
        <v>692</v>
      </c>
      <c r="K677" s="482" t="s">
        <v>693</v>
      </c>
      <c r="L677" s="470"/>
      <c r="M677" s="470"/>
      <c r="N677" s="369" t="s">
        <v>655</v>
      </c>
      <c r="O677" s="369" t="s">
        <v>655</v>
      </c>
      <c r="P677" s="369" t="s">
        <v>655</v>
      </c>
      <c r="Q677" s="369" t="s">
        <v>655</v>
      </c>
      <c r="R677" s="367" t="s">
        <v>2537</v>
      </c>
      <c r="S677" s="367">
        <v>3824312</v>
      </c>
      <c r="T677" s="483">
        <v>1360.28</v>
      </c>
      <c r="U677" s="470"/>
      <c r="V677" s="483">
        <v>0</v>
      </c>
      <c r="W677" s="470"/>
      <c r="X677" s="470"/>
      <c r="Y677" s="370">
        <f t="shared" si="16"/>
        <v>0</v>
      </c>
      <c r="Z677" s="371"/>
    </row>
    <row r="678" spans="1:26" x14ac:dyDescent="0.25">
      <c r="A678" s="481">
        <v>42312</v>
      </c>
      <c r="B678" s="470"/>
      <c r="C678" s="380"/>
      <c r="F678" s="482" t="s">
        <v>2525</v>
      </c>
      <c r="G678" s="470"/>
      <c r="H678" s="369" t="s">
        <v>659</v>
      </c>
      <c r="I678" s="369" t="s">
        <v>2538</v>
      </c>
      <c r="J678" s="367" t="s">
        <v>1309</v>
      </c>
      <c r="K678" s="482" t="s">
        <v>2539</v>
      </c>
      <c r="L678" s="470"/>
      <c r="M678" s="470"/>
      <c r="N678" s="369" t="s">
        <v>655</v>
      </c>
      <c r="O678" s="369" t="s">
        <v>655</v>
      </c>
      <c r="P678" s="369" t="s">
        <v>655</v>
      </c>
      <c r="Q678" s="369" t="s">
        <v>655</v>
      </c>
      <c r="R678" s="367" t="s">
        <v>2540</v>
      </c>
      <c r="S678" s="367">
        <v>3902223</v>
      </c>
      <c r="T678" s="483">
        <v>1360.28</v>
      </c>
      <c r="U678" s="470"/>
      <c r="V678" s="483">
        <v>0</v>
      </c>
      <c r="W678" s="470"/>
      <c r="X678" s="470"/>
      <c r="Y678" s="370">
        <f t="shared" si="16"/>
        <v>0</v>
      </c>
      <c r="Z678" s="371">
        <v>3</v>
      </c>
    </row>
    <row r="679" spans="1:26" x14ac:dyDescent="0.25">
      <c r="A679" s="481">
        <v>42318</v>
      </c>
      <c r="B679" s="470"/>
      <c r="C679" s="380"/>
      <c r="F679" s="482" t="s">
        <v>2372</v>
      </c>
      <c r="G679" s="470"/>
      <c r="H679" s="369" t="s">
        <v>659</v>
      </c>
      <c r="I679" s="369" t="s">
        <v>2541</v>
      </c>
      <c r="J679" s="367" t="s">
        <v>680</v>
      </c>
      <c r="K679" s="482" t="s">
        <v>2542</v>
      </c>
      <c r="L679" s="470"/>
      <c r="M679" s="470"/>
      <c r="N679" s="369" t="s">
        <v>655</v>
      </c>
      <c r="O679" s="369" t="s">
        <v>655</v>
      </c>
      <c r="P679" s="369" t="s">
        <v>655</v>
      </c>
      <c r="Q679" s="369" t="s">
        <v>655</v>
      </c>
      <c r="R679" s="367" t="s">
        <v>2543</v>
      </c>
      <c r="S679" s="367">
        <v>3901413</v>
      </c>
      <c r="T679" s="483">
        <v>1360.28</v>
      </c>
      <c r="U679" s="470"/>
      <c r="V679" s="483">
        <v>0</v>
      </c>
      <c r="W679" s="470"/>
      <c r="X679" s="470"/>
      <c r="Y679" s="370">
        <f t="shared" si="16"/>
        <v>0</v>
      </c>
      <c r="Z679" s="371"/>
    </row>
    <row r="680" spans="1:26" x14ac:dyDescent="0.25">
      <c r="A680" s="481">
        <v>42320</v>
      </c>
      <c r="B680" s="470"/>
      <c r="C680" s="380"/>
      <c r="F680" s="482" t="s">
        <v>2354</v>
      </c>
      <c r="G680" s="470"/>
      <c r="H680" s="369" t="s">
        <v>659</v>
      </c>
      <c r="I680" s="369" t="s">
        <v>2544</v>
      </c>
      <c r="J680" s="367" t="s">
        <v>2545</v>
      </c>
      <c r="K680" s="482" t="s">
        <v>2360</v>
      </c>
      <c r="L680" s="470"/>
      <c r="M680" s="470"/>
      <c r="N680" s="369" t="s">
        <v>655</v>
      </c>
      <c r="O680" s="369" t="s">
        <v>655</v>
      </c>
      <c r="P680" s="369" t="s">
        <v>655</v>
      </c>
      <c r="Q680" s="369" t="s">
        <v>655</v>
      </c>
      <c r="R680" s="367" t="s">
        <v>2546</v>
      </c>
      <c r="S680" s="367">
        <v>3901703</v>
      </c>
      <c r="T680" s="483">
        <v>1360.28</v>
      </c>
      <c r="U680" s="470"/>
      <c r="V680" s="483">
        <v>130.59</v>
      </c>
      <c r="W680" s="470"/>
      <c r="X680" s="470"/>
      <c r="Y680" s="370">
        <f t="shared" si="16"/>
        <v>130.59</v>
      </c>
      <c r="Z680" s="371"/>
    </row>
    <row r="681" spans="1:26" x14ac:dyDescent="0.25">
      <c r="A681" s="481">
        <v>42321</v>
      </c>
      <c r="B681" s="470"/>
      <c r="C681" s="380"/>
      <c r="F681" s="482" t="s">
        <v>2354</v>
      </c>
      <c r="G681" s="470"/>
      <c r="H681" s="369" t="s">
        <v>659</v>
      </c>
      <c r="I681" s="369" t="s">
        <v>2547</v>
      </c>
      <c r="J681" s="367" t="s">
        <v>2548</v>
      </c>
      <c r="K681" s="482" t="s">
        <v>816</v>
      </c>
      <c r="L681" s="470"/>
      <c r="M681" s="470"/>
      <c r="N681" s="369" t="s">
        <v>655</v>
      </c>
      <c r="O681" s="369" t="s">
        <v>655</v>
      </c>
      <c r="P681" s="369" t="s">
        <v>655</v>
      </c>
      <c r="Q681" s="369" t="s">
        <v>655</v>
      </c>
      <c r="R681" s="367" t="s">
        <v>2549</v>
      </c>
      <c r="S681" s="367">
        <v>3951704</v>
      </c>
      <c r="T681" s="483">
        <v>1360.28</v>
      </c>
      <c r="U681" s="470"/>
      <c r="V681" s="483">
        <v>187.02</v>
      </c>
      <c r="W681" s="470"/>
      <c r="X681" s="470"/>
      <c r="Y681" s="370">
        <f t="shared" si="16"/>
        <v>187.02</v>
      </c>
      <c r="Z681" s="371"/>
    </row>
    <row r="682" spans="1:26" x14ac:dyDescent="0.25">
      <c r="A682" s="481">
        <v>42328</v>
      </c>
      <c r="B682" s="470"/>
      <c r="C682" s="380"/>
      <c r="F682" s="482" t="s">
        <v>2550</v>
      </c>
      <c r="G682" s="470"/>
      <c r="H682" s="369" t="s">
        <v>659</v>
      </c>
      <c r="I682" s="369" t="s">
        <v>2551</v>
      </c>
      <c r="J682" s="367" t="s">
        <v>2552</v>
      </c>
      <c r="K682" s="482" t="s">
        <v>1207</v>
      </c>
      <c r="L682" s="470"/>
      <c r="M682" s="470"/>
      <c r="N682" s="369" t="s">
        <v>655</v>
      </c>
      <c r="O682" s="369" t="s">
        <v>655</v>
      </c>
      <c r="P682" s="369" t="s">
        <v>655</v>
      </c>
      <c r="Q682" s="369" t="s">
        <v>655</v>
      </c>
      <c r="R682" s="367" t="s">
        <v>2553</v>
      </c>
      <c r="S682" s="367">
        <v>3901511</v>
      </c>
      <c r="T682" s="483">
        <v>1360.28</v>
      </c>
      <c r="U682" s="470"/>
      <c r="V682" s="483">
        <v>40.270000000000003</v>
      </c>
      <c r="W682" s="470"/>
      <c r="X682" s="470"/>
      <c r="Y682" s="370">
        <f t="shared" si="16"/>
        <v>40.270000000000003</v>
      </c>
      <c r="Z682" s="371"/>
    </row>
    <row r="683" spans="1:26" x14ac:dyDescent="0.25">
      <c r="A683" s="481">
        <v>42331</v>
      </c>
      <c r="B683" s="470"/>
      <c r="C683" s="380"/>
      <c r="F683" s="482" t="s">
        <v>2362</v>
      </c>
      <c r="G683" s="470"/>
      <c r="H683" s="369" t="s">
        <v>659</v>
      </c>
      <c r="I683" s="369" t="s">
        <v>2363</v>
      </c>
      <c r="J683" s="367" t="s">
        <v>2364</v>
      </c>
      <c r="K683" s="482" t="s">
        <v>1060</v>
      </c>
      <c r="L683" s="470"/>
      <c r="M683" s="470"/>
      <c r="N683" s="369" t="s">
        <v>655</v>
      </c>
      <c r="O683" s="369" t="s">
        <v>655</v>
      </c>
      <c r="P683" s="369" t="s">
        <v>655</v>
      </c>
      <c r="Q683" s="369" t="s">
        <v>655</v>
      </c>
      <c r="R683" s="367" t="s">
        <v>2554</v>
      </c>
      <c r="S683" s="367">
        <v>3951746</v>
      </c>
      <c r="T683" s="483">
        <v>1360.28</v>
      </c>
      <c r="U683" s="470"/>
      <c r="V683" s="483">
        <v>54.41</v>
      </c>
      <c r="W683" s="470"/>
      <c r="X683" s="470"/>
      <c r="Y683" s="370">
        <f t="shared" si="16"/>
        <v>54.41</v>
      </c>
      <c r="Z683" s="371"/>
    </row>
    <row r="684" spans="1:26" x14ac:dyDescent="0.25">
      <c r="A684" s="481">
        <v>42341</v>
      </c>
      <c r="B684" s="470"/>
      <c r="C684" s="380"/>
      <c r="F684" s="482" t="s">
        <v>2555</v>
      </c>
      <c r="G684" s="470"/>
      <c r="H684" s="369" t="s">
        <v>659</v>
      </c>
      <c r="I684" s="369" t="s">
        <v>1517</v>
      </c>
      <c r="J684" s="367" t="s">
        <v>1518</v>
      </c>
      <c r="K684" s="482" t="s">
        <v>676</v>
      </c>
      <c r="L684" s="470"/>
      <c r="M684" s="470"/>
      <c r="N684" s="369" t="s">
        <v>655</v>
      </c>
      <c r="O684" s="369" t="s">
        <v>655</v>
      </c>
      <c r="P684" s="369" t="s">
        <v>655</v>
      </c>
      <c r="Q684" s="369" t="s">
        <v>655</v>
      </c>
      <c r="R684" s="367" t="s">
        <v>2556</v>
      </c>
      <c r="S684" s="367">
        <v>4056493</v>
      </c>
      <c r="T684" s="483">
        <v>1360.28</v>
      </c>
      <c r="U684" s="470"/>
      <c r="V684" s="483">
        <v>156.81</v>
      </c>
      <c r="W684" s="470"/>
      <c r="X684" s="470"/>
      <c r="Y684" s="370">
        <f t="shared" si="16"/>
        <v>156.81</v>
      </c>
      <c r="Z684" s="371"/>
    </row>
    <row r="685" spans="1:26" x14ac:dyDescent="0.25">
      <c r="A685" s="481">
        <v>42347</v>
      </c>
      <c r="B685" s="470"/>
      <c r="C685" s="380"/>
      <c r="F685" s="482" t="s">
        <v>2354</v>
      </c>
      <c r="G685" s="470"/>
      <c r="H685" s="369" t="s">
        <v>659</v>
      </c>
      <c r="I685" s="369" t="s">
        <v>1275</v>
      </c>
      <c r="J685" s="367" t="s">
        <v>1276</v>
      </c>
      <c r="K685" s="482" t="s">
        <v>1277</v>
      </c>
      <c r="L685" s="470"/>
      <c r="M685" s="470"/>
      <c r="N685" s="369" t="s">
        <v>655</v>
      </c>
      <c r="O685" s="369" t="s">
        <v>655</v>
      </c>
      <c r="P685" s="369" t="s">
        <v>655</v>
      </c>
      <c r="Q685" s="369" t="s">
        <v>655</v>
      </c>
      <c r="R685" s="367" t="s">
        <v>2557</v>
      </c>
      <c r="S685" s="367">
        <v>3963856</v>
      </c>
      <c r="T685" s="483">
        <v>1360.28</v>
      </c>
      <c r="U685" s="470"/>
      <c r="V685" s="483">
        <v>63.83</v>
      </c>
      <c r="W685" s="470"/>
      <c r="X685" s="470"/>
      <c r="Y685" s="370">
        <f t="shared" si="16"/>
        <v>63.83</v>
      </c>
      <c r="Z685" s="371"/>
    </row>
    <row r="686" spans="1:26" x14ac:dyDescent="0.25">
      <c r="A686" s="481">
        <v>42361</v>
      </c>
      <c r="B686" s="470"/>
      <c r="C686" s="380"/>
      <c r="F686" s="482" t="s">
        <v>2558</v>
      </c>
      <c r="G686" s="470"/>
      <c r="H686" s="369" t="s">
        <v>659</v>
      </c>
      <c r="I686" s="369" t="s">
        <v>2559</v>
      </c>
      <c r="J686" s="367" t="s">
        <v>2560</v>
      </c>
      <c r="K686" s="482" t="s">
        <v>1437</v>
      </c>
      <c r="L686" s="470"/>
      <c r="M686" s="470"/>
      <c r="N686" s="369" t="s">
        <v>655</v>
      </c>
      <c r="O686" s="369" t="s">
        <v>655</v>
      </c>
      <c r="P686" s="369" t="s">
        <v>655</v>
      </c>
      <c r="Q686" s="369" t="s">
        <v>655</v>
      </c>
      <c r="R686" s="367" t="s">
        <v>2561</v>
      </c>
      <c r="S686" s="367">
        <v>4113221</v>
      </c>
      <c r="T686" s="483">
        <v>1360.28</v>
      </c>
      <c r="U686" s="470"/>
      <c r="V686" s="483">
        <v>137.56</v>
      </c>
      <c r="W686" s="470"/>
      <c r="X686" s="470"/>
      <c r="Y686" s="370">
        <f t="shared" si="16"/>
        <v>137.56</v>
      </c>
      <c r="Z686" s="371"/>
    </row>
    <row r="687" spans="1:26" x14ac:dyDescent="0.25">
      <c r="A687" s="481">
        <v>42366</v>
      </c>
      <c r="B687" s="470"/>
      <c r="C687" s="380"/>
      <c r="F687" s="482" t="s">
        <v>2354</v>
      </c>
      <c r="G687" s="470"/>
      <c r="H687" s="369" t="s">
        <v>659</v>
      </c>
      <c r="I687" s="369" t="s">
        <v>1605</v>
      </c>
      <c r="J687" s="367" t="s">
        <v>1606</v>
      </c>
      <c r="K687" s="482" t="s">
        <v>979</v>
      </c>
      <c r="L687" s="470"/>
      <c r="M687" s="470"/>
      <c r="N687" s="369" t="s">
        <v>655</v>
      </c>
      <c r="O687" s="369" t="s">
        <v>655</v>
      </c>
      <c r="P687" s="369" t="s">
        <v>655</v>
      </c>
      <c r="Q687" s="369" t="s">
        <v>655</v>
      </c>
      <c r="R687" s="367" t="s">
        <v>2562</v>
      </c>
      <c r="S687" s="367">
        <v>4188024</v>
      </c>
      <c r="T687" s="483">
        <v>1360.28</v>
      </c>
      <c r="U687" s="470"/>
      <c r="V687" s="483">
        <v>108.61</v>
      </c>
      <c r="W687" s="470"/>
      <c r="X687" s="470"/>
      <c r="Y687" s="370">
        <f t="shared" si="16"/>
        <v>108.61</v>
      </c>
      <c r="Z687" s="371"/>
    </row>
    <row r="688" spans="1:26" x14ac:dyDescent="0.25">
      <c r="A688" s="481">
        <v>42373</v>
      </c>
      <c r="B688" s="470"/>
      <c r="C688" s="380"/>
      <c r="F688" s="482" t="s">
        <v>2563</v>
      </c>
      <c r="G688" s="470"/>
      <c r="H688" s="369" t="s">
        <v>659</v>
      </c>
      <c r="I688" s="369" t="s">
        <v>2564</v>
      </c>
      <c r="J688" s="367" t="s">
        <v>2565</v>
      </c>
      <c r="K688" s="482" t="s">
        <v>804</v>
      </c>
      <c r="L688" s="470"/>
      <c r="M688" s="470"/>
      <c r="N688" s="369" t="s">
        <v>655</v>
      </c>
      <c r="O688" s="369" t="s">
        <v>655</v>
      </c>
      <c r="P688" s="369" t="s">
        <v>655</v>
      </c>
      <c r="Q688" s="369" t="s">
        <v>655</v>
      </c>
      <c r="R688" s="367" t="s">
        <v>2566</v>
      </c>
      <c r="S688" s="367">
        <v>4116174</v>
      </c>
      <c r="T688" s="483">
        <v>1360.28</v>
      </c>
      <c r="U688" s="470"/>
      <c r="V688" s="483">
        <v>127.74</v>
      </c>
      <c r="W688" s="470"/>
      <c r="X688" s="470"/>
      <c r="Y688" s="370">
        <f t="shared" si="16"/>
        <v>127.74</v>
      </c>
      <c r="Z688" s="371">
        <v>2</v>
      </c>
    </row>
    <row r="689" spans="1:26" x14ac:dyDescent="0.25">
      <c r="A689" s="481">
        <v>42374</v>
      </c>
      <c r="B689" s="470"/>
      <c r="C689" s="380"/>
      <c r="F689" s="482" t="s">
        <v>2379</v>
      </c>
      <c r="G689" s="470"/>
      <c r="H689" s="369" t="s">
        <v>659</v>
      </c>
      <c r="I689" s="369" t="s">
        <v>2567</v>
      </c>
      <c r="J689" s="367" t="s">
        <v>1405</v>
      </c>
      <c r="K689" s="482" t="s">
        <v>2568</v>
      </c>
      <c r="L689" s="470"/>
      <c r="M689" s="470"/>
      <c r="N689" s="369" t="s">
        <v>655</v>
      </c>
      <c r="O689" s="369" t="s">
        <v>655</v>
      </c>
      <c r="P689" s="369" t="s">
        <v>655</v>
      </c>
      <c r="Q689" s="369" t="s">
        <v>655</v>
      </c>
      <c r="R689" s="367" t="s">
        <v>2569</v>
      </c>
      <c r="S689" s="367">
        <v>4072482</v>
      </c>
      <c r="T689" s="483">
        <v>1360.28</v>
      </c>
      <c r="U689" s="470"/>
      <c r="V689" s="483">
        <v>111.47</v>
      </c>
      <c r="W689" s="470"/>
      <c r="X689" s="470"/>
      <c r="Y689" s="370">
        <f t="shared" si="16"/>
        <v>111.47</v>
      </c>
      <c r="Z689" s="371"/>
    </row>
    <row r="690" spans="1:26" x14ac:dyDescent="0.25">
      <c r="A690" s="481">
        <v>42384</v>
      </c>
      <c r="B690" s="470"/>
      <c r="C690" s="380"/>
      <c r="F690" s="482" t="s">
        <v>2570</v>
      </c>
      <c r="G690" s="470"/>
      <c r="H690" s="369" t="s">
        <v>659</v>
      </c>
      <c r="I690" s="369" t="s">
        <v>1616</v>
      </c>
      <c r="J690" s="367" t="s">
        <v>1617</v>
      </c>
      <c r="K690" s="482" t="s">
        <v>1618</v>
      </c>
      <c r="L690" s="470"/>
      <c r="M690" s="470"/>
      <c r="N690" s="369" t="s">
        <v>655</v>
      </c>
      <c r="O690" s="369" t="s">
        <v>655</v>
      </c>
      <c r="P690" s="369" t="s">
        <v>655</v>
      </c>
      <c r="Q690" s="369" t="s">
        <v>655</v>
      </c>
      <c r="R690" s="367" t="s">
        <v>2571</v>
      </c>
      <c r="S690" s="367">
        <v>4265018</v>
      </c>
      <c r="T690" s="483">
        <v>1360.28</v>
      </c>
      <c r="U690" s="470"/>
      <c r="V690" s="483">
        <v>111.47</v>
      </c>
      <c r="W690" s="470"/>
      <c r="X690" s="470"/>
      <c r="Y690" s="370">
        <f t="shared" si="16"/>
        <v>111.47</v>
      </c>
      <c r="Z690" s="371"/>
    </row>
    <row r="691" spans="1:26" x14ac:dyDescent="0.25">
      <c r="A691" s="481">
        <v>42389</v>
      </c>
      <c r="B691" s="470"/>
      <c r="C691" s="380"/>
      <c r="F691" s="482" t="s">
        <v>2572</v>
      </c>
      <c r="G691" s="470"/>
      <c r="H691" s="369" t="s">
        <v>659</v>
      </c>
      <c r="I691" s="369" t="s">
        <v>2573</v>
      </c>
      <c r="J691" s="367" t="s">
        <v>2574</v>
      </c>
      <c r="K691" s="482" t="s">
        <v>1365</v>
      </c>
      <c r="L691" s="470"/>
      <c r="M691" s="470"/>
      <c r="N691" s="369" t="s">
        <v>655</v>
      </c>
      <c r="O691" s="369" t="s">
        <v>655</v>
      </c>
      <c r="P691" s="369" t="s">
        <v>655</v>
      </c>
      <c r="Q691" s="369" t="s">
        <v>655</v>
      </c>
      <c r="R691" s="367" t="s">
        <v>2575</v>
      </c>
      <c r="S691" s="367">
        <v>4157510</v>
      </c>
      <c r="T691" s="483">
        <v>1360.28</v>
      </c>
      <c r="U691" s="470"/>
      <c r="V691" s="483">
        <v>0</v>
      </c>
      <c r="W691" s="470"/>
      <c r="X691" s="470"/>
      <c r="Y691" s="370">
        <f t="shared" si="16"/>
        <v>0</v>
      </c>
      <c r="Z691" s="371"/>
    </row>
    <row r="692" spans="1:26" x14ac:dyDescent="0.25">
      <c r="A692" s="481">
        <v>42398</v>
      </c>
      <c r="B692" s="470"/>
      <c r="C692" s="380"/>
      <c r="F692" s="482" t="s">
        <v>2563</v>
      </c>
      <c r="G692" s="470"/>
      <c r="H692" s="369" t="s">
        <v>659</v>
      </c>
      <c r="I692" s="369" t="s">
        <v>2564</v>
      </c>
      <c r="J692" s="367" t="s">
        <v>2565</v>
      </c>
      <c r="K692" s="482" t="s">
        <v>804</v>
      </c>
      <c r="L692" s="470"/>
      <c r="M692" s="470"/>
      <c r="N692" s="369" t="s">
        <v>655</v>
      </c>
      <c r="O692" s="369" t="s">
        <v>655</v>
      </c>
      <c r="P692" s="369" t="s">
        <v>655</v>
      </c>
      <c r="Q692" s="369" t="s">
        <v>655</v>
      </c>
      <c r="R692" s="367" t="s">
        <v>2576</v>
      </c>
      <c r="S692" s="367">
        <v>4276576</v>
      </c>
      <c r="T692" s="483">
        <v>1360.28</v>
      </c>
      <c r="U692" s="470"/>
      <c r="V692" s="483">
        <v>51.04</v>
      </c>
      <c r="W692" s="470"/>
      <c r="X692" s="470"/>
      <c r="Y692" s="370">
        <f t="shared" si="16"/>
        <v>51.04</v>
      </c>
      <c r="Z692" s="371">
        <v>2</v>
      </c>
    </row>
    <row r="693" spans="1:26" x14ac:dyDescent="0.25">
      <c r="A693" s="481">
        <v>42405</v>
      </c>
      <c r="B693" s="470"/>
      <c r="C693" s="380"/>
      <c r="F693" s="482" t="s">
        <v>2577</v>
      </c>
      <c r="G693" s="470"/>
      <c r="H693" s="369" t="s">
        <v>659</v>
      </c>
      <c r="I693" s="369" t="s">
        <v>2578</v>
      </c>
      <c r="J693" s="367" t="s">
        <v>2579</v>
      </c>
      <c r="K693" s="482" t="s">
        <v>1049</v>
      </c>
      <c r="L693" s="470"/>
      <c r="M693" s="470"/>
      <c r="N693" s="369" t="s">
        <v>655</v>
      </c>
      <c r="O693" s="369" t="s">
        <v>655</v>
      </c>
      <c r="P693" s="369" t="s">
        <v>655</v>
      </c>
      <c r="Q693" s="369" t="s">
        <v>655</v>
      </c>
      <c r="R693" s="367" t="s">
        <v>2580</v>
      </c>
      <c r="S693" s="367">
        <v>4258278</v>
      </c>
      <c r="T693" s="483">
        <v>1360.28</v>
      </c>
      <c r="U693" s="470"/>
      <c r="V693" s="483">
        <v>0</v>
      </c>
      <c r="W693" s="470"/>
      <c r="X693" s="470"/>
      <c r="Y693" s="370">
        <f t="shared" ref="Y693:Y710" si="17">IF(Q693="Y",V693,IF(V693&gt;T693,V693,T693))</f>
        <v>1360.28</v>
      </c>
      <c r="Z693" s="371"/>
    </row>
    <row r="694" spans="1:26" x14ac:dyDescent="0.25">
      <c r="A694" s="481">
        <v>42410</v>
      </c>
      <c r="B694" s="470"/>
      <c r="C694" s="380"/>
      <c r="F694" s="482" t="s">
        <v>2581</v>
      </c>
      <c r="G694" s="470"/>
      <c r="H694" s="369" t="s">
        <v>659</v>
      </c>
      <c r="I694" s="369" t="s">
        <v>2582</v>
      </c>
      <c r="J694" s="367" t="s">
        <v>2583</v>
      </c>
      <c r="K694" s="482" t="s">
        <v>2584</v>
      </c>
      <c r="L694" s="470"/>
      <c r="M694" s="470"/>
      <c r="N694" s="369" t="s">
        <v>655</v>
      </c>
      <c r="O694" s="369" t="s">
        <v>655</v>
      </c>
      <c r="P694" s="369" t="s">
        <v>655</v>
      </c>
      <c r="Q694" s="369" t="s">
        <v>655</v>
      </c>
      <c r="R694" s="367" t="s">
        <v>2585</v>
      </c>
      <c r="S694" s="367">
        <v>4326284</v>
      </c>
      <c r="T694" s="483">
        <v>1360.28</v>
      </c>
      <c r="U694" s="470"/>
      <c r="V694" s="483">
        <v>79.62</v>
      </c>
      <c r="W694" s="470"/>
      <c r="X694" s="470"/>
      <c r="Y694" s="370">
        <f t="shared" si="17"/>
        <v>1360.28</v>
      </c>
      <c r="Z694" s="371"/>
    </row>
    <row r="695" spans="1:26" x14ac:dyDescent="0.25">
      <c r="A695" s="481">
        <v>42460</v>
      </c>
      <c r="B695" s="470"/>
      <c r="C695" s="380"/>
      <c r="F695" s="482" t="s">
        <v>2586</v>
      </c>
      <c r="G695" s="470"/>
      <c r="H695" s="369" t="s">
        <v>659</v>
      </c>
      <c r="I695" s="369" t="s">
        <v>1929</v>
      </c>
      <c r="J695" s="367" t="s">
        <v>1115</v>
      </c>
      <c r="K695" s="482" t="s">
        <v>1930</v>
      </c>
      <c r="L695" s="470"/>
      <c r="M695" s="470"/>
      <c r="N695" s="369" t="s">
        <v>655</v>
      </c>
      <c r="O695" s="369" t="s">
        <v>655</v>
      </c>
      <c r="P695" s="369" t="s">
        <v>655</v>
      </c>
      <c r="Q695" s="369" t="s">
        <v>655</v>
      </c>
      <c r="R695" s="367" t="s">
        <v>2587</v>
      </c>
      <c r="S695" s="367">
        <v>4770750</v>
      </c>
      <c r="T695" s="483">
        <v>1360.28</v>
      </c>
      <c r="U695" s="470"/>
      <c r="V695" s="483">
        <v>92.75</v>
      </c>
      <c r="W695" s="470"/>
      <c r="X695" s="470"/>
      <c r="Y695" s="370">
        <f t="shared" si="17"/>
        <v>1360.28</v>
      </c>
      <c r="Z695" s="371"/>
    </row>
    <row r="696" spans="1:26" x14ac:dyDescent="0.25">
      <c r="A696" s="481">
        <v>42464</v>
      </c>
      <c r="B696" s="470"/>
      <c r="C696" s="380"/>
      <c r="F696" s="482" t="s">
        <v>2586</v>
      </c>
      <c r="G696" s="470"/>
      <c r="H696" s="369" t="s">
        <v>659</v>
      </c>
      <c r="I696" s="369" t="s">
        <v>2588</v>
      </c>
      <c r="J696" s="367" t="s">
        <v>2589</v>
      </c>
      <c r="K696" s="482" t="s">
        <v>2590</v>
      </c>
      <c r="L696" s="470"/>
      <c r="M696" s="470"/>
      <c r="N696" s="369" t="s">
        <v>655</v>
      </c>
      <c r="O696" s="369" t="s">
        <v>655</v>
      </c>
      <c r="P696" s="369" t="s">
        <v>655</v>
      </c>
      <c r="Q696" s="369" t="s">
        <v>655</v>
      </c>
      <c r="R696" s="367" t="s">
        <v>2591</v>
      </c>
      <c r="S696" s="367">
        <v>4770761</v>
      </c>
      <c r="T696" s="483">
        <v>1360.28</v>
      </c>
      <c r="U696" s="470"/>
      <c r="V696" s="483">
        <v>0</v>
      </c>
      <c r="W696" s="470"/>
      <c r="X696" s="470"/>
      <c r="Y696" s="370">
        <f t="shared" si="17"/>
        <v>1360.28</v>
      </c>
      <c r="Z696" s="371"/>
    </row>
    <row r="697" spans="1:26" x14ac:dyDescent="0.25">
      <c r="A697" s="481">
        <v>42468</v>
      </c>
      <c r="B697" s="470"/>
      <c r="C697" s="380"/>
      <c r="F697" s="482" t="s">
        <v>2592</v>
      </c>
      <c r="G697" s="470"/>
      <c r="H697" s="369" t="s">
        <v>659</v>
      </c>
      <c r="I697" s="369" t="s">
        <v>2497</v>
      </c>
      <c r="J697" s="367" t="s">
        <v>2498</v>
      </c>
      <c r="K697" s="482" t="s">
        <v>2499</v>
      </c>
      <c r="L697" s="470"/>
      <c r="M697" s="470"/>
      <c r="N697" s="369" t="s">
        <v>655</v>
      </c>
      <c r="O697" s="369" t="s">
        <v>655</v>
      </c>
      <c r="P697" s="369" t="s">
        <v>655</v>
      </c>
      <c r="Q697" s="369" t="s">
        <v>655</v>
      </c>
      <c r="R697" s="367" t="s">
        <v>2593</v>
      </c>
      <c r="S697" s="367">
        <v>4853034</v>
      </c>
      <c r="T697" s="483">
        <v>1360.28</v>
      </c>
      <c r="U697" s="470"/>
      <c r="V697" s="483">
        <v>40.270000000000003</v>
      </c>
      <c r="W697" s="470"/>
      <c r="X697" s="470"/>
      <c r="Y697" s="370">
        <f t="shared" si="17"/>
        <v>1360.28</v>
      </c>
      <c r="Z697" s="371"/>
    </row>
    <row r="698" spans="1:26" x14ac:dyDescent="0.25">
      <c r="A698" s="481">
        <v>42475</v>
      </c>
      <c r="B698" s="470"/>
      <c r="C698" s="380"/>
      <c r="F698" s="482" t="s">
        <v>2592</v>
      </c>
      <c r="G698" s="470"/>
      <c r="H698" s="369" t="s">
        <v>659</v>
      </c>
      <c r="I698" s="369" t="s">
        <v>2507</v>
      </c>
      <c r="J698" s="367" t="s">
        <v>2508</v>
      </c>
      <c r="K698" s="482" t="s">
        <v>2509</v>
      </c>
      <c r="L698" s="470"/>
      <c r="M698" s="470"/>
      <c r="N698" s="369" t="s">
        <v>655</v>
      </c>
      <c r="O698" s="369" t="s">
        <v>655</v>
      </c>
      <c r="P698" s="369" t="s">
        <v>655</v>
      </c>
      <c r="Q698" s="369" t="s">
        <v>655</v>
      </c>
      <c r="R698" s="367" t="s">
        <v>2594</v>
      </c>
      <c r="S698" s="367">
        <v>4888707</v>
      </c>
      <c r="T698" s="483">
        <v>1360.28</v>
      </c>
      <c r="U698" s="470"/>
      <c r="V698" s="483">
        <v>54.41</v>
      </c>
      <c r="W698" s="470"/>
      <c r="X698" s="470"/>
      <c r="Y698" s="370">
        <f t="shared" si="17"/>
        <v>1360.28</v>
      </c>
      <c r="Z698" s="371"/>
    </row>
    <row r="699" spans="1:26" x14ac:dyDescent="0.25">
      <c r="A699" s="481">
        <v>42480</v>
      </c>
      <c r="B699" s="470"/>
      <c r="C699" s="380"/>
      <c r="F699" s="482" t="s">
        <v>2595</v>
      </c>
      <c r="G699" s="470"/>
      <c r="H699" s="369" t="s">
        <v>659</v>
      </c>
      <c r="I699" s="369" t="s">
        <v>2596</v>
      </c>
      <c r="J699" s="367" t="s">
        <v>2597</v>
      </c>
      <c r="K699" s="482" t="s">
        <v>865</v>
      </c>
      <c r="L699" s="470"/>
      <c r="M699" s="470"/>
      <c r="N699" s="369" t="s">
        <v>655</v>
      </c>
      <c r="O699" s="369" t="s">
        <v>655</v>
      </c>
      <c r="P699" s="369" t="s">
        <v>655</v>
      </c>
      <c r="Q699" s="369" t="s">
        <v>655</v>
      </c>
      <c r="R699" s="367" t="s">
        <v>2598</v>
      </c>
      <c r="S699" s="367">
        <v>4817125</v>
      </c>
      <c r="T699" s="483">
        <v>1360.28</v>
      </c>
      <c r="U699" s="470"/>
      <c r="V699" s="483">
        <v>0</v>
      </c>
      <c r="W699" s="470"/>
      <c r="X699" s="470"/>
      <c r="Y699" s="370">
        <f t="shared" si="17"/>
        <v>1360.28</v>
      </c>
      <c r="Z699" s="371"/>
    </row>
    <row r="700" spans="1:26" x14ac:dyDescent="0.25">
      <c r="A700" s="481">
        <v>42485</v>
      </c>
      <c r="B700" s="470"/>
      <c r="C700" s="380"/>
      <c r="F700" s="482" t="s">
        <v>2599</v>
      </c>
      <c r="G700" s="470"/>
      <c r="H700" s="369" t="s">
        <v>659</v>
      </c>
      <c r="I700" s="369" t="s">
        <v>2479</v>
      </c>
      <c r="J700" s="367" t="s">
        <v>1173</v>
      </c>
      <c r="K700" s="482" t="s">
        <v>2480</v>
      </c>
      <c r="L700" s="470"/>
      <c r="M700" s="470"/>
      <c r="N700" s="369" t="s">
        <v>655</v>
      </c>
      <c r="O700" s="369" t="s">
        <v>655</v>
      </c>
      <c r="P700" s="369" t="s">
        <v>655</v>
      </c>
      <c r="Q700" s="369" t="s">
        <v>655</v>
      </c>
      <c r="R700" s="367" t="s">
        <v>2600</v>
      </c>
      <c r="S700" s="367">
        <v>4888353</v>
      </c>
      <c r="T700" s="483">
        <v>1360.28</v>
      </c>
      <c r="U700" s="470"/>
      <c r="V700" s="483">
        <v>0</v>
      </c>
      <c r="W700" s="470"/>
      <c r="X700" s="470"/>
      <c r="Y700" s="370">
        <f t="shared" si="17"/>
        <v>1360.28</v>
      </c>
      <c r="Z700" s="371"/>
    </row>
    <row r="701" spans="1:26" x14ac:dyDescent="0.25">
      <c r="A701" s="481">
        <v>42486</v>
      </c>
      <c r="B701" s="470"/>
      <c r="C701" s="380"/>
      <c r="F701" s="482" t="s">
        <v>2469</v>
      </c>
      <c r="G701" s="470"/>
      <c r="H701" s="369" t="s">
        <v>659</v>
      </c>
      <c r="I701" s="369" t="s">
        <v>2090</v>
      </c>
      <c r="J701" s="367" t="s">
        <v>2091</v>
      </c>
      <c r="K701" s="482" t="s">
        <v>1473</v>
      </c>
      <c r="L701" s="470"/>
      <c r="M701" s="470"/>
      <c r="N701" s="369" t="s">
        <v>655</v>
      </c>
      <c r="O701" s="369" t="s">
        <v>655</v>
      </c>
      <c r="P701" s="369" t="s">
        <v>655</v>
      </c>
      <c r="Q701" s="369" t="s">
        <v>655</v>
      </c>
      <c r="R701" s="367" t="s">
        <v>2601</v>
      </c>
      <c r="S701" s="367">
        <v>4971023</v>
      </c>
      <c r="T701" s="483">
        <v>1360.28</v>
      </c>
      <c r="U701" s="470"/>
      <c r="V701" s="483">
        <v>0</v>
      </c>
      <c r="W701" s="470"/>
      <c r="X701" s="470"/>
      <c r="Y701" s="370">
        <f t="shared" si="17"/>
        <v>1360.28</v>
      </c>
      <c r="Z701" s="371"/>
    </row>
    <row r="702" spans="1:26" x14ac:dyDescent="0.25">
      <c r="A702" s="481">
        <v>42486</v>
      </c>
      <c r="B702" s="470"/>
      <c r="C702" s="380"/>
      <c r="F702" s="482" t="s">
        <v>2602</v>
      </c>
      <c r="G702" s="470"/>
      <c r="H702" s="369" t="s">
        <v>659</v>
      </c>
      <c r="I702" s="369" t="s">
        <v>2502</v>
      </c>
      <c r="J702" s="367" t="s">
        <v>2503</v>
      </c>
      <c r="K702" s="482" t="s">
        <v>2504</v>
      </c>
      <c r="L702" s="470"/>
      <c r="M702" s="470"/>
      <c r="N702" s="369" t="s">
        <v>655</v>
      </c>
      <c r="O702" s="369" t="s">
        <v>655</v>
      </c>
      <c r="P702" s="369" t="s">
        <v>655</v>
      </c>
      <c r="Q702" s="369" t="s">
        <v>655</v>
      </c>
      <c r="R702" s="367" t="s">
        <v>2603</v>
      </c>
      <c r="S702" s="367">
        <v>4966813</v>
      </c>
      <c r="T702" s="483">
        <v>1360.28</v>
      </c>
      <c r="U702" s="470"/>
      <c r="V702" s="483">
        <v>0</v>
      </c>
      <c r="W702" s="470"/>
      <c r="X702" s="470"/>
      <c r="Y702" s="370">
        <f t="shared" si="17"/>
        <v>1360.28</v>
      </c>
      <c r="Z702" s="371"/>
    </row>
    <row r="703" spans="1:26" x14ac:dyDescent="0.25">
      <c r="A703" s="481">
        <v>42487</v>
      </c>
      <c r="B703" s="470"/>
      <c r="C703" s="380"/>
      <c r="F703" s="482" t="s">
        <v>2604</v>
      </c>
      <c r="G703" s="470"/>
      <c r="H703" s="369" t="s">
        <v>659</v>
      </c>
      <c r="I703" s="369" t="s">
        <v>2125</v>
      </c>
      <c r="J703" s="367" t="s">
        <v>2126</v>
      </c>
      <c r="K703" s="482" t="s">
        <v>2127</v>
      </c>
      <c r="L703" s="470"/>
      <c r="M703" s="470"/>
      <c r="N703" s="369" t="s">
        <v>655</v>
      </c>
      <c r="O703" s="369" t="s">
        <v>655</v>
      </c>
      <c r="P703" s="369" t="s">
        <v>655</v>
      </c>
      <c r="Q703" s="369" t="s">
        <v>655</v>
      </c>
      <c r="R703" s="367" t="s">
        <v>2605</v>
      </c>
      <c r="S703" s="367">
        <v>5006463</v>
      </c>
      <c r="T703" s="483">
        <v>1360.28</v>
      </c>
      <c r="U703" s="470"/>
      <c r="V703" s="483">
        <v>0</v>
      </c>
      <c r="W703" s="470"/>
      <c r="X703" s="470"/>
      <c r="Y703" s="370">
        <f t="shared" si="17"/>
        <v>1360.28</v>
      </c>
      <c r="Z703" s="371"/>
    </row>
    <row r="704" spans="1:26" x14ac:dyDescent="0.25">
      <c r="A704" s="481">
        <v>42487</v>
      </c>
      <c r="B704" s="470"/>
      <c r="C704" s="380"/>
      <c r="F704" s="482" t="s">
        <v>2606</v>
      </c>
      <c r="G704" s="470"/>
      <c r="H704" s="369" t="s">
        <v>659</v>
      </c>
      <c r="I704" s="369" t="s">
        <v>2607</v>
      </c>
      <c r="J704" s="367" t="s">
        <v>2608</v>
      </c>
      <c r="K704" s="482" t="s">
        <v>2609</v>
      </c>
      <c r="L704" s="470"/>
      <c r="M704" s="470"/>
      <c r="N704" s="369" t="s">
        <v>655</v>
      </c>
      <c r="O704" s="369" t="s">
        <v>655</v>
      </c>
      <c r="P704" s="369" t="s">
        <v>655</v>
      </c>
      <c r="Q704" s="369" t="s">
        <v>655</v>
      </c>
      <c r="R704" s="367" t="s">
        <v>2610</v>
      </c>
      <c r="S704" s="367">
        <v>4928650</v>
      </c>
      <c r="T704" s="483">
        <v>1360.28</v>
      </c>
      <c r="U704" s="470"/>
      <c r="V704" s="483">
        <v>0</v>
      </c>
      <c r="W704" s="470"/>
      <c r="X704" s="470"/>
      <c r="Y704" s="370">
        <f t="shared" si="17"/>
        <v>1360.28</v>
      </c>
      <c r="Z704" s="371"/>
    </row>
    <row r="705" spans="1:26" x14ac:dyDescent="0.25">
      <c r="A705" s="481">
        <v>42488</v>
      </c>
      <c r="B705" s="470"/>
      <c r="C705" s="380"/>
      <c r="F705" s="482" t="s">
        <v>2611</v>
      </c>
      <c r="G705" s="470"/>
      <c r="H705" s="369" t="s">
        <v>659</v>
      </c>
      <c r="I705" s="369" t="s">
        <v>2612</v>
      </c>
      <c r="J705" s="367" t="s">
        <v>2038</v>
      </c>
      <c r="K705" s="482" t="s">
        <v>959</v>
      </c>
      <c r="L705" s="470"/>
      <c r="M705" s="470"/>
      <c r="N705" s="369" t="s">
        <v>655</v>
      </c>
      <c r="O705" s="369" t="s">
        <v>655</v>
      </c>
      <c r="P705" s="369" t="s">
        <v>655</v>
      </c>
      <c r="Q705" s="369" t="s">
        <v>655</v>
      </c>
      <c r="R705" s="367" t="s">
        <v>2613</v>
      </c>
      <c r="S705" s="367">
        <v>4935959</v>
      </c>
      <c r="T705" s="483">
        <v>1360.28</v>
      </c>
      <c r="U705" s="470"/>
      <c r="V705" s="483">
        <v>0</v>
      </c>
      <c r="W705" s="470"/>
      <c r="X705" s="470"/>
      <c r="Y705" s="370">
        <f t="shared" si="17"/>
        <v>1360.28</v>
      </c>
      <c r="Z705" s="371"/>
    </row>
    <row r="706" spans="1:26" x14ac:dyDescent="0.25">
      <c r="A706" s="481">
        <v>42496</v>
      </c>
      <c r="B706" s="470"/>
      <c r="C706" s="380"/>
      <c r="F706" s="482" t="s">
        <v>2602</v>
      </c>
      <c r="G706" s="470"/>
      <c r="H706" s="369" t="s">
        <v>659</v>
      </c>
      <c r="I706" s="369" t="s">
        <v>2502</v>
      </c>
      <c r="J706" s="367" t="s">
        <v>2503</v>
      </c>
      <c r="K706" s="482" t="s">
        <v>2504</v>
      </c>
      <c r="L706" s="470"/>
      <c r="M706" s="470"/>
      <c r="N706" s="369" t="s">
        <v>655</v>
      </c>
      <c r="O706" s="369" t="s">
        <v>655</v>
      </c>
      <c r="P706" s="369" t="s">
        <v>655</v>
      </c>
      <c r="Q706" s="369" t="s">
        <v>655</v>
      </c>
      <c r="R706" s="367" t="s">
        <v>2603</v>
      </c>
      <c r="S706" s="367">
        <v>5368153</v>
      </c>
      <c r="T706" s="483">
        <v>1360.28</v>
      </c>
      <c r="U706" s="470"/>
      <c r="V706" s="483">
        <v>0</v>
      </c>
      <c r="W706" s="470"/>
      <c r="X706" s="470"/>
      <c r="Y706" s="370">
        <f t="shared" si="17"/>
        <v>1360.28</v>
      </c>
      <c r="Z706" s="371"/>
    </row>
    <row r="707" spans="1:26" x14ac:dyDescent="0.25">
      <c r="A707" s="481">
        <v>42499</v>
      </c>
      <c r="B707" s="470"/>
      <c r="C707" s="380"/>
      <c r="F707" s="482" t="s">
        <v>2614</v>
      </c>
      <c r="G707" s="470"/>
      <c r="H707" s="369" t="s">
        <v>659</v>
      </c>
      <c r="I707" s="369" t="s">
        <v>2615</v>
      </c>
      <c r="J707" s="367" t="s">
        <v>2616</v>
      </c>
      <c r="K707" s="482" t="s">
        <v>676</v>
      </c>
      <c r="L707" s="470"/>
      <c r="M707" s="470"/>
      <c r="N707" s="369" t="s">
        <v>655</v>
      </c>
      <c r="O707" s="369" t="s">
        <v>655</v>
      </c>
      <c r="P707" s="369" t="s">
        <v>655</v>
      </c>
      <c r="Q707" s="369" t="s">
        <v>655</v>
      </c>
      <c r="R707" s="367" t="s">
        <v>2617</v>
      </c>
      <c r="S707" s="367">
        <v>5056040</v>
      </c>
      <c r="T707" s="483">
        <v>1360.28</v>
      </c>
      <c r="U707" s="470"/>
      <c r="V707" s="483">
        <v>54.41</v>
      </c>
      <c r="W707" s="470"/>
      <c r="X707" s="470"/>
      <c r="Y707" s="370">
        <f t="shared" si="17"/>
        <v>1360.28</v>
      </c>
      <c r="Z707" s="371"/>
    </row>
    <row r="708" spans="1:26" x14ac:dyDescent="0.25">
      <c r="A708" s="481">
        <v>42513</v>
      </c>
      <c r="B708" s="470"/>
      <c r="C708" s="380"/>
      <c r="F708" s="482" t="s">
        <v>2586</v>
      </c>
      <c r="G708" s="470"/>
      <c r="H708" s="369" t="s">
        <v>659</v>
      </c>
      <c r="I708" s="369" t="s">
        <v>2618</v>
      </c>
      <c r="J708" s="367" t="s">
        <v>1173</v>
      </c>
      <c r="K708" s="482" t="s">
        <v>2619</v>
      </c>
      <c r="L708" s="470"/>
      <c r="M708" s="470"/>
      <c r="N708" s="369" t="s">
        <v>655</v>
      </c>
      <c r="O708" s="369" t="s">
        <v>655</v>
      </c>
      <c r="P708" s="369" t="s">
        <v>655</v>
      </c>
      <c r="Q708" s="369" t="s">
        <v>655</v>
      </c>
      <c r="R708" s="367" t="s">
        <v>2620</v>
      </c>
      <c r="S708" s="367">
        <v>4853063</v>
      </c>
      <c r="T708" s="483">
        <v>1360.28</v>
      </c>
      <c r="U708" s="470"/>
      <c r="V708" s="483">
        <v>0</v>
      </c>
      <c r="W708" s="470"/>
      <c r="X708" s="470"/>
      <c r="Y708" s="370">
        <f t="shared" si="17"/>
        <v>1360.28</v>
      </c>
      <c r="Z708" s="371"/>
    </row>
    <row r="709" spans="1:26" x14ac:dyDescent="0.25">
      <c r="A709" s="481">
        <v>42515</v>
      </c>
      <c r="B709" s="470"/>
      <c r="C709" s="380"/>
      <c r="F709" s="482" t="s">
        <v>2599</v>
      </c>
      <c r="G709" s="470"/>
      <c r="H709" s="369" t="s">
        <v>659</v>
      </c>
      <c r="I709" s="369" t="s">
        <v>2474</v>
      </c>
      <c r="J709" s="367" t="s">
        <v>2475</v>
      </c>
      <c r="K709" s="482" t="s">
        <v>2214</v>
      </c>
      <c r="L709" s="470"/>
      <c r="M709" s="470"/>
      <c r="N709" s="369" t="s">
        <v>655</v>
      </c>
      <c r="O709" s="369" t="s">
        <v>655</v>
      </c>
      <c r="P709" s="369" t="s">
        <v>655</v>
      </c>
      <c r="Q709" s="369" t="s">
        <v>753</v>
      </c>
      <c r="R709" s="367" t="s">
        <v>2621</v>
      </c>
      <c r="S709" s="367">
        <v>5001909</v>
      </c>
      <c r="T709" s="483">
        <v>1360.28</v>
      </c>
      <c r="U709" s="470"/>
      <c r="V709" s="483">
        <v>0</v>
      </c>
      <c r="W709" s="470"/>
      <c r="X709" s="470"/>
      <c r="Y709" s="370">
        <f t="shared" si="17"/>
        <v>0</v>
      </c>
      <c r="Z709" s="371"/>
    </row>
    <row r="710" spans="1:26" x14ac:dyDescent="0.25">
      <c r="A710" s="481">
        <v>42516</v>
      </c>
      <c r="B710" s="470"/>
      <c r="C710" s="380"/>
      <c r="F710" s="482" t="s">
        <v>2469</v>
      </c>
      <c r="G710" s="470"/>
      <c r="H710" s="369" t="s">
        <v>659</v>
      </c>
      <c r="I710" s="369" t="s">
        <v>2622</v>
      </c>
      <c r="J710" s="367" t="s">
        <v>680</v>
      </c>
      <c r="K710" s="482" t="s">
        <v>2623</v>
      </c>
      <c r="L710" s="470"/>
      <c r="M710" s="470"/>
      <c r="N710" s="369" t="s">
        <v>655</v>
      </c>
      <c r="O710" s="369" t="s">
        <v>655</v>
      </c>
      <c r="P710" s="369" t="s">
        <v>655</v>
      </c>
      <c r="Q710" s="369" t="s">
        <v>655</v>
      </c>
      <c r="R710" s="367" t="s">
        <v>2624</v>
      </c>
      <c r="S710" s="367">
        <v>5152721</v>
      </c>
      <c r="T710" s="483">
        <v>1360.28</v>
      </c>
      <c r="U710" s="470"/>
      <c r="V710" s="483">
        <v>0</v>
      </c>
      <c r="W710" s="470"/>
      <c r="X710" s="470"/>
      <c r="Y710" s="370">
        <f t="shared" si="17"/>
        <v>1360.28</v>
      </c>
      <c r="Z710" s="371"/>
    </row>
    <row r="711" spans="1:26" x14ac:dyDescent="0.25">
      <c r="A711" s="484" t="s">
        <v>655</v>
      </c>
      <c r="B711" s="470"/>
      <c r="C711" s="470"/>
      <c r="D711" s="485" t="s">
        <v>2625</v>
      </c>
      <c r="E711" s="470"/>
      <c r="F711" s="470"/>
      <c r="G711" s="470"/>
      <c r="H711" s="484" t="s">
        <v>2626</v>
      </c>
      <c r="I711" s="470"/>
      <c r="J711" s="470"/>
      <c r="K711" s="470"/>
      <c r="L711" s="470"/>
      <c r="M711" s="470"/>
      <c r="N711" s="470"/>
      <c r="O711" s="372" t="s">
        <v>655</v>
      </c>
      <c r="P711" s="372" t="s">
        <v>655</v>
      </c>
      <c r="Q711" s="372" t="s">
        <v>655</v>
      </c>
      <c r="R711" s="372" t="s">
        <v>655</v>
      </c>
      <c r="S711" s="372">
        <v>178671622</v>
      </c>
      <c r="T711" s="486">
        <v>55771.48</v>
      </c>
      <c r="U711" s="470"/>
      <c r="V711" s="486">
        <v>2902.58</v>
      </c>
      <c r="W711" s="470"/>
      <c r="X711" s="470"/>
      <c r="Y711" s="373">
        <f>SUM(Y670:Y710)</f>
        <v>25705.879999999994</v>
      </c>
      <c r="Z711" s="374" t="s">
        <v>655</v>
      </c>
    </row>
    <row r="712" spans="1:26" x14ac:dyDescent="0.25">
      <c r="A712" s="489" t="s">
        <v>655</v>
      </c>
      <c r="B712" s="470"/>
      <c r="C712" s="470"/>
      <c r="D712" s="490" t="s">
        <v>2625</v>
      </c>
      <c r="E712" s="470"/>
      <c r="F712" s="470"/>
      <c r="G712" s="470"/>
      <c r="H712" s="489" t="s">
        <v>2627</v>
      </c>
      <c r="I712" s="470"/>
      <c r="J712" s="470"/>
      <c r="K712" s="470"/>
      <c r="L712" s="470"/>
      <c r="M712" s="470"/>
      <c r="N712" s="470"/>
      <c r="O712" s="375" t="s">
        <v>655</v>
      </c>
      <c r="P712" s="375" t="s">
        <v>655</v>
      </c>
      <c r="Q712" s="375" t="s">
        <v>655</v>
      </c>
      <c r="R712" s="375" t="s">
        <v>655</v>
      </c>
      <c r="S712" s="375" t="s">
        <v>655</v>
      </c>
      <c r="T712" s="491">
        <v>55771.48</v>
      </c>
      <c r="U712" s="470"/>
      <c r="V712" s="491">
        <v>2902.58</v>
      </c>
      <c r="W712" s="470"/>
      <c r="X712" s="470"/>
      <c r="Y712" s="376">
        <f>Y711</f>
        <v>25705.879999999994</v>
      </c>
      <c r="Z712" s="377" t="s">
        <v>655</v>
      </c>
    </row>
    <row r="713" spans="1:26" x14ac:dyDescent="0.25">
      <c r="A713" s="492" t="s">
        <v>655</v>
      </c>
      <c r="B713" s="470"/>
      <c r="C713" s="378" t="s">
        <v>655</v>
      </c>
      <c r="D713" s="493" t="s">
        <v>655</v>
      </c>
      <c r="E713" s="470"/>
      <c r="F713" s="493" t="s">
        <v>655</v>
      </c>
      <c r="G713" s="470"/>
      <c r="H713" s="378" t="s">
        <v>655</v>
      </c>
      <c r="I713" s="378" t="s">
        <v>655</v>
      </c>
      <c r="J713" s="378" t="s">
        <v>655</v>
      </c>
      <c r="K713" s="492" t="s">
        <v>655</v>
      </c>
      <c r="L713" s="470"/>
      <c r="M713" s="470"/>
      <c r="N713" s="378" t="s">
        <v>655</v>
      </c>
      <c r="O713" s="378" t="s">
        <v>655</v>
      </c>
      <c r="P713" s="378" t="s">
        <v>655</v>
      </c>
      <c r="Q713" s="378" t="s">
        <v>655</v>
      </c>
      <c r="R713" s="378" t="s">
        <v>655</v>
      </c>
      <c r="S713" s="378" t="s">
        <v>655</v>
      </c>
      <c r="T713" s="488" t="s">
        <v>655</v>
      </c>
      <c r="U713" s="470"/>
      <c r="V713" s="488" t="s">
        <v>655</v>
      </c>
      <c r="W713" s="470"/>
      <c r="X713" s="470"/>
      <c r="Y713" s="379" t="s">
        <v>655</v>
      </c>
      <c r="Z713" s="379" t="s">
        <v>655</v>
      </c>
    </row>
    <row r="714" spans="1:26" x14ac:dyDescent="0.25">
      <c r="A714" s="474" t="s">
        <v>2628</v>
      </c>
      <c r="B714" s="470"/>
      <c r="C714" s="470"/>
      <c r="D714" s="470"/>
      <c r="E714" s="470"/>
      <c r="F714" s="470"/>
      <c r="G714" s="470"/>
      <c r="H714" s="470"/>
      <c r="I714" s="470"/>
      <c r="J714" s="470"/>
      <c r="K714" s="470"/>
      <c r="L714" s="470"/>
      <c r="M714" s="470"/>
      <c r="N714" s="470"/>
      <c r="O714" s="470"/>
      <c r="P714" s="364" t="s">
        <v>655</v>
      </c>
      <c r="Q714" s="365" t="s">
        <v>655</v>
      </c>
      <c r="R714" s="365" t="s">
        <v>655</v>
      </c>
      <c r="S714" s="365" t="s">
        <v>655</v>
      </c>
      <c r="T714" s="475" t="s">
        <v>655</v>
      </c>
      <c r="U714" s="470"/>
      <c r="V714" s="475" t="s">
        <v>655</v>
      </c>
      <c r="W714" s="470"/>
      <c r="X714" s="470"/>
      <c r="Y714" s="365" t="s">
        <v>655</v>
      </c>
      <c r="Z714" s="365" t="s">
        <v>655</v>
      </c>
    </row>
    <row r="715" spans="1:26" x14ac:dyDescent="0.25">
      <c r="A715" s="474" t="s">
        <v>657</v>
      </c>
      <c r="B715" s="470"/>
      <c r="C715" s="470"/>
      <c r="D715" s="470"/>
      <c r="E715" s="470"/>
      <c r="F715" s="470"/>
      <c r="G715" s="470"/>
      <c r="H715" s="470"/>
      <c r="I715" s="470"/>
      <c r="J715" s="470"/>
      <c r="K715" s="470"/>
      <c r="L715" s="470"/>
      <c r="M715" s="470"/>
      <c r="N715" s="470"/>
      <c r="O715" s="470"/>
      <c r="P715" s="364" t="s">
        <v>655</v>
      </c>
      <c r="Q715" s="365" t="s">
        <v>655</v>
      </c>
      <c r="R715" s="365" t="s">
        <v>655</v>
      </c>
      <c r="S715" s="365" t="s">
        <v>655</v>
      </c>
      <c r="T715" s="475" t="s">
        <v>655</v>
      </c>
      <c r="U715" s="470"/>
      <c r="V715" s="475" t="s">
        <v>655</v>
      </c>
      <c r="W715" s="470"/>
      <c r="X715" s="470"/>
      <c r="Y715" s="365" t="s">
        <v>655</v>
      </c>
      <c r="Z715" s="365" t="s">
        <v>655</v>
      </c>
    </row>
    <row r="716" spans="1:26" x14ac:dyDescent="0.25">
      <c r="A716" s="487" t="s">
        <v>491</v>
      </c>
      <c r="B716" s="470"/>
      <c r="C716" s="470"/>
      <c r="D716" s="470"/>
      <c r="E716" s="470"/>
      <c r="F716" s="470"/>
      <c r="G716" s="470"/>
      <c r="H716" s="470"/>
      <c r="I716" s="470"/>
      <c r="J716" s="470"/>
      <c r="K716" s="470"/>
      <c r="L716" s="470"/>
      <c r="M716" s="470"/>
      <c r="N716" s="470"/>
      <c r="O716" s="470"/>
      <c r="P716" s="366" t="s">
        <v>655</v>
      </c>
      <c r="Q716" s="367" t="s">
        <v>655</v>
      </c>
      <c r="R716" s="367" t="s">
        <v>655</v>
      </c>
      <c r="S716" s="367" t="s">
        <v>655</v>
      </c>
      <c r="T716" s="482" t="s">
        <v>655</v>
      </c>
      <c r="U716" s="470"/>
      <c r="V716" s="482" t="s">
        <v>655</v>
      </c>
      <c r="W716" s="470"/>
      <c r="X716" s="470"/>
      <c r="Y716" s="367" t="s">
        <v>655</v>
      </c>
      <c r="Z716" s="367" t="s">
        <v>655</v>
      </c>
    </row>
    <row r="717" spans="1:26" x14ac:dyDescent="0.25">
      <c r="A717" s="481">
        <v>42340</v>
      </c>
      <c r="B717" s="470"/>
      <c r="C717" s="380"/>
      <c r="F717" s="482" t="s">
        <v>2393</v>
      </c>
      <c r="G717" s="470"/>
      <c r="H717" s="369" t="s">
        <v>659</v>
      </c>
      <c r="I717" s="369" t="s">
        <v>2547</v>
      </c>
      <c r="J717" s="367" t="s">
        <v>2548</v>
      </c>
      <c r="K717" s="482" t="s">
        <v>816</v>
      </c>
      <c r="L717" s="470"/>
      <c r="M717" s="470"/>
      <c r="N717" s="369" t="s">
        <v>655</v>
      </c>
      <c r="O717" s="369" t="s">
        <v>655</v>
      </c>
      <c r="P717" s="369" t="s">
        <v>655</v>
      </c>
      <c r="Q717" s="369" t="s">
        <v>655</v>
      </c>
      <c r="R717" s="367" t="s">
        <v>2629</v>
      </c>
      <c r="S717" s="367">
        <v>3964072</v>
      </c>
      <c r="T717" s="483">
        <v>12981.2</v>
      </c>
      <c r="U717" s="470"/>
      <c r="V717" s="483">
        <v>3700.44</v>
      </c>
      <c r="W717" s="470"/>
      <c r="X717" s="470"/>
      <c r="Y717" s="370">
        <f t="shared" ref="Y717:Y718" si="18">V717</f>
        <v>3700.44</v>
      </c>
      <c r="Z717" s="371"/>
    </row>
    <row r="718" spans="1:26" x14ac:dyDescent="0.25">
      <c r="A718" s="481">
        <v>42355</v>
      </c>
      <c r="B718" s="470"/>
      <c r="C718" s="380"/>
      <c r="F718" s="482" t="s">
        <v>2531</v>
      </c>
      <c r="G718" s="470"/>
      <c r="H718" s="369" t="s">
        <v>659</v>
      </c>
      <c r="I718" s="369" t="s">
        <v>2380</v>
      </c>
      <c r="J718" s="367" t="s">
        <v>2381</v>
      </c>
      <c r="K718" s="482" t="s">
        <v>1001</v>
      </c>
      <c r="L718" s="470"/>
      <c r="M718" s="470"/>
      <c r="N718" s="369" t="s">
        <v>655</v>
      </c>
      <c r="O718" s="369" t="s">
        <v>655</v>
      </c>
      <c r="P718" s="369" t="s">
        <v>655</v>
      </c>
      <c r="Q718" s="369" t="s">
        <v>655</v>
      </c>
      <c r="R718" s="367" t="s">
        <v>2630</v>
      </c>
      <c r="S718" s="367">
        <v>4119604</v>
      </c>
      <c r="T718" s="483">
        <v>12981.2</v>
      </c>
      <c r="U718" s="470"/>
      <c r="V718" s="483">
        <v>784.54</v>
      </c>
      <c r="W718" s="470"/>
      <c r="X718" s="470"/>
      <c r="Y718" s="370">
        <f t="shared" si="18"/>
        <v>784.54</v>
      </c>
      <c r="Z718" s="371"/>
    </row>
    <row r="719" spans="1:26" x14ac:dyDescent="0.25">
      <c r="A719" s="481">
        <v>42410</v>
      </c>
      <c r="B719" s="470"/>
      <c r="C719" s="380"/>
      <c r="F719" s="482" t="s">
        <v>2531</v>
      </c>
      <c r="G719" s="470"/>
      <c r="H719" s="369" t="s">
        <v>659</v>
      </c>
      <c r="I719" s="369" t="s">
        <v>2380</v>
      </c>
      <c r="J719" s="367" t="s">
        <v>2381</v>
      </c>
      <c r="K719" s="482" t="s">
        <v>1001</v>
      </c>
      <c r="L719" s="470"/>
      <c r="M719" s="470"/>
      <c r="N719" s="369" t="s">
        <v>655</v>
      </c>
      <c r="O719" s="369" t="s">
        <v>655</v>
      </c>
      <c r="P719" s="369" t="s">
        <v>655</v>
      </c>
      <c r="Q719" s="369" t="s">
        <v>655</v>
      </c>
      <c r="R719" s="367" t="s">
        <v>2631</v>
      </c>
      <c r="S719" s="367">
        <v>4367291</v>
      </c>
      <c r="T719" s="483">
        <v>12981.2</v>
      </c>
      <c r="U719" s="470"/>
      <c r="V719" s="483">
        <v>0</v>
      </c>
      <c r="W719" s="470"/>
      <c r="X719" s="470"/>
      <c r="Y719" s="370">
        <f t="shared" ref="Y719:Y722" si="19">IF(Q719="Y",V719,IF(V719&gt;T719,V719,T719))</f>
        <v>12981.2</v>
      </c>
      <c r="Z719" s="371"/>
    </row>
    <row r="720" spans="1:26" x14ac:dyDescent="0.25">
      <c r="A720" s="481">
        <v>42436</v>
      </c>
      <c r="B720" s="470"/>
      <c r="C720" s="380"/>
      <c r="F720" s="482" t="s">
        <v>2632</v>
      </c>
      <c r="G720" s="470"/>
      <c r="H720" s="369" t="s">
        <v>659</v>
      </c>
      <c r="I720" s="369" t="s">
        <v>1760</v>
      </c>
      <c r="J720" s="367" t="s">
        <v>1761</v>
      </c>
      <c r="K720" s="482" t="s">
        <v>1353</v>
      </c>
      <c r="L720" s="470"/>
      <c r="M720" s="470"/>
      <c r="N720" s="369" t="s">
        <v>655</v>
      </c>
      <c r="O720" s="369" t="s">
        <v>655</v>
      </c>
      <c r="P720" s="369" t="s">
        <v>655</v>
      </c>
      <c r="Q720" s="369" t="s">
        <v>655</v>
      </c>
      <c r="R720" s="367" t="s">
        <v>2633</v>
      </c>
      <c r="S720" s="367">
        <v>4701878</v>
      </c>
      <c r="T720" s="483">
        <v>12981.2</v>
      </c>
      <c r="U720" s="470"/>
      <c r="V720" s="483">
        <v>1072.99</v>
      </c>
      <c r="W720" s="470"/>
      <c r="X720" s="470"/>
      <c r="Y720" s="370">
        <f t="shared" si="19"/>
        <v>12981.2</v>
      </c>
      <c r="Z720" s="371"/>
    </row>
    <row r="721" spans="1:26" x14ac:dyDescent="0.25">
      <c r="A721" s="481">
        <v>42482</v>
      </c>
      <c r="B721" s="470"/>
      <c r="C721" s="380"/>
      <c r="F721" s="482" t="s">
        <v>2634</v>
      </c>
      <c r="G721" s="470"/>
      <c r="H721" s="369" t="s">
        <v>659</v>
      </c>
      <c r="I721" s="369" t="s">
        <v>2497</v>
      </c>
      <c r="J721" s="367" t="s">
        <v>2498</v>
      </c>
      <c r="K721" s="482" t="s">
        <v>2499</v>
      </c>
      <c r="L721" s="470"/>
      <c r="M721" s="470"/>
      <c r="N721" s="369" t="s">
        <v>655</v>
      </c>
      <c r="O721" s="369" t="s">
        <v>655</v>
      </c>
      <c r="P721" s="369" t="s">
        <v>655</v>
      </c>
      <c r="Q721" s="369" t="s">
        <v>655</v>
      </c>
      <c r="R721" s="367" t="s">
        <v>2635</v>
      </c>
      <c r="S721" s="367">
        <v>5157535</v>
      </c>
      <c r="T721" s="483">
        <v>12981.2</v>
      </c>
      <c r="U721" s="470"/>
      <c r="V721" s="483">
        <v>1025.08</v>
      </c>
      <c r="W721" s="470"/>
      <c r="X721" s="470"/>
      <c r="Y721" s="370">
        <f t="shared" si="19"/>
        <v>12981.2</v>
      </c>
      <c r="Z721" s="371"/>
    </row>
    <row r="722" spans="1:26" x14ac:dyDescent="0.25">
      <c r="A722" s="481">
        <v>42493</v>
      </c>
      <c r="B722" s="470"/>
      <c r="C722" s="380"/>
      <c r="F722" s="482" t="s">
        <v>2496</v>
      </c>
      <c r="G722" s="470"/>
      <c r="H722" s="369" t="s">
        <v>659</v>
      </c>
      <c r="I722" s="369" t="s">
        <v>2507</v>
      </c>
      <c r="J722" s="367" t="s">
        <v>2508</v>
      </c>
      <c r="K722" s="482" t="s">
        <v>2509</v>
      </c>
      <c r="L722" s="470"/>
      <c r="M722" s="470"/>
      <c r="N722" s="369" t="s">
        <v>655</v>
      </c>
      <c r="O722" s="369" t="s">
        <v>655</v>
      </c>
      <c r="P722" s="369" t="s">
        <v>655</v>
      </c>
      <c r="Q722" s="369" t="s">
        <v>655</v>
      </c>
      <c r="R722" s="367" t="s">
        <v>2636</v>
      </c>
      <c r="S722" s="367">
        <v>4978634</v>
      </c>
      <c r="T722" s="483">
        <v>12981.2</v>
      </c>
      <c r="U722" s="470"/>
      <c r="V722" s="483">
        <v>531.62</v>
      </c>
      <c r="W722" s="470"/>
      <c r="X722" s="470"/>
      <c r="Y722" s="370">
        <f t="shared" si="19"/>
        <v>12981.2</v>
      </c>
      <c r="Z722" s="371"/>
    </row>
    <row r="723" spans="1:26" x14ac:dyDescent="0.25">
      <c r="A723" s="484" t="s">
        <v>655</v>
      </c>
      <c r="B723" s="470"/>
      <c r="C723" s="470"/>
      <c r="D723" s="485" t="s">
        <v>2637</v>
      </c>
      <c r="E723" s="470"/>
      <c r="F723" s="470"/>
      <c r="G723" s="470"/>
      <c r="H723" s="484" t="s">
        <v>2638</v>
      </c>
      <c r="I723" s="470"/>
      <c r="J723" s="470"/>
      <c r="K723" s="470"/>
      <c r="L723" s="470"/>
      <c r="M723" s="470"/>
      <c r="N723" s="470"/>
      <c r="O723" s="372" t="s">
        <v>655</v>
      </c>
      <c r="P723" s="372" t="s">
        <v>655</v>
      </c>
      <c r="Q723" s="372" t="s">
        <v>655</v>
      </c>
      <c r="R723" s="372" t="s">
        <v>655</v>
      </c>
      <c r="S723" s="372">
        <v>27289014</v>
      </c>
      <c r="T723" s="486">
        <v>77887.199999999997</v>
      </c>
      <c r="U723" s="470"/>
      <c r="V723" s="486">
        <v>7114.67</v>
      </c>
      <c r="W723" s="470"/>
      <c r="X723" s="470"/>
      <c r="Y723" s="373">
        <f>SUM(Y717:Y722)</f>
        <v>56409.78</v>
      </c>
      <c r="Z723" s="374" t="s">
        <v>655</v>
      </c>
    </row>
    <row r="724" spans="1:26" x14ac:dyDescent="0.25">
      <c r="A724" s="489" t="s">
        <v>655</v>
      </c>
      <c r="B724" s="470"/>
      <c r="C724" s="470"/>
      <c r="D724" s="490" t="s">
        <v>2637</v>
      </c>
      <c r="E724" s="470"/>
      <c r="F724" s="470"/>
      <c r="G724" s="470"/>
      <c r="H724" s="489" t="s">
        <v>2639</v>
      </c>
      <c r="I724" s="470"/>
      <c r="J724" s="470"/>
      <c r="K724" s="470"/>
      <c r="L724" s="470"/>
      <c r="M724" s="470"/>
      <c r="N724" s="470"/>
      <c r="O724" s="375" t="s">
        <v>655</v>
      </c>
      <c r="P724" s="375" t="s">
        <v>655</v>
      </c>
      <c r="Q724" s="375" t="s">
        <v>655</v>
      </c>
      <c r="R724" s="375" t="s">
        <v>655</v>
      </c>
      <c r="S724" s="375" t="s">
        <v>655</v>
      </c>
      <c r="T724" s="491">
        <v>77887.199999999997</v>
      </c>
      <c r="U724" s="470"/>
      <c r="V724" s="491">
        <v>7114.67</v>
      </c>
      <c r="W724" s="470"/>
      <c r="X724" s="470"/>
      <c r="Y724" s="376">
        <f>Y723</f>
        <v>56409.78</v>
      </c>
      <c r="Z724" s="377" t="s">
        <v>655</v>
      </c>
    </row>
    <row r="725" spans="1:26" x14ac:dyDescent="0.25">
      <c r="A725" s="492" t="s">
        <v>655</v>
      </c>
      <c r="B725" s="470"/>
      <c r="C725" s="378" t="s">
        <v>655</v>
      </c>
      <c r="D725" s="493" t="s">
        <v>655</v>
      </c>
      <c r="E725" s="470"/>
      <c r="F725" s="493" t="s">
        <v>655</v>
      </c>
      <c r="G725" s="470"/>
      <c r="H725" s="378" t="s">
        <v>655</v>
      </c>
      <c r="I725" s="378" t="s">
        <v>655</v>
      </c>
      <c r="J725" s="378" t="s">
        <v>655</v>
      </c>
      <c r="K725" s="492" t="s">
        <v>655</v>
      </c>
      <c r="L725" s="470"/>
      <c r="M725" s="470"/>
      <c r="N725" s="378" t="s">
        <v>655</v>
      </c>
      <c r="O725" s="378" t="s">
        <v>655</v>
      </c>
      <c r="P725" s="378" t="s">
        <v>655</v>
      </c>
      <c r="Q725" s="378" t="s">
        <v>655</v>
      </c>
      <c r="R725" s="378" t="s">
        <v>655</v>
      </c>
      <c r="S725" s="378" t="s">
        <v>655</v>
      </c>
      <c r="T725" s="488" t="s">
        <v>655</v>
      </c>
      <c r="U725" s="470"/>
      <c r="V725" s="488" t="s">
        <v>655</v>
      </c>
      <c r="W725" s="470"/>
      <c r="X725" s="470"/>
      <c r="Y725" s="379" t="s">
        <v>655</v>
      </c>
      <c r="Z725" s="379" t="s">
        <v>655</v>
      </c>
    </row>
    <row r="726" spans="1:26" x14ac:dyDescent="0.25">
      <c r="A726" s="474" t="s">
        <v>2640</v>
      </c>
      <c r="B726" s="470"/>
      <c r="C726" s="470"/>
      <c r="D726" s="470"/>
      <c r="E726" s="470"/>
      <c r="F726" s="470"/>
      <c r="G726" s="470"/>
      <c r="H726" s="470"/>
      <c r="I726" s="470"/>
      <c r="J726" s="470"/>
      <c r="K726" s="470"/>
      <c r="L726" s="470"/>
      <c r="M726" s="470"/>
      <c r="N726" s="470"/>
      <c r="O726" s="470"/>
      <c r="P726" s="364" t="s">
        <v>655</v>
      </c>
      <c r="Q726" s="365" t="s">
        <v>655</v>
      </c>
      <c r="R726" s="365" t="s">
        <v>655</v>
      </c>
      <c r="S726" s="365" t="s">
        <v>655</v>
      </c>
      <c r="T726" s="475" t="s">
        <v>655</v>
      </c>
      <c r="U726" s="470"/>
      <c r="V726" s="475" t="s">
        <v>655</v>
      </c>
      <c r="W726" s="470"/>
      <c r="X726" s="470"/>
      <c r="Y726" s="365" t="s">
        <v>655</v>
      </c>
      <c r="Z726" s="365" t="s">
        <v>655</v>
      </c>
    </row>
    <row r="727" spans="1:26" x14ac:dyDescent="0.25">
      <c r="A727" s="474" t="s">
        <v>657</v>
      </c>
      <c r="B727" s="470"/>
      <c r="C727" s="470"/>
      <c r="D727" s="470"/>
      <c r="E727" s="470"/>
      <c r="F727" s="470"/>
      <c r="G727" s="470"/>
      <c r="H727" s="470"/>
      <c r="I727" s="470"/>
      <c r="J727" s="470"/>
      <c r="K727" s="470"/>
      <c r="L727" s="470"/>
      <c r="M727" s="470"/>
      <c r="N727" s="470"/>
      <c r="O727" s="470"/>
      <c r="P727" s="364" t="s">
        <v>655</v>
      </c>
      <c r="Q727" s="365" t="s">
        <v>655</v>
      </c>
      <c r="R727" s="365" t="s">
        <v>655</v>
      </c>
      <c r="S727" s="365" t="s">
        <v>655</v>
      </c>
      <c r="T727" s="475" t="s">
        <v>655</v>
      </c>
      <c r="U727" s="470"/>
      <c r="V727" s="475" t="s">
        <v>655</v>
      </c>
      <c r="W727" s="470"/>
      <c r="X727" s="470"/>
      <c r="Y727" s="365" t="s">
        <v>655</v>
      </c>
      <c r="Z727" s="365" t="s">
        <v>655</v>
      </c>
    </row>
    <row r="728" spans="1:26" x14ac:dyDescent="0.25">
      <c r="A728" s="487" t="s">
        <v>491</v>
      </c>
      <c r="B728" s="470"/>
      <c r="C728" s="470"/>
      <c r="D728" s="470"/>
      <c r="E728" s="470"/>
      <c r="F728" s="470"/>
      <c r="G728" s="470"/>
      <c r="H728" s="470"/>
      <c r="I728" s="470"/>
      <c r="J728" s="470"/>
      <c r="K728" s="470"/>
      <c r="L728" s="470"/>
      <c r="M728" s="470"/>
      <c r="N728" s="470"/>
      <c r="O728" s="470"/>
      <c r="P728" s="366" t="s">
        <v>655</v>
      </c>
      <c r="Q728" s="367" t="s">
        <v>655</v>
      </c>
      <c r="R728" s="367" t="s">
        <v>655</v>
      </c>
      <c r="S728" s="367" t="s">
        <v>655</v>
      </c>
      <c r="T728" s="482" t="s">
        <v>655</v>
      </c>
      <c r="U728" s="470"/>
      <c r="V728" s="482" t="s">
        <v>655</v>
      </c>
      <c r="W728" s="470"/>
      <c r="X728" s="470"/>
      <c r="Y728" s="367" t="s">
        <v>655</v>
      </c>
      <c r="Z728" s="367" t="s">
        <v>655</v>
      </c>
    </row>
    <row r="729" spans="1:26" x14ac:dyDescent="0.25">
      <c r="A729" s="481">
        <v>42181</v>
      </c>
      <c r="B729" s="470"/>
      <c r="C729" s="380"/>
      <c r="F729" s="482" t="s">
        <v>2641</v>
      </c>
      <c r="G729" s="470"/>
      <c r="H729" s="369" t="s">
        <v>659</v>
      </c>
      <c r="I729" s="369" t="s">
        <v>2612</v>
      </c>
      <c r="J729" s="367" t="s">
        <v>2038</v>
      </c>
      <c r="K729" s="482" t="s">
        <v>959</v>
      </c>
      <c r="L729" s="470"/>
      <c r="M729" s="470"/>
      <c r="N729" s="369" t="s">
        <v>655</v>
      </c>
      <c r="O729" s="369" t="s">
        <v>655</v>
      </c>
      <c r="P729" s="369" t="s">
        <v>655</v>
      </c>
      <c r="Q729" s="369" t="s">
        <v>655</v>
      </c>
      <c r="R729" s="367" t="s">
        <v>2642</v>
      </c>
      <c r="S729" s="367">
        <v>3217260</v>
      </c>
      <c r="T729" s="483">
        <v>1091.4100000000001</v>
      </c>
      <c r="U729" s="470"/>
      <c r="V729" s="483">
        <v>324.85000000000002</v>
      </c>
      <c r="W729" s="470"/>
      <c r="X729" s="470"/>
      <c r="Y729" s="370">
        <f t="shared" ref="Y729:Y735" si="20">V729</f>
        <v>324.85000000000002</v>
      </c>
      <c r="Z729" s="371"/>
    </row>
    <row r="730" spans="1:26" x14ac:dyDescent="0.25">
      <c r="A730" s="481">
        <v>42264</v>
      </c>
      <c r="B730" s="470"/>
      <c r="C730" s="380"/>
      <c r="F730" s="482" t="s">
        <v>2643</v>
      </c>
      <c r="G730" s="470"/>
      <c r="H730" s="369" t="s">
        <v>659</v>
      </c>
      <c r="I730" s="369" t="s">
        <v>2644</v>
      </c>
      <c r="J730" s="367" t="s">
        <v>1372</v>
      </c>
      <c r="K730" s="482" t="s">
        <v>2645</v>
      </c>
      <c r="L730" s="470"/>
      <c r="M730" s="470"/>
      <c r="N730" s="369" t="s">
        <v>655</v>
      </c>
      <c r="O730" s="369" t="s">
        <v>655</v>
      </c>
      <c r="P730" s="369" t="s">
        <v>655</v>
      </c>
      <c r="Q730" s="369" t="s">
        <v>655</v>
      </c>
      <c r="R730" s="367" t="s">
        <v>2646</v>
      </c>
      <c r="S730" s="367">
        <v>3745819</v>
      </c>
      <c r="T730" s="483">
        <v>1091.4100000000001</v>
      </c>
      <c r="U730" s="470"/>
      <c r="V730" s="483">
        <v>368.77</v>
      </c>
      <c r="W730" s="470"/>
      <c r="X730" s="470"/>
      <c r="Y730" s="370">
        <f t="shared" si="20"/>
        <v>368.77</v>
      </c>
      <c r="Z730" s="371"/>
    </row>
    <row r="731" spans="1:26" x14ac:dyDescent="0.25">
      <c r="A731" s="481">
        <v>42285</v>
      </c>
      <c r="B731" s="470"/>
      <c r="C731" s="380"/>
      <c r="F731" s="482" t="s">
        <v>2643</v>
      </c>
      <c r="G731" s="470"/>
      <c r="H731" s="369" t="s">
        <v>659</v>
      </c>
      <c r="I731" s="369" t="s">
        <v>2363</v>
      </c>
      <c r="J731" s="367" t="s">
        <v>2364</v>
      </c>
      <c r="K731" s="482" t="s">
        <v>1060</v>
      </c>
      <c r="L731" s="470"/>
      <c r="M731" s="470"/>
      <c r="N731" s="369" t="s">
        <v>655</v>
      </c>
      <c r="O731" s="369" t="s">
        <v>655</v>
      </c>
      <c r="P731" s="369" t="s">
        <v>655</v>
      </c>
      <c r="Q731" s="369" t="s">
        <v>655</v>
      </c>
      <c r="R731" s="367" t="s">
        <v>2647</v>
      </c>
      <c r="S731" s="367">
        <v>3745654</v>
      </c>
      <c r="T731" s="483">
        <v>1091.4100000000001</v>
      </c>
      <c r="U731" s="470"/>
      <c r="V731" s="483">
        <v>312.47000000000003</v>
      </c>
      <c r="W731" s="470"/>
      <c r="X731" s="470"/>
      <c r="Y731" s="370">
        <f t="shared" si="20"/>
        <v>312.47000000000003</v>
      </c>
      <c r="Z731" s="371"/>
    </row>
    <row r="732" spans="1:26" x14ac:dyDescent="0.25">
      <c r="A732" s="481">
        <v>42314</v>
      </c>
      <c r="B732" s="470"/>
      <c r="C732" s="380"/>
      <c r="F732" s="482" t="s">
        <v>2648</v>
      </c>
      <c r="G732" s="470"/>
      <c r="H732" s="369" t="s">
        <v>659</v>
      </c>
      <c r="I732" s="369" t="s">
        <v>2649</v>
      </c>
      <c r="J732" s="367" t="s">
        <v>2650</v>
      </c>
      <c r="K732" s="482" t="s">
        <v>738</v>
      </c>
      <c r="L732" s="470"/>
      <c r="M732" s="470"/>
      <c r="N732" s="369" t="s">
        <v>655</v>
      </c>
      <c r="O732" s="369" t="s">
        <v>655</v>
      </c>
      <c r="P732" s="369" t="s">
        <v>655</v>
      </c>
      <c r="Q732" s="369" t="s">
        <v>655</v>
      </c>
      <c r="R732" s="367" t="s">
        <v>2651</v>
      </c>
      <c r="S732" s="367">
        <v>3901363</v>
      </c>
      <c r="T732" s="483">
        <v>1091.4100000000001</v>
      </c>
      <c r="U732" s="470"/>
      <c r="V732" s="483">
        <v>632.24</v>
      </c>
      <c r="W732" s="470"/>
      <c r="X732" s="470"/>
      <c r="Y732" s="370">
        <f t="shared" si="20"/>
        <v>632.24</v>
      </c>
      <c r="Z732" s="371"/>
    </row>
    <row r="733" spans="1:26" x14ac:dyDescent="0.25">
      <c r="A733" s="481">
        <v>42324</v>
      </c>
      <c r="B733" s="470"/>
      <c r="C733" s="380"/>
      <c r="F733" s="482" t="s">
        <v>2648</v>
      </c>
      <c r="G733" s="470"/>
      <c r="H733" s="369" t="s">
        <v>659</v>
      </c>
      <c r="I733" s="369" t="s">
        <v>2652</v>
      </c>
      <c r="J733" s="367" t="s">
        <v>2653</v>
      </c>
      <c r="K733" s="482" t="s">
        <v>738</v>
      </c>
      <c r="L733" s="470"/>
      <c r="M733" s="470"/>
      <c r="N733" s="369" t="s">
        <v>655</v>
      </c>
      <c r="O733" s="369" t="s">
        <v>655</v>
      </c>
      <c r="P733" s="369" t="s">
        <v>655</v>
      </c>
      <c r="Q733" s="369" t="s">
        <v>655</v>
      </c>
      <c r="R733" s="367" t="s">
        <v>2654</v>
      </c>
      <c r="S733" s="367">
        <v>3902083</v>
      </c>
      <c r="T733" s="483">
        <v>1091.4100000000001</v>
      </c>
      <c r="U733" s="470"/>
      <c r="V733" s="483">
        <v>633.84</v>
      </c>
      <c r="W733" s="470"/>
      <c r="X733" s="470"/>
      <c r="Y733" s="370">
        <f t="shared" si="20"/>
        <v>633.84</v>
      </c>
      <c r="Z733" s="371">
        <v>1</v>
      </c>
    </row>
    <row r="734" spans="1:26" x14ac:dyDescent="0.25">
      <c r="A734" s="481">
        <v>42326</v>
      </c>
      <c r="B734" s="470"/>
      <c r="C734" s="380"/>
      <c r="F734" s="482" t="s">
        <v>2655</v>
      </c>
      <c r="G734" s="470"/>
      <c r="H734" s="369" t="s">
        <v>659</v>
      </c>
      <c r="I734" s="369" t="s">
        <v>2541</v>
      </c>
      <c r="J734" s="367" t="s">
        <v>680</v>
      </c>
      <c r="K734" s="482" t="s">
        <v>2542</v>
      </c>
      <c r="L734" s="470"/>
      <c r="M734" s="470"/>
      <c r="N734" s="369" t="s">
        <v>655</v>
      </c>
      <c r="O734" s="369" t="s">
        <v>655</v>
      </c>
      <c r="P734" s="369" t="s">
        <v>655</v>
      </c>
      <c r="Q734" s="369" t="s">
        <v>655</v>
      </c>
      <c r="R734" s="367" t="s">
        <v>2656</v>
      </c>
      <c r="S734" s="367">
        <v>3901418</v>
      </c>
      <c r="T734" s="483">
        <v>1091.4100000000001</v>
      </c>
      <c r="U734" s="470"/>
      <c r="V734" s="483">
        <v>745.34</v>
      </c>
      <c r="W734" s="470"/>
      <c r="X734" s="470"/>
      <c r="Y734" s="370">
        <f t="shared" si="20"/>
        <v>745.34</v>
      </c>
      <c r="Z734" s="371"/>
    </row>
    <row r="735" spans="1:26" x14ac:dyDescent="0.25">
      <c r="A735" s="481">
        <v>42352</v>
      </c>
      <c r="B735" s="470"/>
      <c r="C735" s="380"/>
      <c r="F735" s="482" t="s">
        <v>2657</v>
      </c>
      <c r="G735" s="470"/>
      <c r="H735" s="369" t="s">
        <v>659</v>
      </c>
      <c r="I735" s="369" t="s">
        <v>2430</v>
      </c>
      <c r="J735" s="367" t="s">
        <v>2431</v>
      </c>
      <c r="K735" s="482" t="s">
        <v>2432</v>
      </c>
      <c r="L735" s="470"/>
      <c r="M735" s="470"/>
      <c r="N735" s="369" t="s">
        <v>655</v>
      </c>
      <c r="O735" s="369" t="s">
        <v>655</v>
      </c>
      <c r="P735" s="369" t="s">
        <v>655</v>
      </c>
      <c r="Q735" s="369" t="s">
        <v>655</v>
      </c>
      <c r="R735" s="367" t="s">
        <v>2658</v>
      </c>
      <c r="S735" s="367">
        <v>4113207</v>
      </c>
      <c r="T735" s="483">
        <v>1091.4100000000001</v>
      </c>
      <c r="U735" s="470"/>
      <c r="V735" s="483">
        <v>449.87</v>
      </c>
      <c r="W735" s="470"/>
      <c r="X735" s="470"/>
      <c r="Y735" s="370">
        <f t="shared" si="20"/>
        <v>449.87</v>
      </c>
      <c r="Z735" s="371"/>
    </row>
    <row r="736" spans="1:26" x14ac:dyDescent="0.25">
      <c r="A736" s="481">
        <v>42403</v>
      </c>
      <c r="B736" s="470"/>
      <c r="C736" s="380"/>
      <c r="F736" s="482" t="s">
        <v>2659</v>
      </c>
      <c r="G736" s="470"/>
      <c r="H736" s="369" t="s">
        <v>659</v>
      </c>
      <c r="I736" s="369" t="s">
        <v>1760</v>
      </c>
      <c r="J736" s="367" t="s">
        <v>1761</v>
      </c>
      <c r="K736" s="482" t="s">
        <v>1353</v>
      </c>
      <c r="L736" s="470"/>
      <c r="M736" s="470"/>
      <c r="N736" s="369" t="s">
        <v>655</v>
      </c>
      <c r="O736" s="369" t="s">
        <v>655</v>
      </c>
      <c r="P736" s="369" t="s">
        <v>655</v>
      </c>
      <c r="Q736" s="369" t="s">
        <v>655</v>
      </c>
      <c r="R736" s="367" t="s">
        <v>2660</v>
      </c>
      <c r="S736" s="367">
        <v>4451112</v>
      </c>
      <c r="T736" s="483">
        <v>1091.4100000000001</v>
      </c>
      <c r="U736" s="470"/>
      <c r="V736" s="483">
        <v>0</v>
      </c>
      <c r="W736" s="470"/>
      <c r="X736" s="470"/>
      <c r="Y736" s="370">
        <f t="shared" ref="Y736:Y751" si="21">IF(Q736="Y",V736,IF(V736&gt;T736,V736,T736))</f>
        <v>1091.4100000000001</v>
      </c>
      <c r="Z736" s="371"/>
    </row>
    <row r="737" spans="1:26" x14ac:dyDescent="0.25">
      <c r="A737" s="481">
        <v>42405</v>
      </c>
      <c r="B737" s="470"/>
      <c r="C737" s="380"/>
      <c r="F737" s="482" t="s">
        <v>2659</v>
      </c>
      <c r="G737" s="470"/>
      <c r="H737" s="369" t="s">
        <v>659</v>
      </c>
      <c r="I737" s="369" t="s">
        <v>1760</v>
      </c>
      <c r="J737" s="367" t="s">
        <v>1761</v>
      </c>
      <c r="K737" s="482" t="s">
        <v>1353</v>
      </c>
      <c r="L737" s="470"/>
      <c r="M737" s="470"/>
      <c r="N737" s="369" t="s">
        <v>655</v>
      </c>
      <c r="O737" s="369" t="s">
        <v>655</v>
      </c>
      <c r="P737" s="369" t="s">
        <v>655</v>
      </c>
      <c r="Q737" s="369" t="s">
        <v>655</v>
      </c>
      <c r="R737" s="367" t="s">
        <v>2661</v>
      </c>
      <c r="S737" s="367">
        <v>4623943</v>
      </c>
      <c r="T737" s="483">
        <v>1091.4100000000001</v>
      </c>
      <c r="U737" s="470"/>
      <c r="V737" s="483">
        <v>428.88</v>
      </c>
      <c r="W737" s="470"/>
      <c r="X737" s="470"/>
      <c r="Y737" s="370">
        <f t="shared" si="21"/>
        <v>1091.4100000000001</v>
      </c>
      <c r="Z737" s="371"/>
    </row>
    <row r="738" spans="1:26" x14ac:dyDescent="0.25">
      <c r="A738" s="481">
        <v>42409</v>
      </c>
      <c r="B738" s="470"/>
      <c r="C738" s="380"/>
      <c r="F738" s="482" t="s">
        <v>2662</v>
      </c>
      <c r="G738" s="470"/>
      <c r="H738" s="369" t="s">
        <v>659</v>
      </c>
      <c r="I738" s="369" t="s">
        <v>2663</v>
      </c>
      <c r="J738" s="367" t="s">
        <v>2664</v>
      </c>
      <c r="K738" s="482" t="s">
        <v>1310</v>
      </c>
      <c r="L738" s="470"/>
      <c r="M738" s="470"/>
      <c r="N738" s="369" t="s">
        <v>655</v>
      </c>
      <c r="O738" s="369" t="s">
        <v>655</v>
      </c>
      <c r="P738" s="369" t="s">
        <v>655</v>
      </c>
      <c r="Q738" s="369" t="s">
        <v>655</v>
      </c>
      <c r="R738" s="367" t="s">
        <v>2665</v>
      </c>
      <c r="S738" s="367">
        <v>4502279</v>
      </c>
      <c r="T738" s="483">
        <v>1091.4100000000001</v>
      </c>
      <c r="U738" s="470"/>
      <c r="V738" s="483">
        <v>1214.1199999999999</v>
      </c>
      <c r="W738" s="470"/>
      <c r="X738" s="470"/>
      <c r="Y738" s="370">
        <f t="shared" si="21"/>
        <v>1214.1199999999999</v>
      </c>
      <c r="Z738" s="371"/>
    </row>
    <row r="739" spans="1:26" x14ac:dyDescent="0.25">
      <c r="A739" s="481">
        <v>42436</v>
      </c>
      <c r="B739" s="470"/>
      <c r="C739" s="380"/>
      <c r="F739" s="482" t="s">
        <v>2666</v>
      </c>
      <c r="G739" s="470"/>
      <c r="H739" s="369" t="s">
        <v>659</v>
      </c>
      <c r="I739" s="369" t="s">
        <v>2451</v>
      </c>
      <c r="J739" s="367" t="s">
        <v>701</v>
      </c>
      <c r="K739" s="482" t="s">
        <v>2452</v>
      </c>
      <c r="L739" s="470"/>
      <c r="M739" s="470"/>
      <c r="N739" s="369" t="s">
        <v>655</v>
      </c>
      <c r="O739" s="369" t="s">
        <v>655</v>
      </c>
      <c r="P739" s="369" t="s">
        <v>655</v>
      </c>
      <c r="Q739" s="369" t="s">
        <v>655</v>
      </c>
      <c r="R739" s="367" t="s">
        <v>2667</v>
      </c>
      <c r="S739" s="367">
        <v>4622037</v>
      </c>
      <c r="T739" s="483">
        <v>1091.4100000000001</v>
      </c>
      <c r="U739" s="470"/>
      <c r="V739" s="483">
        <v>342.93</v>
      </c>
      <c r="W739" s="470"/>
      <c r="X739" s="470"/>
      <c r="Y739" s="370">
        <f t="shared" si="21"/>
        <v>1091.4100000000001</v>
      </c>
      <c r="Z739" s="371"/>
    </row>
    <row r="740" spans="1:26" x14ac:dyDescent="0.25">
      <c r="A740" s="481">
        <v>42437</v>
      </c>
      <c r="B740" s="470"/>
      <c r="C740" s="380"/>
      <c r="F740" s="482" t="s">
        <v>2668</v>
      </c>
      <c r="G740" s="470"/>
      <c r="H740" s="369" t="s">
        <v>659</v>
      </c>
      <c r="I740" s="369" t="s">
        <v>2669</v>
      </c>
      <c r="J740" s="367" t="s">
        <v>2670</v>
      </c>
      <c r="K740" s="482" t="s">
        <v>1477</v>
      </c>
      <c r="L740" s="470"/>
      <c r="M740" s="470"/>
      <c r="N740" s="369" t="s">
        <v>1699</v>
      </c>
      <c r="O740" s="369" t="s">
        <v>655</v>
      </c>
      <c r="P740" s="369" t="s">
        <v>655</v>
      </c>
      <c r="Q740" s="369" t="s">
        <v>753</v>
      </c>
      <c r="R740" s="367" t="s">
        <v>2671</v>
      </c>
      <c r="S740" s="367">
        <v>4689772</v>
      </c>
      <c r="T740" s="483">
        <v>1091.4100000000001</v>
      </c>
      <c r="U740" s="470"/>
      <c r="V740" s="483">
        <v>0</v>
      </c>
      <c r="W740" s="470"/>
      <c r="X740" s="470"/>
      <c r="Y740" s="370">
        <f t="shared" si="21"/>
        <v>0</v>
      </c>
      <c r="Z740" s="371"/>
    </row>
    <row r="741" spans="1:26" x14ac:dyDescent="0.25">
      <c r="A741" s="481">
        <v>42445</v>
      </c>
      <c r="B741" s="470"/>
      <c r="C741" s="380"/>
      <c r="F741" s="482" t="s">
        <v>2672</v>
      </c>
      <c r="G741" s="470"/>
      <c r="H741" s="369" t="s">
        <v>659</v>
      </c>
      <c r="I741" s="369" t="s">
        <v>2607</v>
      </c>
      <c r="J741" s="367" t="s">
        <v>2608</v>
      </c>
      <c r="K741" s="482" t="s">
        <v>2609</v>
      </c>
      <c r="L741" s="470"/>
      <c r="M741" s="470"/>
      <c r="N741" s="369" t="s">
        <v>655</v>
      </c>
      <c r="O741" s="369" t="s">
        <v>655</v>
      </c>
      <c r="P741" s="369" t="s">
        <v>655</v>
      </c>
      <c r="Q741" s="369" t="s">
        <v>655</v>
      </c>
      <c r="R741" s="367" t="s">
        <v>2673</v>
      </c>
      <c r="S741" s="367">
        <v>4731295</v>
      </c>
      <c r="T741" s="483">
        <v>1091.4100000000001</v>
      </c>
      <c r="U741" s="470"/>
      <c r="V741" s="483">
        <v>0</v>
      </c>
      <c r="W741" s="470"/>
      <c r="X741" s="470"/>
      <c r="Y741" s="370">
        <f t="shared" si="21"/>
        <v>1091.4100000000001</v>
      </c>
      <c r="Z741" s="371">
        <v>1</v>
      </c>
    </row>
    <row r="742" spans="1:26" x14ac:dyDescent="0.25">
      <c r="A742" s="481">
        <v>42466</v>
      </c>
      <c r="B742" s="470"/>
      <c r="C742" s="380"/>
      <c r="F742" s="482" t="s">
        <v>2674</v>
      </c>
      <c r="G742" s="470"/>
      <c r="H742" s="369" t="s">
        <v>659</v>
      </c>
      <c r="I742" s="369" t="s">
        <v>2596</v>
      </c>
      <c r="J742" s="367" t="s">
        <v>2597</v>
      </c>
      <c r="K742" s="482" t="s">
        <v>865</v>
      </c>
      <c r="L742" s="470"/>
      <c r="M742" s="470"/>
      <c r="N742" s="369" t="s">
        <v>655</v>
      </c>
      <c r="O742" s="369" t="s">
        <v>655</v>
      </c>
      <c r="P742" s="369" t="s">
        <v>655</v>
      </c>
      <c r="Q742" s="369" t="s">
        <v>655</v>
      </c>
      <c r="R742" s="367" t="s">
        <v>2675</v>
      </c>
      <c r="S742" s="367">
        <v>4816951</v>
      </c>
      <c r="T742" s="483">
        <v>1091.4100000000001</v>
      </c>
      <c r="U742" s="470"/>
      <c r="V742" s="483">
        <v>56.67</v>
      </c>
      <c r="W742" s="470"/>
      <c r="X742" s="470"/>
      <c r="Y742" s="370">
        <f t="shared" si="21"/>
        <v>1091.4100000000001</v>
      </c>
      <c r="Z742" s="371"/>
    </row>
    <row r="743" spans="1:26" x14ac:dyDescent="0.25">
      <c r="A743" s="481">
        <v>42468</v>
      </c>
      <c r="B743" s="470"/>
      <c r="C743" s="380"/>
      <c r="F743" s="482" t="s">
        <v>2676</v>
      </c>
      <c r="G743" s="470"/>
      <c r="H743" s="369" t="s">
        <v>659</v>
      </c>
      <c r="I743" s="369" t="s">
        <v>2612</v>
      </c>
      <c r="J743" s="367" t="s">
        <v>2038</v>
      </c>
      <c r="K743" s="482" t="s">
        <v>959</v>
      </c>
      <c r="L743" s="470"/>
      <c r="M743" s="470"/>
      <c r="N743" s="369" t="s">
        <v>655</v>
      </c>
      <c r="O743" s="369" t="s">
        <v>655</v>
      </c>
      <c r="P743" s="369" t="s">
        <v>655</v>
      </c>
      <c r="Q743" s="369" t="s">
        <v>655</v>
      </c>
      <c r="R743" s="367" t="s">
        <v>2677</v>
      </c>
      <c r="S743" s="367">
        <v>4881224</v>
      </c>
      <c r="T743" s="483">
        <v>1091.4100000000001</v>
      </c>
      <c r="U743" s="470"/>
      <c r="V743" s="483">
        <v>60.95</v>
      </c>
      <c r="W743" s="470"/>
      <c r="X743" s="470"/>
      <c r="Y743" s="370">
        <f t="shared" si="21"/>
        <v>1091.4100000000001</v>
      </c>
      <c r="Z743" s="371"/>
    </row>
    <row r="744" spans="1:26" x14ac:dyDescent="0.25">
      <c r="A744" s="481">
        <v>42471</v>
      </c>
      <c r="B744" s="470"/>
      <c r="C744" s="380"/>
      <c r="F744" s="482" t="s">
        <v>2676</v>
      </c>
      <c r="G744" s="470"/>
      <c r="H744" s="369" t="s">
        <v>659</v>
      </c>
      <c r="I744" s="369" t="s">
        <v>2607</v>
      </c>
      <c r="J744" s="367" t="s">
        <v>2608</v>
      </c>
      <c r="K744" s="482" t="s">
        <v>2609</v>
      </c>
      <c r="L744" s="470"/>
      <c r="M744" s="470"/>
      <c r="N744" s="369" t="s">
        <v>655</v>
      </c>
      <c r="O744" s="369" t="s">
        <v>655</v>
      </c>
      <c r="P744" s="369" t="s">
        <v>655</v>
      </c>
      <c r="Q744" s="369" t="s">
        <v>655</v>
      </c>
      <c r="R744" s="367" t="s">
        <v>2678</v>
      </c>
      <c r="S744" s="367">
        <v>4888717</v>
      </c>
      <c r="T744" s="483">
        <v>1091.4100000000001</v>
      </c>
      <c r="U744" s="470"/>
      <c r="V744" s="483">
        <v>56.67</v>
      </c>
      <c r="W744" s="470"/>
      <c r="X744" s="470"/>
      <c r="Y744" s="370">
        <f t="shared" si="21"/>
        <v>1091.4100000000001</v>
      </c>
      <c r="Z744" s="371"/>
    </row>
    <row r="745" spans="1:26" x14ac:dyDescent="0.25">
      <c r="A745" s="481">
        <v>42473</v>
      </c>
      <c r="B745" s="470"/>
      <c r="C745" s="380"/>
      <c r="F745" s="482" t="s">
        <v>2679</v>
      </c>
      <c r="G745" s="470"/>
      <c r="H745" s="369" t="s">
        <v>659</v>
      </c>
      <c r="I745" s="369" t="s">
        <v>2680</v>
      </c>
      <c r="J745" s="367" t="s">
        <v>2681</v>
      </c>
      <c r="K745" s="482" t="s">
        <v>2682</v>
      </c>
      <c r="L745" s="470"/>
      <c r="M745" s="470"/>
      <c r="N745" s="369" t="s">
        <v>655</v>
      </c>
      <c r="O745" s="369" t="s">
        <v>655</v>
      </c>
      <c r="P745" s="369" t="s">
        <v>655</v>
      </c>
      <c r="Q745" s="369" t="s">
        <v>655</v>
      </c>
      <c r="R745" s="367" t="s">
        <v>2683</v>
      </c>
      <c r="S745" s="367">
        <v>4881221</v>
      </c>
      <c r="T745" s="483">
        <v>1091.4100000000001</v>
      </c>
      <c r="U745" s="470"/>
      <c r="V745" s="483">
        <v>66.02</v>
      </c>
      <c r="W745" s="470"/>
      <c r="X745" s="470"/>
      <c r="Y745" s="370">
        <f t="shared" si="21"/>
        <v>1091.4100000000001</v>
      </c>
      <c r="Z745" s="371"/>
    </row>
    <row r="746" spans="1:26" x14ac:dyDescent="0.25">
      <c r="A746" s="481">
        <v>42481</v>
      </c>
      <c r="B746" s="470"/>
      <c r="C746" s="380"/>
      <c r="F746" s="482" t="s">
        <v>2684</v>
      </c>
      <c r="G746" s="470"/>
      <c r="H746" s="369" t="s">
        <v>659</v>
      </c>
      <c r="I746" s="369" t="s">
        <v>2056</v>
      </c>
      <c r="J746" s="367" t="s">
        <v>2057</v>
      </c>
      <c r="K746" s="482" t="s">
        <v>2058</v>
      </c>
      <c r="L746" s="470"/>
      <c r="M746" s="470"/>
      <c r="N746" s="369" t="s">
        <v>655</v>
      </c>
      <c r="O746" s="369" t="s">
        <v>655</v>
      </c>
      <c r="P746" s="369" t="s">
        <v>655</v>
      </c>
      <c r="Q746" s="369" t="s">
        <v>655</v>
      </c>
      <c r="R746" s="367" t="s">
        <v>2685</v>
      </c>
      <c r="S746" s="367">
        <v>4966824</v>
      </c>
      <c r="T746" s="483">
        <v>1091.4100000000001</v>
      </c>
      <c r="U746" s="470"/>
      <c r="V746" s="483">
        <v>38.22</v>
      </c>
      <c r="W746" s="470"/>
      <c r="X746" s="470"/>
      <c r="Y746" s="370">
        <f t="shared" si="21"/>
        <v>1091.4100000000001</v>
      </c>
      <c r="Z746" s="371"/>
    </row>
    <row r="747" spans="1:26" x14ac:dyDescent="0.25">
      <c r="A747" s="481">
        <v>42485</v>
      </c>
      <c r="B747" s="470"/>
      <c r="C747" s="380"/>
      <c r="F747" s="482" t="s">
        <v>2686</v>
      </c>
      <c r="G747" s="470"/>
      <c r="H747" s="369" t="s">
        <v>659</v>
      </c>
      <c r="I747" s="369" t="s">
        <v>2474</v>
      </c>
      <c r="J747" s="367" t="s">
        <v>2475</v>
      </c>
      <c r="K747" s="482" t="s">
        <v>2214</v>
      </c>
      <c r="L747" s="470"/>
      <c r="M747" s="470"/>
      <c r="N747" s="369" t="s">
        <v>1699</v>
      </c>
      <c r="O747" s="369" t="s">
        <v>655</v>
      </c>
      <c r="P747" s="369" t="s">
        <v>655</v>
      </c>
      <c r="Q747" s="369" t="s">
        <v>655</v>
      </c>
      <c r="R747" s="367" t="s">
        <v>2687</v>
      </c>
      <c r="S747" s="367">
        <v>4973438</v>
      </c>
      <c r="T747" s="483">
        <v>1091.4100000000001</v>
      </c>
      <c r="U747" s="470"/>
      <c r="V747" s="483">
        <v>0</v>
      </c>
      <c r="W747" s="470"/>
      <c r="X747" s="470"/>
      <c r="Y747" s="370">
        <f t="shared" si="21"/>
        <v>1091.4100000000001</v>
      </c>
      <c r="Z747" s="371"/>
    </row>
    <row r="748" spans="1:26" x14ac:dyDescent="0.25">
      <c r="A748" s="481">
        <v>42492</v>
      </c>
      <c r="B748" s="470"/>
      <c r="C748" s="380"/>
      <c r="F748" s="482" t="s">
        <v>2688</v>
      </c>
      <c r="G748" s="470"/>
      <c r="H748" s="369" t="s">
        <v>659</v>
      </c>
      <c r="I748" s="369" t="s">
        <v>2689</v>
      </c>
      <c r="J748" s="367" t="s">
        <v>2690</v>
      </c>
      <c r="K748" s="482" t="s">
        <v>865</v>
      </c>
      <c r="L748" s="470"/>
      <c r="M748" s="470"/>
      <c r="N748" s="369" t="s">
        <v>655</v>
      </c>
      <c r="O748" s="369" t="s">
        <v>655</v>
      </c>
      <c r="P748" s="369" t="s">
        <v>655</v>
      </c>
      <c r="Q748" s="369" t="s">
        <v>655</v>
      </c>
      <c r="R748" s="367" t="s">
        <v>2691</v>
      </c>
      <c r="S748" s="367">
        <v>5006461</v>
      </c>
      <c r="T748" s="483">
        <v>1091.4100000000001</v>
      </c>
      <c r="U748" s="470"/>
      <c r="V748" s="483">
        <v>251.6</v>
      </c>
      <c r="W748" s="470"/>
      <c r="X748" s="470"/>
      <c r="Y748" s="370">
        <f t="shared" si="21"/>
        <v>1091.4100000000001</v>
      </c>
      <c r="Z748" s="371"/>
    </row>
    <row r="749" spans="1:26" x14ac:dyDescent="0.25">
      <c r="A749" s="481">
        <v>42494</v>
      </c>
      <c r="B749" s="470"/>
      <c r="C749" s="380"/>
      <c r="F749" s="482" t="s">
        <v>2674</v>
      </c>
      <c r="G749" s="470"/>
      <c r="H749" s="369" t="s">
        <v>659</v>
      </c>
      <c r="I749" s="369" t="s">
        <v>2596</v>
      </c>
      <c r="J749" s="367" t="s">
        <v>2597</v>
      </c>
      <c r="K749" s="482" t="s">
        <v>865</v>
      </c>
      <c r="L749" s="470"/>
      <c r="M749" s="470"/>
      <c r="N749" s="369" t="s">
        <v>655</v>
      </c>
      <c r="O749" s="369" t="s">
        <v>655</v>
      </c>
      <c r="P749" s="369" t="s">
        <v>655</v>
      </c>
      <c r="Q749" s="369" t="s">
        <v>655</v>
      </c>
      <c r="R749" s="367" t="s">
        <v>2692</v>
      </c>
      <c r="S749" s="367">
        <v>5001932</v>
      </c>
      <c r="T749" s="483">
        <v>1091.4100000000001</v>
      </c>
      <c r="U749" s="470"/>
      <c r="V749" s="483">
        <v>342.93</v>
      </c>
      <c r="W749" s="470"/>
      <c r="X749" s="470"/>
      <c r="Y749" s="370">
        <f t="shared" si="21"/>
        <v>1091.4100000000001</v>
      </c>
      <c r="Z749" s="371"/>
    </row>
    <row r="750" spans="1:26" x14ac:dyDescent="0.25">
      <c r="A750" s="481">
        <v>42509</v>
      </c>
      <c r="B750" s="470"/>
      <c r="C750" s="380"/>
      <c r="F750" s="482" t="s">
        <v>2679</v>
      </c>
      <c r="G750" s="470"/>
      <c r="H750" s="369" t="s">
        <v>659</v>
      </c>
      <c r="I750" s="369" t="s">
        <v>2693</v>
      </c>
      <c r="J750" s="367" t="s">
        <v>2694</v>
      </c>
      <c r="K750" s="482" t="s">
        <v>2695</v>
      </c>
      <c r="L750" s="470"/>
      <c r="M750" s="470"/>
      <c r="N750" s="369" t="s">
        <v>655</v>
      </c>
      <c r="O750" s="369" t="s">
        <v>655</v>
      </c>
      <c r="P750" s="369" t="s">
        <v>655</v>
      </c>
      <c r="Q750" s="369" t="s">
        <v>655</v>
      </c>
      <c r="R750" s="367" t="s">
        <v>2696</v>
      </c>
      <c r="S750" s="367">
        <v>5136749</v>
      </c>
      <c r="T750" s="483">
        <v>1091.4100000000001</v>
      </c>
      <c r="U750" s="470"/>
      <c r="V750" s="483">
        <v>174.28</v>
      </c>
      <c r="W750" s="470"/>
      <c r="X750" s="470"/>
      <c r="Y750" s="370">
        <f t="shared" si="21"/>
        <v>1091.4100000000001</v>
      </c>
      <c r="Z750" s="371"/>
    </row>
    <row r="751" spans="1:26" x14ac:dyDescent="0.25">
      <c r="A751" s="481">
        <v>42510</v>
      </c>
      <c r="B751" s="470"/>
      <c r="C751" s="380"/>
      <c r="F751" s="482" t="s">
        <v>2697</v>
      </c>
      <c r="G751" s="470"/>
      <c r="H751" s="369" t="s">
        <v>659</v>
      </c>
      <c r="I751" s="369" t="s">
        <v>2698</v>
      </c>
      <c r="J751" s="367" t="s">
        <v>2699</v>
      </c>
      <c r="K751" s="482" t="s">
        <v>2700</v>
      </c>
      <c r="L751" s="470"/>
      <c r="M751" s="470"/>
      <c r="N751" s="369" t="s">
        <v>655</v>
      </c>
      <c r="O751" s="369" t="s">
        <v>655</v>
      </c>
      <c r="P751" s="369" t="s">
        <v>655</v>
      </c>
      <c r="Q751" s="369" t="s">
        <v>655</v>
      </c>
      <c r="R751" s="367" t="s">
        <v>2701</v>
      </c>
      <c r="S751" s="367">
        <v>5136741</v>
      </c>
      <c r="T751" s="483">
        <v>1091.4100000000001</v>
      </c>
      <c r="U751" s="470"/>
      <c r="V751" s="483">
        <v>131.51</v>
      </c>
      <c r="W751" s="470"/>
      <c r="X751" s="470"/>
      <c r="Y751" s="370">
        <f t="shared" si="21"/>
        <v>1091.4100000000001</v>
      </c>
      <c r="Z751" s="371"/>
    </row>
    <row r="752" spans="1:26" x14ac:dyDescent="0.25">
      <c r="A752" s="484" t="s">
        <v>655</v>
      </c>
      <c r="B752" s="470"/>
      <c r="C752" s="470"/>
      <c r="D752" s="485" t="s">
        <v>2702</v>
      </c>
      <c r="E752" s="470"/>
      <c r="F752" s="470"/>
      <c r="G752" s="470"/>
      <c r="H752" s="484" t="s">
        <v>2703</v>
      </c>
      <c r="I752" s="470"/>
      <c r="J752" s="470"/>
      <c r="K752" s="470"/>
      <c r="L752" s="470"/>
      <c r="M752" s="470"/>
      <c r="N752" s="470"/>
      <c r="O752" s="372" t="s">
        <v>655</v>
      </c>
      <c r="P752" s="372" t="s">
        <v>655</v>
      </c>
      <c r="Q752" s="372" t="s">
        <v>655</v>
      </c>
      <c r="R752" s="372" t="s">
        <v>655</v>
      </c>
      <c r="S752" s="372">
        <v>103837500</v>
      </c>
      <c r="T752" s="486">
        <v>25102.43</v>
      </c>
      <c r="U752" s="470"/>
      <c r="V752" s="486">
        <v>6632.16</v>
      </c>
      <c r="W752" s="470"/>
      <c r="X752" s="470"/>
      <c r="Y752" s="373">
        <f>SUM(Y729:Y751)</f>
        <v>19961.239999999998</v>
      </c>
      <c r="Z752" s="374" t="s">
        <v>655</v>
      </c>
    </row>
    <row r="753" spans="1:26" x14ac:dyDescent="0.25">
      <c r="A753" s="489" t="s">
        <v>655</v>
      </c>
      <c r="B753" s="470"/>
      <c r="C753" s="470"/>
      <c r="D753" s="490" t="s">
        <v>2702</v>
      </c>
      <c r="E753" s="470"/>
      <c r="F753" s="470"/>
      <c r="G753" s="470"/>
      <c r="H753" s="489" t="s">
        <v>2704</v>
      </c>
      <c r="I753" s="470"/>
      <c r="J753" s="470"/>
      <c r="K753" s="470"/>
      <c r="L753" s="470"/>
      <c r="M753" s="470"/>
      <c r="N753" s="470"/>
      <c r="O753" s="375" t="s">
        <v>655</v>
      </c>
      <c r="P753" s="375" t="s">
        <v>655</v>
      </c>
      <c r="Q753" s="375" t="s">
        <v>655</v>
      </c>
      <c r="R753" s="375" t="s">
        <v>655</v>
      </c>
      <c r="S753" s="375" t="s">
        <v>655</v>
      </c>
      <c r="T753" s="491">
        <v>25102.43</v>
      </c>
      <c r="U753" s="470"/>
      <c r="V753" s="491">
        <v>6632.16</v>
      </c>
      <c r="W753" s="470"/>
      <c r="X753" s="470"/>
      <c r="Y753" s="376">
        <f>Y752</f>
        <v>19961.239999999998</v>
      </c>
      <c r="Z753" s="377" t="s">
        <v>655</v>
      </c>
    </row>
    <row r="754" spans="1:26" x14ac:dyDescent="0.25">
      <c r="A754" s="492" t="s">
        <v>655</v>
      </c>
      <c r="B754" s="470"/>
      <c r="C754" s="378" t="s">
        <v>655</v>
      </c>
      <c r="D754" s="493" t="s">
        <v>655</v>
      </c>
      <c r="E754" s="470"/>
      <c r="F754" s="493" t="s">
        <v>655</v>
      </c>
      <c r="G754" s="470"/>
      <c r="H754" s="378" t="s">
        <v>655</v>
      </c>
      <c r="I754" s="378" t="s">
        <v>655</v>
      </c>
      <c r="J754" s="378" t="s">
        <v>655</v>
      </c>
      <c r="K754" s="492" t="s">
        <v>655</v>
      </c>
      <c r="L754" s="470"/>
      <c r="M754" s="470"/>
      <c r="N754" s="378" t="s">
        <v>655</v>
      </c>
      <c r="O754" s="378" t="s">
        <v>655</v>
      </c>
      <c r="P754" s="378" t="s">
        <v>655</v>
      </c>
      <c r="Q754" s="378" t="s">
        <v>655</v>
      </c>
      <c r="R754" s="378" t="s">
        <v>655</v>
      </c>
      <c r="S754" s="378" t="s">
        <v>655</v>
      </c>
      <c r="T754" s="488" t="s">
        <v>655</v>
      </c>
      <c r="U754" s="470"/>
      <c r="V754" s="488" t="s">
        <v>655</v>
      </c>
      <c r="W754" s="470"/>
      <c r="X754" s="470"/>
      <c r="Y754" s="379" t="s">
        <v>655</v>
      </c>
      <c r="Z754" s="379" t="s">
        <v>655</v>
      </c>
    </row>
    <row r="755" spans="1:26" x14ac:dyDescent="0.25">
      <c r="A755" s="495" t="s">
        <v>655</v>
      </c>
      <c r="B755" s="470"/>
      <c r="C755" s="381" t="s">
        <v>655</v>
      </c>
      <c r="D755" s="496">
        <v>683</v>
      </c>
      <c r="E755" s="470"/>
      <c r="F755" s="495" t="s">
        <v>655</v>
      </c>
      <c r="G755" s="470"/>
      <c r="H755" s="381" t="s">
        <v>655</v>
      </c>
      <c r="I755" s="382" t="s">
        <v>655</v>
      </c>
      <c r="J755" s="497" t="s">
        <v>2705</v>
      </c>
      <c r="K755" s="470"/>
      <c r="L755" s="470"/>
      <c r="M755" s="470"/>
      <c r="N755" s="470"/>
      <c r="O755" s="381" t="s">
        <v>655</v>
      </c>
      <c r="P755" s="381" t="s">
        <v>655</v>
      </c>
      <c r="Q755" s="381" t="s">
        <v>655</v>
      </c>
      <c r="R755" s="381" t="s">
        <v>655</v>
      </c>
      <c r="S755" s="381" t="s">
        <v>655</v>
      </c>
      <c r="T755" s="498">
        <v>704681.93</v>
      </c>
      <c r="U755" s="470"/>
      <c r="V755" s="498">
        <v>373221.26</v>
      </c>
      <c r="W755" s="470"/>
      <c r="X755" s="470"/>
      <c r="Y755" s="383">
        <f>SUM(Y753,Y724,Y712,Y665,Y591,Y583,Y548,Y61,Y24)</f>
        <v>558032.76999999909</v>
      </c>
      <c r="Z755" s="384" t="s">
        <v>655</v>
      </c>
    </row>
    <row r="756" spans="1:26" ht="0" hidden="1" customHeight="1" x14ac:dyDescent="0.25"/>
  </sheetData>
  <autoFilter ref="A16:Z755">
    <filterColumn colId="0" showButton="0"/>
    <filterColumn colId="3" showButton="0"/>
    <filterColumn colId="5" showButton="0"/>
    <filterColumn colId="10" showButton="0"/>
    <filterColumn colId="11" showButton="0"/>
    <filterColumn colId="19" showButton="0"/>
    <filterColumn colId="21" showButton="0"/>
    <filterColumn colId="22" showButton="0"/>
  </autoFilter>
  <mergeCells count="3696">
    <mergeCell ref="A755:B755"/>
    <mergeCell ref="D755:E755"/>
    <mergeCell ref="F755:G755"/>
    <mergeCell ref="J755:N755"/>
    <mergeCell ref="T755:U755"/>
    <mergeCell ref="V755:X755"/>
    <mergeCell ref="A754:B754"/>
    <mergeCell ref="D754:E754"/>
    <mergeCell ref="F754:G754"/>
    <mergeCell ref="K754:M754"/>
    <mergeCell ref="T754:U754"/>
    <mergeCell ref="V754:X754"/>
    <mergeCell ref="A752:C752"/>
    <mergeCell ref="D752:G752"/>
    <mergeCell ref="H752:N752"/>
    <mergeCell ref="T752:U752"/>
    <mergeCell ref="V752:X752"/>
    <mergeCell ref="A753:C753"/>
    <mergeCell ref="D753:G753"/>
    <mergeCell ref="H753:N753"/>
    <mergeCell ref="T753:U753"/>
    <mergeCell ref="V753:X753"/>
    <mergeCell ref="A750:B750"/>
    <mergeCell ref="F750:G750"/>
    <mergeCell ref="K750:M750"/>
    <mergeCell ref="T750:U750"/>
    <mergeCell ref="V750:X750"/>
    <mergeCell ref="A751:B751"/>
    <mergeCell ref="F751:G751"/>
    <mergeCell ref="K751:M751"/>
    <mergeCell ref="T751:U751"/>
    <mergeCell ref="V751:X751"/>
    <mergeCell ref="A748:B748"/>
    <mergeCell ref="F748:G748"/>
    <mergeCell ref="K748:M748"/>
    <mergeCell ref="T748:U748"/>
    <mergeCell ref="V748:X748"/>
    <mergeCell ref="A749:B749"/>
    <mergeCell ref="F749:G749"/>
    <mergeCell ref="K749:M749"/>
    <mergeCell ref="T749:U749"/>
    <mergeCell ref="V749:X749"/>
    <mergeCell ref="A746:B746"/>
    <mergeCell ref="F746:G746"/>
    <mergeCell ref="K746:M746"/>
    <mergeCell ref="T746:U746"/>
    <mergeCell ref="V746:X746"/>
    <mergeCell ref="A747:B747"/>
    <mergeCell ref="F747:G747"/>
    <mergeCell ref="K747:M747"/>
    <mergeCell ref="T747:U747"/>
    <mergeCell ref="V747:X747"/>
    <mergeCell ref="A744:B744"/>
    <mergeCell ref="F744:G744"/>
    <mergeCell ref="K744:M744"/>
    <mergeCell ref="T744:U744"/>
    <mergeCell ref="V744:X744"/>
    <mergeCell ref="A745:B745"/>
    <mergeCell ref="F745:G745"/>
    <mergeCell ref="K745:M745"/>
    <mergeCell ref="T745:U745"/>
    <mergeCell ref="V745:X745"/>
    <mergeCell ref="A742:B742"/>
    <mergeCell ref="F742:G742"/>
    <mergeCell ref="K742:M742"/>
    <mergeCell ref="T742:U742"/>
    <mergeCell ref="V742:X742"/>
    <mergeCell ref="A743:B743"/>
    <mergeCell ref="F743:G743"/>
    <mergeCell ref="K743:M743"/>
    <mergeCell ref="T743:U743"/>
    <mergeCell ref="V743:X743"/>
    <mergeCell ref="A740:B740"/>
    <mergeCell ref="F740:G740"/>
    <mergeCell ref="K740:M740"/>
    <mergeCell ref="T740:U740"/>
    <mergeCell ref="V740:X740"/>
    <mergeCell ref="A741:B741"/>
    <mergeCell ref="F741:G741"/>
    <mergeCell ref="K741:M741"/>
    <mergeCell ref="T741:U741"/>
    <mergeCell ref="V741:X741"/>
    <mergeCell ref="A738:B738"/>
    <mergeCell ref="F738:G738"/>
    <mergeCell ref="K738:M738"/>
    <mergeCell ref="T738:U738"/>
    <mergeCell ref="V738:X738"/>
    <mergeCell ref="A739:B739"/>
    <mergeCell ref="F739:G739"/>
    <mergeCell ref="K739:M739"/>
    <mergeCell ref="T739:U739"/>
    <mergeCell ref="V739:X739"/>
    <mergeCell ref="A736:B736"/>
    <mergeCell ref="F736:G736"/>
    <mergeCell ref="K736:M736"/>
    <mergeCell ref="T736:U736"/>
    <mergeCell ref="V736:X736"/>
    <mergeCell ref="A737:B737"/>
    <mergeCell ref="F737:G737"/>
    <mergeCell ref="K737:M737"/>
    <mergeCell ref="T737:U737"/>
    <mergeCell ref="V737:X737"/>
    <mergeCell ref="A734:B734"/>
    <mergeCell ref="F734:G734"/>
    <mergeCell ref="K734:M734"/>
    <mergeCell ref="T734:U734"/>
    <mergeCell ref="V734:X734"/>
    <mergeCell ref="A735:B735"/>
    <mergeCell ref="F735:G735"/>
    <mergeCell ref="K735:M735"/>
    <mergeCell ref="T735:U735"/>
    <mergeCell ref="V735:X735"/>
    <mergeCell ref="A732:B732"/>
    <mergeCell ref="F732:G732"/>
    <mergeCell ref="K732:M732"/>
    <mergeCell ref="T732:U732"/>
    <mergeCell ref="V732:X732"/>
    <mergeCell ref="A733:B733"/>
    <mergeCell ref="F733:G733"/>
    <mergeCell ref="K733:M733"/>
    <mergeCell ref="T733:U733"/>
    <mergeCell ref="V733:X733"/>
    <mergeCell ref="A730:B730"/>
    <mergeCell ref="F730:G730"/>
    <mergeCell ref="K730:M730"/>
    <mergeCell ref="T730:U730"/>
    <mergeCell ref="V730:X730"/>
    <mergeCell ref="A731:B731"/>
    <mergeCell ref="F731:G731"/>
    <mergeCell ref="K731:M731"/>
    <mergeCell ref="T731:U731"/>
    <mergeCell ref="V731:X731"/>
    <mergeCell ref="A728:O728"/>
    <mergeCell ref="T728:U728"/>
    <mergeCell ref="V728:X728"/>
    <mergeCell ref="A729:B729"/>
    <mergeCell ref="F729:G729"/>
    <mergeCell ref="K729:M729"/>
    <mergeCell ref="T729:U729"/>
    <mergeCell ref="V729:X729"/>
    <mergeCell ref="V725:X725"/>
    <mergeCell ref="A726:O726"/>
    <mergeCell ref="T726:U726"/>
    <mergeCell ref="V726:X726"/>
    <mergeCell ref="A727:O727"/>
    <mergeCell ref="T727:U727"/>
    <mergeCell ref="V727:X727"/>
    <mergeCell ref="A724:C724"/>
    <mergeCell ref="D724:G724"/>
    <mergeCell ref="H724:N724"/>
    <mergeCell ref="T724:U724"/>
    <mergeCell ref="V724:X724"/>
    <mergeCell ref="A725:B725"/>
    <mergeCell ref="D725:E725"/>
    <mergeCell ref="F725:G725"/>
    <mergeCell ref="K725:M725"/>
    <mergeCell ref="T725:U725"/>
    <mergeCell ref="A722:B722"/>
    <mergeCell ref="F722:G722"/>
    <mergeCell ref="K722:M722"/>
    <mergeCell ref="T722:U722"/>
    <mergeCell ref="V722:X722"/>
    <mergeCell ref="A723:C723"/>
    <mergeCell ref="D723:G723"/>
    <mergeCell ref="H723:N723"/>
    <mergeCell ref="T723:U723"/>
    <mergeCell ref="V723:X723"/>
    <mergeCell ref="A720:B720"/>
    <mergeCell ref="F720:G720"/>
    <mergeCell ref="K720:M720"/>
    <mergeCell ref="T720:U720"/>
    <mergeCell ref="V720:X720"/>
    <mergeCell ref="A721:B721"/>
    <mergeCell ref="F721:G721"/>
    <mergeCell ref="K721:M721"/>
    <mergeCell ref="T721:U721"/>
    <mergeCell ref="V721:X721"/>
    <mergeCell ref="A718:B718"/>
    <mergeCell ref="F718:G718"/>
    <mergeCell ref="K718:M718"/>
    <mergeCell ref="T718:U718"/>
    <mergeCell ref="V718:X718"/>
    <mergeCell ref="A719:B719"/>
    <mergeCell ref="F719:G719"/>
    <mergeCell ref="K719:M719"/>
    <mergeCell ref="T719:U719"/>
    <mergeCell ref="V719:X719"/>
    <mergeCell ref="A716:O716"/>
    <mergeCell ref="T716:U716"/>
    <mergeCell ref="V716:X716"/>
    <mergeCell ref="A717:B717"/>
    <mergeCell ref="F717:G717"/>
    <mergeCell ref="K717:M717"/>
    <mergeCell ref="T717:U717"/>
    <mergeCell ref="V717:X717"/>
    <mergeCell ref="A714:O714"/>
    <mergeCell ref="T714:U714"/>
    <mergeCell ref="V714:X714"/>
    <mergeCell ref="A715:O715"/>
    <mergeCell ref="T715:U715"/>
    <mergeCell ref="V715:X715"/>
    <mergeCell ref="A713:B713"/>
    <mergeCell ref="D713:E713"/>
    <mergeCell ref="F713:G713"/>
    <mergeCell ref="K713:M713"/>
    <mergeCell ref="T713:U713"/>
    <mergeCell ref="V713:X713"/>
    <mergeCell ref="A711:C711"/>
    <mergeCell ref="D711:G711"/>
    <mergeCell ref="H711:N711"/>
    <mergeCell ref="T711:U711"/>
    <mergeCell ref="V711:X711"/>
    <mergeCell ref="A712:C712"/>
    <mergeCell ref="D712:G712"/>
    <mergeCell ref="H712:N712"/>
    <mergeCell ref="T712:U712"/>
    <mergeCell ref="V712:X712"/>
    <mergeCell ref="A709:B709"/>
    <mergeCell ref="F709:G709"/>
    <mergeCell ref="K709:M709"/>
    <mergeCell ref="T709:U709"/>
    <mergeCell ref="V709:X709"/>
    <mergeCell ref="A710:B710"/>
    <mergeCell ref="F710:G710"/>
    <mergeCell ref="K710:M710"/>
    <mergeCell ref="T710:U710"/>
    <mergeCell ref="V710:X710"/>
    <mergeCell ref="A707:B707"/>
    <mergeCell ref="F707:G707"/>
    <mergeCell ref="K707:M707"/>
    <mergeCell ref="T707:U707"/>
    <mergeCell ref="V707:X707"/>
    <mergeCell ref="A708:B708"/>
    <mergeCell ref="F708:G708"/>
    <mergeCell ref="K708:M708"/>
    <mergeCell ref="T708:U708"/>
    <mergeCell ref="V708:X708"/>
    <mergeCell ref="A705:B705"/>
    <mergeCell ref="F705:G705"/>
    <mergeCell ref="K705:M705"/>
    <mergeCell ref="T705:U705"/>
    <mergeCell ref="V705:X705"/>
    <mergeCell ref="A706:B706"/>
    <mergeCell ref="F706:G706"/>
    <mergeCell ref="K706:M706"/>
    <mergeCell ref="T706:U706"/>
    <mergeCell ref="V706:X706"/>
    <mergeCell ref="A703:B703"/>
    <mergeCell ref="F703:G703"/>
    <mergeCell ref="K703:M703"/>
    <mergeCell ref="T703:U703"/>
    <mergeCell ref="V703:X703"/>
    <mergeCell ref="A704:B704"/>
    <mergeCell ref="F704:G704"/>
    <mergeCell ref="K704:M704"/>
    <mergeCell ref="T704:U704"/>
    <mergeCell ref="V704:X704"/>
    <mergeCell ref="A701:B701"/>
    <mergeCell ref="F701:G701"/>
    <mergeCell ref="K701:M701"/>
    <mergeCell ref="T701:U701"/>
    <mergeCell ref="V701:X701"/>
    <mergeCell ref="A702:B702"/>
    <mergeCell ref="F702:G702"/>
    <mergeCell ref="K702:M702"/>
    <mergeCell ref="T702:U702"/>
    <mergeCell ref="V702:X702"/>
    <mergeCell ref="A699:B699"/>
    <mergeCell ref="F699:G699"/>
    <mergeCell ref="K699:M699"/>
    <mergeCell ref="T699:U699"/>
    <mergeCell ref="V699:X699"/>
    <mergeCell ref="A700:B700"/>
    <mergeCell ref="F700:G700"/>
    <mergeCell ref="K700:M700"/>
    <mergeCell ref="T700:U700"/>
    <mergeCell ref="V700:X700"/>
    <mergeCell ref="A697:B697"/>
    <mergeCell ref="F697:G697"/>
    <mergeCell ref="K697:M697"/>
    <mergeCell ref="T697:U697"/>
    <mergeCell ref="V697:X697"/>
    <mergeCell ref="A698:B698"/>
    <mergeCell ref="F698:G698"/>
    <mergeCell ref="K698:M698"/>
    <mergeCell ref="T698:U698"/>
    <mergeCell ref="V698:X698"/>
    <mergeCell ref="A695:B695"/>
    <mergeCell ref="F695:G695"/>
    <mergeCell ref="K695:M695"/>
    <mergeCell ref="T695:U695"/>
    <mergeCell ref="V695:X695"/>
    <mergeCell ref="A696:B696"/>
    <mergeCell ref="F696:G696"/>
    <mergeCell ref="K696:M696"/>
    <mergeCell ref="T696:U696"/>
    <mergeCell ref="V696:X696"/>
    <mergeCell ref="A693:B693"/>
    <mergeCell ref="F693:G693"/>
    <mergeCell ref="K693:M693"/>
    <mergeCell ref="T693:U693"/>
    <mergeCell ref="V693:X693"/>
    <mergeCell ref="A694:B694"/>
    <mergeCell ref="F694:G694"/>
    <mergeCell ref="K694:M694"/>
    <mergeCell ref="T694:U694"/>
    <mergeCell ref="V694:X694"/>
    <mergeCell ref="A691:B691"/>
    <mergeCell ref="F691:G691"/>
    <mergeCell ref="K691:M691"/>
    <mergeCell ref="T691:U691"/>
    <mergeCell ref="V691:X691"/>
    <mergeCell ref="A692:B692"/>
    <mergeCell ref="F692:G692"/>
    <mergeCell ref="K692:M692"/>
    <mergeCell ref="T692:U692"/>
    <mergeCell ref="V692:X692"/>
    <mergeCell ref="A689:B689"/>
    <mergeCell ref="F689:G689"/>
    <mergeCell ref="K689:M689"/>
    <mergeCell ref="T689:U689"/>
    <mergeCell ref="V689:X689"/>
    <mergeCell ref="A690:B690"/>
    <mergeCell ref="F690:G690"/>
    <mergeCell ref="K690:M690"/>
    <mergeCell ref="T690:U690"/>
    <mergeCell ref="V690:X690"/>
    <mergeCell ref="A687:B687"/>
    <mergeCell ref="F687:G687"/>
    <mergeCell ref="K687:M687"/>
    <mergeCell ref="T687:U687"/>
    <mergeCell ref="V687:X687"/>
    <mergeCell ref="A688:B688"/>
    <mergeCell ref="F688:G688"/>
    <mergeCell ref="K688:M688"/>
    <mergeCell ref="T688:U688"/>
    <mergeCell ref="V688:X688"/>
    <mergeCell ref="A685:B685"/>
    <mergeCell ref="F685:G685"/>
    <mergeCell ref="K685:M685"/>
    <mergeCell ref="T685:U685"/>
    <mergeCell ref="V685:X685"/>
    <mergeCell ref="A686:B686"/>
    <mergeCell ref="F686:G686"/>
    <mergeCell ref="K686:M686"/>
    <mergeCell ref="T686:U686"/>
    <mergeCell ref="V686:X686"/>
    <mergeCell ref="A683:B683"/>
    <mergeCell ref="F683:G683"/>
    <mergeCell ref="K683:M683"/>
    <mergeCell ref="T683:U683"/>
    <mergeCell ref="V683:X683"/>
    <mergeCell ref="A684:B684"/>
    <mergeCell ref="F684:G684"/>
    <mergeCell ref="K684:M684"/>
    <mergeCell ref="T684:U684"/>
    <mergeCell ref="V684:X684"/>
    <mergeCell ref="A681:B681"/>
    <mergeCell ref="F681:G681"/>
    <mergeCell ref="K681:M681"/>
    <mergeCell ref="T681:U681"/>
    <mergeCell ref="V681:X681"/>
    <mergeCell ref="A682:B682"/>
    <mergeCell ref="F682:G682"/>
    <mergeCell ref="K682:M682"/>
    <mergeCell ref="T682:U682"/>
    <mergeCell ref="V682:X682"/>
    <mergeCell ref="A679:B679"/>
    <mergeCell ref="F679:G679"/>
    <mergeCell ref="K679:M679"/>
    <mergeCell ref="T679:U679"/>
    <mergeCell ref="V679:X679"/>
    <mergeCell ref="A680:B680"/>
    <mergeCell ref="F680:G680"/>
    <mergeCell ref="K680:M680"/>
    <mergeCell ref="T680:U680"/>
    <mergeCell ref="V680:X680"/>
    <mergeCell ref="A677:B677"/>
    <mergeCell ref="F677:G677"/>
    <mergeCell ref="K677:M677"/>
    <mergeCell ref="T677:U677"/>
    <mergeCell ref="V677:X677"/>
    <mergeCell ref="A678:B678"/>
    <mergeCell ref="F678:G678"/>
    <mergeCell ref="K678:M678"/>
    <mergeCell ref="T678:U678"/>
    <mergeCell ref="V678:X678"/>
    <mergeCell ref="A675:B675"/>
    <mergeCell ref="F675:G675"/>
    <mergeCell ref="K675:M675"/>
    <mergeCell ref="T675:U675"/>
    <mergeCell ref="V675:X675"/>
    <mergeCell ref="A676:B676"/>
    <mergeCell ref="F676:G676"/>
    <mergeCell ref="K676:M676"/>
    <mergeCell ref="T676:U676"/>
    <mergeCell ref="V676:X676"/>
    <mergeCell ref="A673:B673"/>
    <mergeCell ref="F673:G673"/>
    <mergeCell ref="K673:M673"/>
    <mergeCell ref="T673:U673"/>
    <mergeCell ref="V673:X673"/>
    <mergeCell ref="A674:B674"/>
    <mergeCell ref="F674:G674"/>
    <mergeCell ref="K674:M674"/>
    <mergeCell ref="T674:U674"/>
    <mergeCell ref="V674:X674"/>
    <mergeCell ref="A671:B671"/>
    <mergeCell ref="F671:G671"/>
    <mergeCell ref="K671:M671"/>
    <mergeCell ref="T671:U671"/>
    <mergeCell ref="V671:X671"/>
    <mergeCell ref="A672:B672"/>
    <mergeCell ref="F672:G672"/>
    <mergeCell ref="K672:M672"/>
    <mergeCell ref="T672:U672"/>
    <mergeCell ref="V672:X672"/>
    <mergeCell ref="A669:O669"/>
    <mergeCell ref="T669:U669"/>
    <mergeCell ref="V669:X669"/>
    <mergeCell ref="A670:B670"/>
    <mergeCell ref="F670:G670"/>
    <mergeCell ref="K670:M670"/>
    <mergeCell ref="T670:U670"/>
    <mergeCell ref="V670:X670"/>
    <mergeCell ref="V666:X666"/>
    <mergeCell ref="A667:O667"/>
    <mergeCell ref="T667:U667"/>
    <mergeCell ref="V667:X667"/>
    <mergeCell ref="A668:O668"/>
    <mergeCell ref="T668:U668"/>
    <mergeCell ref="V668:X668"/>
    <mergeCell ref="A665:C665"/>
    <mergeCell ref="D665:G665"/>
    <mergeCell ref="H665:N665"/>
    <mergeCell ref="T665:U665"/>
    <mergeCell ref="V665:X665"/>
    <mergeCell ref="A666:B666"/>
    <mergeCell ref="D666:E666"/>
    <mergeCell ref="F666:G666"/>
    <mergeCell ref="K666:M666"/>
    <mergeCell ref="T666:U666"/>
    <mergeCell ref="A663:B663"/>
    <mergeCell ref="F663:G663"/>
    <mergeCell ref="K663:M663"/>
    <mergeCell ref="T663:U663"/>
    <mergeCell ref="V663:X663"/>
    <mergeCell ref="A664:C664"/>
    <mergeCell ref="D664:G664"/>
    <mergeCell ref="H664:N664"/>
    <mergeCell ref="T664:U664"/>
    <mergeCell ref="V664:X664"/>
    <mergeCell ref="A661:B661"/>
    <mergeCell ref="F661:G661"/>
    <mergeCell ref="K661:M661"/>
    <mergeCell ref="T661:U661"/>
    <mergeCell ref="V661:X661"/>
    <mergeCell ref="A662:B662"/>
    <mergeCell ref="F662:G662"/>
    <mergeCell ref="K662:M662"/>
    <mergeCell ref="T662:U662"/>
    <mergeCell ref="V662:X662"/>
    <mergeCell ref="A659:B659"/>
    <mergeCell ref="F659:G659"/>
    <mergeCell ref="K659:M659"/>
    <mergeCell ref="T659:U659"/>
    <mergeCell ref="V659:X659"/>
    <mergeCell ref="A660:B660"/>
    <mergeCell ref="F660:G660"/>
    <mergeCell ref="K660:M660"/>
    <mergeCell ref="T660:U660"/>
    <mergeCell ref="V660:X660"/>
    <mergeCell ref="A657:B657"/>
    <mergeCell ref="F657:G657"/>
    <mergeCell ref="K657:M657"/>
    <mergeCell ref="T657:U657"/>
    <mergeCell ref="V657:X657"/>
    <mergeCell ref="A658:B658"/>
    <mergeCell ref="F658:G658"/>
    <mergeCell ref="K658:M658"/>
    <mergeCell ref="T658:U658"/>
    <mergeCell ref="V658:X658"/>
    <mergeCell ref="A655:B655"/>
    <mergeCell ref="F655:G655"/>
    <mergeCell ref="K655:M655"/>
    <mergeCell ref="T655:U655"/>
    <mergeCell ref="V655:X655"/>
    <mergeCell ref="A656:B656"/>
    <mergeCell ref="F656:G656"/>
    <mergeCell ref="K656:M656"/>
    <mergeCell ref="T656:U656"/>
    <mergeCell ref="V656:X656"/>
    <mergeCell ref="A653:B653"/>
    <mergeCell ref="F653:G653"/>
    <mergeCell ref="K653:M653"/>
    <mergeCell ref="T653:U653"/>
    <mergeCell ref="V653:X653"/>
    <mergeCell ref="A654:B654"/>
    <mergeCell ref="F654:G654"/>
    <mergeCell ref="K654:M654"/>
    <mergeCell ref="T654:U654"/>
    <mergeCell ref="V654:X654"/>
    <mergeCell ref="A651:B651"/>
    <mergeCell ref="F651:G651"/>
    <mergeCell ref="K651:M651"/>
    <mergeCell ref="T651:U651"/>
    <mergeCell ref="V651:X651"/>
    <mergeCell ref="A652:B652"/>
    <mergeCell ref="F652:G652"/>
    <mergeCell ref="K652:M652"/>
    <mergeCell ref="T652:U652"/>
    <mergeCell ref="V652:X652"/>
    <mergeCell ref="A649:B649"/>
    <mergeCell ref="F649:G649"/>
    <mergeCell ref="K649:M649"/>
    <mergeCell ref="T649:U649"/>
    <mergeCell ref="V649:X649"/>
    <mergeCell ref="A650:B650"/>
    <mergeCell ref="F650:G650"/>
    <mergeCell ref="K650:M650"/>
    <mergeCell ref="T650:U650"/>
    <mergeCell ref="V650:X650"/>
    <mergeCell ref="A647:B647"/>
    <mergeCell ref="F647:G647"/>
    <mergeCell ref="K647:M647"/>
    <mergeCell ref="T647:U647"/>
    <mergeCell ref="V647:X647"/>
    <mergeCell ref="A648:B648"/>
    <mergeCell ref="F648:G648"/>
    <mergeCell ref="K648:M648"/>
    <mergeCell ref="T648:U648"/>
    <mergeCell ref="V648:X648"/>
    <mergeCell ref="A645:B645"/>
    <mergeCell ref="F645:G645"/>
    <mergeCell ref="K645:M645"/>
    <mergeCell ref="T645:U645"/>
    <mergeCell ref="V645:X645"/>
    <mergeCell ref="A646:B646"/>
    <mergeCell ref="F646:G646"/>
    <mergeCell ref="K646:M646"/>
    <mergeCell ref="T646:U646"/>
    <mergeCell ref="V646:X646"/>
    <mergeCell ref="A643:B643"/>
    <mergeCell ref="F643:G643"/>
    <mergeCell ref="K643:M643"/>
    <mergeCell ref="T643:U643"/>
    <mergeCell ref="V643:X643"/>
    <mergeCell ref="A644:B644"/>
    <mergeCell ref="F644:G644"/>
    <mergeCell ref="K644:M644"/>
    <mergeCell ref="T644:U644"/>
    <mergeCell ref="V644:X644"/>
    <mergeCell ref="A641:B641"/>
    <mergeCell ref="F641:G641"/>
    <mergeCell ref="K641:M641"/>
    <mergeCell ref="T641:U641"/>
    <mergeCell ref="V641:X641"/>
    <mergeCell ref="A642:B642"/>
    <mergeCell ref="F642:G642"/>
    <mergeCell ref="K642:M642"/>
    <mergeCell ref="T642:U642"/>
    <mergeCell ref="V642:X642"/>
    <mergeCell ref="A639:B639"/>
    <mergeCell ref="F639:G639"/>
    <mergeCell ref="K639:M639"/>
    <mergeCell ref="T639:U639"/>
    <mergeCell ref="V639:X639"/>
    <mergeCell ref="A640:B640"/>
    <mergeCell ref="F640:G640"/>
    <mergeCell ref="K640:M640"/>
    <mergeCell ref="T640:U640"/>
    <mergeCell ref="V640:X640"/>
    <mergeCell ref="A637:B637"/>
    <mergeCell ref="F637:G637"/>
    <mergeCell ref="K637:M637"/>
    <mergeCell ref="T637:U637"/>
    <mergeCell ref="V637:X637"/>
    <mergeCell ref="A638:B638"/>
    <mergeCell ref="F638:G638"/>
    <mergeCell ref="K638:M638"/>
    <mergeCell ref="T638:U638"/>
    <mergeCell ref="V638:X638"/>
    <mergeCell ref="A635:B635"/>
    <mergeCell ref="F635:G635"/>
    <mergeCell ref="K635:M635"/>
    <mergeCell ref="T635:U635"/>
    <mergeCell ref="V635:X635"/>
    <mergeCell ref="A636:B636"/>
    <mergeCell ref="F636:G636"/>
    <mergeCell ref="K636:M636"/>
    <mergeCell ref="T636:U636"/>
    <mergeCell ref="V636:X636"/>
    <mergeCell ref="A633:B633"/>
    <mergeCell ref="F633:G633"/>
    <mergeCell ref="K633:M633"/>
    <mergeCell ref="T633:U633"/>
    <mergeCell ref="V633:X633"/>
    <mergeCell ref="A634:B634"/>
    <mergeCell ref="F634:G634"/>
    <mergeCell ref="K634:M634"/>
    <mergeCell ref="T634:U634"/>
    <mergeCell ref="V634:X634"/>
    <mergeCell ref="A631:B631"/>
    <mergeCell ref="F631:G631"/>
    <mergeCell ref="K631:M631"/>
    <mergeCell ref="T631:U631"/>
    <mergeCell ref="V631:X631"/>
    <mergeCell ref="A632:B632"/>
    <mergeCell ref="F632:G632"/>
    <mergeCell ref="K632:M632"/>
    <mergeCell ref="T632:U632"/>
    <mergeCell ref="V632:X632"/>
    <mergeCell ref="A629:B629"/>
    <mergeCell ref="F629:G629"/>
    <mergeCell ref="K629:M629"/>
    <mergeCell ref="T629:U629"/>
    <mergeCell ref="V629:X629"/>
    <mergeCell ref="A630:B630"/>
    <mergeCell ref="F630:G630"/>
    <mergeCell ref="K630:M630"/>
    <mergeCell ref="T630:U630"/>
    <mergeCell ref="V630:X630"/>
    <mergeCell ref="A627:B627"/>
    <mergeCell ref="F627:G627"/>
    <mergeCell ref="K627:M627"/>
    <mergeCell ref="T627:U627"/>
    <mergeCell ref="V627:X627"/>
    <mergeCell ref="A628:B628"/>
    <mergeCell ref="F628:G628"/>
    <mergeCell ref="K628:M628"/>
    <mergeCell ref="T628:U628"/>
    <mergeCell ref="V628:X628"/>
    <mergeCell ref="A625:B625"/>
    <mergeCell ref="F625:G625"/>
    <mergeCell ref="K625:M625"/>
    <mergeCell ref="T625:U625"/>
    <mergeCell ref="V625:X625"/>
    <mergeCell ref="A626:B626"/>
    <mergeCell ref="F626:G626"/>
    <mergeCell ref="K626:M626"/>
    <mergeCell ref="T626:U626"/>
    <mergeCell ref="V626:X626"/>
    <mergeCell ref="A623:B623"/>
    <mergeCell ref="F623:G623"/>
    <mergeCell ref="K623:M623"/>
    <mergeCell ref="T623:U623"/>
    <mergeCell ref="V623:X623"/>
    <mergeCell ref="A624:B624"/>
    <mergeCell ref="F624:G624"/>
    <mergeCell ref="K624:M624"/>
    <mergeCell ref="T624:U624"/>
    <mergeCell ref="V624:X624"/>
    <mergeCell ref="A621:B621"/>
    <mergeCell ref="F621:G621"/>
    <mergeCell ref="K621:M621"/>
    <mergeCell ref="T621:U621"/>
    <mergeCell ref="V621:X621"/>
    <mergeCell ref="A622:B622"/>
    <mergeCell ref="F622:G622"/>
    <mergeCell ref="K622:M622"/>
    <mergeCell ref="T622:U622"/>
    <mergeCell ref="V622:X622"/>
    <mergeCell ref="A619:B619"/>
    <mergeCell ref="F619:G619"/>
    <mergeCell ref="K619:M619"/>
    <mergeCell ref="T619:U619"/>
    <mergeCell ref="V619:X619"/>
    <mergeCell ref="A620:B620"/>
    <mergeCell ref="F620:G620"/>
    <mergeCell ref="K620:M620"/>
    <mergeCell ref="T620:U620"/>
    <mergeCell ref="V620:X620"/>
    <mergeCell ref="A617:B617"/>
    <mergeCell ref="F617:G617"/>
    <mergeCell ref="K617:M617"/>
    <mergeCell ref="T617:U617"/>
    <mergeCell ref="V617:X617"/>
    <mergeCell ref="A618:B618"/>
    <mergeCell ref="F618:G618"/>
    <mergeCell ref="K618:M618"/>
    <mergeCell ref="T618:U618"/>
    <mergeCell ref="V618:X618"/>
    <mergeCell ref="A615:B615"/>
    <mergeCell ref="F615:G615"/>
    <mergeCell ref="K615:M615"/>
    <mergeCell ref="T615:U615"/>
    <mergeCell ref="V615:X615"/>
    <mergeCell ref="A616:B616"/>
    <mergeCell ref="F616:G616"/>
    <mergeCell ref="K616:M616"/>
    <mergeCell ref="T616:U616"/>
    <mergeCell ref="V616:X616"/>
    <mergeCell ref="A613:B613"/>
    <mergeCell ref="F613:G613"/>
    <mergeCell ref="K613:M613"/>
    <mergeCell ref="T613:U613"/>
    <mergeCell ref="V613:X613"/>
    <mergeCell ref="A614:B614"/>
    <mergeCell ref="F614:G614"/>
    <mergeCell ref="K614:M614"/>
    <mergeCell ref="T614:U614"/>
    <mergeCell ref="V614:X614"/>
    <mergeCell ref="A611:B611"/>
    <mergeCell ref="F611:G611"/>
    <mergeCell ref="K611:M611"/>
    <mergeCell ref="T611:U611"/>
    <mergeCell ref="V611:X611"/>
    <mergeCell ref="A612:B612"/>
    <mergeCell ref="F612:G612"/>
    <mergeCell ref="K612:M612"/>
    <mergeCell ref="T612:U612"/>
    <mergeCell ref="V612:X612"/>
    <mergeCell ref="A609:B609"/>
    <mergeCell ref="F609:G609"/>
    <mergeCell ref="K609:M609"/>
    <mergeCell ref="T609:U609"/>
    <mergeCell ref="V609:X609"/>
    <mergeCell ref="A610:B610"/>
    <mergeCell ref="F610:G610"/>
    <mergeCell ref="K610:M610"/>
    <mergeCell ref="T610:U610"/>
    <mergeCell ref="V610:X610"/>
    <mergeCell ref="A607:B607"/>
    <mergeCell ref="F607:G607"/>
    <mergeCell ref="K607:M607"/>
    <mergeCell ref="T607:U607"/>
    <mergeCell ref="V607:X607"/>
    <mergeCell ref="A608:B608"/>
    <mergeCell ref="F608:G608"/>
    <mergeCell ref="K608:M608"/>
    <mergeCell ref="T608:U608"/>
    <mergeCell ref="V608:X608"/>
    <mergeCell ref="A605:B605"/>
    <mergeCell ref="F605:G605"/>
    <mergeCell ref="K605:M605"/>
    <mergeCell ref="T605:U605"/>
    <mergeCell ref="V605:X605"/>
    <mergeCell ref="A606:B606"/>
    <mergeCell ref="F606:G606"/>
    <mergeCell ref="K606:M606"/>
    <mergeCell ref="T606:U606"/>
    <mergeCell ref="V606:X606"/>
    <mergeCell ref="A603:B603"/>
    <mergeCell ref="F603:G603"/>
    <mergeCell ref="K603:M603"/>
    <mergeCell ref="T603:U603"/>
    <mergeCell ref="V603:X603"/>
    <mergeCell ref="A604:B604"/>
    <mergeCell ref="F604:G604"/>
    <mergeCell ref="K604:M604"/>
    <mergeCell ref="T604:U604"/>
    <mergeCell ref="V604:X604"/>
    <mergeCell ref="A601:B601"/>
    <mergeCell ref="F601:G601"/>
    <mergeCell ref="K601:M601"/>
    <mergeCell ref="T601:U601"/>
    <mergeCell ref="V601:X601"/>
    <mergeCell ref="A602:B602"/>
    <mergeCell ref="F602:G602"/>
    <mergeCell ref="K602:M602"/>
    <mergeCell ref="T602:U602"/>
    <mergeCell ref="V602:X602"/>
    <mergeCell ref="A599:B599"/>
    <mergeCell ref="F599:G599"/>
    <mergeCell ref="K599:M599"/>
    <mergeCell ref="T599:U599"/>
    <mergeCell ref="V599:X599"/>
    <mergeCell ref="A600:B600"/>
    <mergeCell ref="F600:G600"/>
    <mergeCell ref="K600:M600"/>
    <mergeCell ref="T600:U600"/>
    <mergeCell ref="V600:X600"/>
    <mergeCell ref="A597:B597"/>
    <mergeCell ref="F597:G597"/>
    <mergeCell ref="K597:M597"/>
    <mergeCell ref="T597:U597"/>
    <mergeCell ref="V597:X597"/>
    <mergeCell ref="A598:B598"/>
    <mergeCell ref="F598:G598"/>
    <mergeCell ref="K598:M598"/>
    <mergeCell ref="T598:U598"/>
    <mergeCell ref="V598:X598"/>
    <mergeCell ref="A595:O595"/>
    <mergeCell ref="T595:U595"/>
    <mergeCell ref="V595:X595"/>
    <mergeCell ref="A596:B596"/>
    <mergeCell ref="F596:G596"/>
    <mergeCell ref="K596:M596"/>
    <mergeCell ref="T596:U596"/>
    <mergeCell ref="V596:X596"/>
    <mergeCell ref="V592:X592"/>
    <mergeCell ref="A593:O593"/>
    <mergeCell ref="T593:U593"/>
    <mergeCell ref="V593:X593"/>
    <mergeCell ref="A594:O594"/>
    <mergeCell ref="T594:U594"/>
    <mergeCell ref="V594:X594"/>
    <mergeCell ref="A591:C591"/>
    <mergeCell ref="D591:G591"/>
    <mergeCell ref="H591:N591"/>
    <mergeCell ref="T591:U591"/>
    <mergeCell ref="V591:X591"/>
    <mergeCell ref="A592:B592"/>
    <mergeCell ref="D592:E592"/>
    <mergeCell ref="F592:G592"/>
    <mergeCell ref="K592:M592"/>
    <mergeCell ref="T592:U592"/>
    <mergeCell ref="A589:B589"/>
    <mergeCell ref="F589:G589"/>
    <mergeCell ref="K589:M589"/>
    <mergeCell ref="T589:U589"/>
    <mergeCell ref="V589:X589"/>
    <mergeCell ref="A590:C590"/>
    <mergeCell ref="D590:G590"/>
    <mergeCell ref="H590:N590"/>
    <mergeCell ref="T590:U590"/>
    <mergeCell ref="V590:X590"/>
    <mergeCell ref="A587:O587"/>
    <mergeCell ref="T587:U587"/>
    <mergeCell ref="V587:X587"/>
    <mergeCell ref="A588:B588"/>
    <mergeCell ref="F588:G588"/>
    <mergeCell ref="K588:M588"/>
    <mergeCell ref="T588:U588"/>
    <mergeCell ref="V588:X588"/>
    <mergeCell ref="A585:O585"/>
    <mergeCell ref="T585:U585"/>
    <mergeCell ref="V585:X585"/>
    <mergeCell ref="A586:O586"/>
    <mergeCell ref="T586:U586"/>
    <mergeCell ref="V586:X586"/>
    <mergeCell ref="A584:B584"/>
    <mergeCell ref="D584:E584"/>
    <mergeCell ref="F584:G584"/>
    <mergeCell ref="K584:M584"/>
    <mergeCell ref="T584:U584"/>
    <mergeCell ref="V584:X584"/>
    <mergeCell ref="A582:C582"/>
    <mergeCell ref="D582:G582"/>
    <mergeCell ref="H582:N582"/>
    <mergeCell ref="T582:U582"/>
    <mergeCell ref="V582:X582"/>
    <mergeCell ref="A583:C583"/>
    <mergeCell ref="D583:G583"/>
    <mergeCell ref="H583:N583"/>
    <mergeCell ref="T583:U583"/>
    <mergeCell ref="V583:X583"/>
    <mergeCell ref="A581:B581"/>
    <mergeCell ref="D581:E581"/>
    <mergeCell ref="F581:G581"/>
    <mergeCell ref="K581:M581"/>
    <mergeCell ref="T581:U581"/>
    <mergeCell ref="V581:X581"/>
    <mergeCell ref="A580:B580"/>
    <mergeCell ref="D580:E580"/>
    <mergeCell ref="F580:G580"/>
    <mergeCell ref="K580:M580"/>
    <mergeCell ref="T580:U580"/>
    <mergeCell ref="V580:X580"/>
    <mergeCell ref="A579:B579"/>
    <mergeCell ref="D579:E579"/>
    <mergeCell ref="F579:G579"/>
    <mergeCell ref="K579:M579"/>
    <mergeCell ref="T579:U579"/>
    <mergeCell ref="V579:X579"/>
    <mergeCell ref="A578:B578"/>
    <mergeCell ref="D578:E578"/>
    <mergeCell ref="F578:G578"/>
    <mergeCell ref="K578:M578"/>
    <mergeCell ref="T578:U578"/>
    <mergeCell ref="V578:X578"/>
    <mergeCell ref="A577:B577"/>
    <mergeCell ref="D577:E577"/>
    <mergeCell ref="F577:G577"/>
    <mergeCell ref="K577:M577"/>
    <mergeCell ref="T577:U577"/>
    <mergeCell ref="V577:X577"/>
    <mergeCell ref="A576:B576"/>
    <mergeCell ref="D576:E576"/>
    <mergeCell ref="F576:G576"/>
    <mergeCell ref="K576:M576"/>
    <mergeCell ref="T576:U576"/>
    <mergeCell ref="V576:X576"/>
    <mergeCell ref="A575:B575"/>
    <mergeCell ref="D575:E575"/>
    <mergeCell ref="F575:G575"/>
    <mergeCell ref="K575:M575"/>
    <mergeCell ref="T575:U575"/>
    <mergeCell ref="V575:X575"/>
    <mergeCell ref="A574:B574"/>
    <mergeCell ref="D574:E574"/>
    <mergeCell ref="F574:G574"/>
    <mergeCell ref="K574:M574"/>
    <mergeCell ref="T574:U574"/>
    <mergeCell ref="V574:X574"/>
    <mergeCell ref="A573:B573"/>
    <mergeCell ref="D573:E573"/>
    <mergeCell ref="F573:G573"/>
    <mergeCell ref="K573:M573"/>
    <mergeCell ref="T573:U573"/>
    <mergeCell ref="V573:X573"/>
    <mergeCell ref="A572:B572"/>
    <mergeCell ref="D572:E572"/>
    <mergeCell ref="F572:G572"/>
    <mergeCell ref="K572:M572"/>
    <mergeCell ref="T572:U572"/>
    <mergeCell ref="V572:X572"/>
    <mergeCell ref="A571:B571"/>
    <mergeCell ref="D571:E571"/>
    <mergeCell ref="F571:G571"/>
    <mergeCell ref="K571:M571"/>
    <mergeCell ref="T571:U571"/>
    <mergeCell ref="V571:X571"/>
    <mergeCell ref="A570:B570"/>
    <mergeCell ref="D570:E570"/>
    <mergeCell ref="F570:G570"/>
    <mergeCell ref="K570:M570"/>
    <mergeCell ref="T570:U570"/>
    <mergeCell ref="V570:X570"/>
    <mergeCell ref="A569:B569"/>
    <mergeCell ref="D569:E569"/>
    <mergeCell ref="F569:G569"/>
    <mergeCell ref="K569:M569"/>
    <mergeCell ref="T569:U569"/>
    <mergeCell ref="V569:X569"/>
    <mergeCell ref="A568:B568"/>
    <mergeCell ref="D568:E568"/>
    <mergeCell ref="F568:G568"/>
    <mergeCell ref="K568:M568"/>
    <mergeCell ref="T568:U568"/>
    <mergeCell ref="V568:X568"/>
    <mergeCell ref="A567:B567"/>
    <mergeCell ref="D567:E567"/>
    <mergeCell ref="F567:G567"/>
    <mergeCell ref="K567:M567"/>
    <mergeCell ref="T567:U567"/>
    <mergeCell ref="V567:X567"/>
    <mergeCell ref="A566:B566"/>
    <mergeCell ref="D566:E566"/>
    <mergeCell ref="F566:G566"/>
    <mergeCell ref="K566:M566"/>
    <mergeCell ref="T566:U566"/>
    <mergeCell ref="V566:X566"/>
    <mergeCell ref="A565:B565"/>
    <mergeCell ref="D565:E565"/>
    <mergeCell ref="F565:G565"/>
    <mergeCell ref="K565:M565"/>
    <mergeCell ref="T565:U565"/>
    <mergeCell ref="V565:X565"/>
    <mergeCell ref="A564:B564"/>
    <mergeCell ref="D564:E564"/>
    <mergeCell ref="F564:G564"/>
    <mergeCell ref="K564:M564"/>
    <mergeCell ref="T564:U564"/>
    <mergeCell ref="V564:X564"/>
    <mergeCell ref="A563:B563"/>
    <mergeCell ref="D563:E563"/>
    <mergeCell ref="F563:G563"/>
    <mergeCell ref="K563:M563"/>
    <mergeCell ref="T563:U563"/>
    <mergeCell ref="V563:X563"/>
    <mergeCell ref="A562:B562"/>
    <mergeCell ref="D562:E562"/>
    <mergeCell ref="F562:G562"/>
    <mergeCell ref="K562:M562"/>
    <mergeCell ref="T562:U562"/>
    <mergeCell ref="V562:X562"/>
    <mergeCell ref="A561:B561"/>
    <mergeCell ref="D561:E561"/>
    <mergeCell ref="F561:G561"/>
    <mergeCell ref="K561:M561"/>
    <mergeCell ref="T561:U561"/>
    <mergeCell ref="V561:X561"/>
    <mergeCell ref="A560:B560"/>
    <mergeCell ref="D560:E560"/>
    <mergeCell ref="F560:G560"/>
    <mergeCell ref="K560:M560"/>
    <mergeCell ref="T560:U560"/>
    <mergeCell ref="V560:X560"/>
    <mergeCell ref="A559:B559"/>
    <mergeCell ref="D559:E559"/>
    <mergeCell ref="F559:G559"/>
    <mergeCell ref="K559:M559"/>
    <mergeCell ref="T559:U559"/>
    <mergeCell ref="V559:X559"/>
    <mergeCell ref="A558:B558"/>
    <mergeCell ref="D558:E558"/>
    <mergeCell ref="F558:G558"/>
    <mergeCell ref="K558:M558"/>
    <mergeCell ref="T558:U558"/>
    <mergeCell ref="V558:X558"/>
    <mergeCell ref="A557:B557"/>
    <mergeCell ref="D557:E557"/>
    <mergeCell ref="F557:G557"/>
    <mergeCell ref="K557:M557"/>
    <mergeCell ref="T557:U557"/>
    <mergeCell ref="V557:X557"/>
    <mergeCell ref="A556:B556"/>
    <mergeCell ref="D556:E556"/>
    <mergeCell ref="F556:G556"/>
    <mergeCell ref="K556:M556"/>
    <mergeCell ref="T556:U556"/>
    <mergeCell ref="V556:X556"/>
    <mergeCell ref="A555:B555"/>
    <mergeCell ref="D555:E555"/>
    <mergeCell ref="F555:G555"/>
    <mergeCell ref="K555:M555"/>
    <mergeCell ref="T555:U555"/>
    <mergeCell ref="V555:X555"/>
    <mergeCell ref="A554:B554"/>
    <mergeCell ref="D554:E554"/>
    <mergeCell ref="F554:G554"/>
    <mergeCell ref="K554:M554"/>
    <mergeCell ref="T554:U554"/>
    <mergeCell ref="V554:X554"/>
    <mergeCell ref="A552:O552"/>
    <mergeCell ref="T552:U552"/>
    <mergeCell ref="V552:X552"/>
    <mergeCell ref="A553:B553"/>
    <mergeCell ref="D553:E553"/>
    <mergeCell ref="F553:G553"/>
    <mergeCell ref="K553:M553"/>
    <mergeCell ref="T553:U553"/>
    <mergeCell ref="V553:X553"/>
    <mergeCell ref="A550:O550"/>
    <mergeCell ref="T550:U550"/>
    <mergeCell ref="V550:X550"/>
    <mergeCell ref="A551:O551"/>
    <mergeCell ref="T551:U551"/>
    <mergeCell ref="V551:X551"/>
    <mergeCell ref="A549:B549"/>
    <mergeCell ref="D549:E549"/>
    <mergeCell ref="F549:G549"/>
    <mergeCell ref="K549:M549"/>
    <mergeCell ref="T549:U549"/>
    <mergeCell ref="V549:X549"/>
    <mergeCell ref="A547:C547"/>
    <mergeCell ref="D547:G547"/>
    <mergeCell ref="H547:N547"/>
    <mergeCell ref="T547:U547"/>
    <mergeCell ref="V547:X547"/>
    <mergeCell ref="A548:C548"/>
    <mergeCell ref="D548:G548"/>
    <mergeCell ref="H548:N548"/>
    <mergeCell ref="T548:U548"/>
    <mergeCell ref="V548:X548"/>
    <mergeCell ref="A545:B545"/>
    <mergeCell ref="F545:G545"/>
    <mergeCell ref="K545:M545"/>
    <mergeCell ref="T545:U545"/>
    <mergeCell ref="V545:X545"/>
    <mergeCell ref="A546:B546"/>
    <mergeCell ref="F546:G546"/>
    <mergeCell ref="K546:M546"/>
    <mergeCell ref="T546:U546"/>
    <mergeCell ref="V546:X546"/>
    <mergeCell ref="A543:B543"/>
    <mergeCell ref="F543:G543"/>
    <mergeCell ref="K543:M543"/>
    <mergeCell ref="T543:U543"/>
    <mergeCell ref="V543:X543"/>
    <mergeCell ref="A544:B544"/>
    <mergeCell ref="F544:G544"/>
    <mergeCell ref="K544:M544"/>
    <mergeCell ref="T544:U544"/>
    <mergeCell ref="V544:X544"/>
    <mergeCell ref="A541:B541"/>
    <mergeCell ref="F541:G541"/>
    <mergeCell ref="K541:M541"/>
    <mergeCell ref="T541:U541"/>
    <mergeCell ref="V541:X541"/>
    <mergeCell ref="A542:B542"/>
    <mergeCell ref="F542:G542"/>
    <mergeCell ref="K542:M542"/>
    <mergeCell ref="T542:U542"/>
    <mergeCell ref="V542:X542"/>
    <mergeCell ref="A539:B539"/>
    <mergeCell ref="F539:G539"/>
    <mergeCell ref="K539:M539"/>
    <mergeCell ref="T539:U539"/>
    <mergeCell ref="V539:X539"/>
    <mergeCell ref="A540:B540"/>
    <mergeCell ref="F540:G540"/>
    <mergeCell ref="K540:M540"/>
    <mergeCell ref="T540:U540"/>
    <mergeCell ref="V540:X540"/>
    <mergeCell ref="A537:B537"/>
    <mergeCell ref="F537:G537"/>
    <mergeCell ref="K537:M537"/>
    <mergeCell ref="T537:U537"/>
    <mergeCell ref="V537:X537"/>
    <mergeCell ref="A538:B538"/>
    <mergeCell ref="F538:G538"/>
    <mergeCell ref="K538:M538"/>
    <mergeCell ref="T538:U538"/>
    <mergeCell ref="V538:X538"/>
    <mergeCell ref="A535:B535"/>
    <mergeCell ref="F535:G535"/>
    <mergeCell ref="K535:M535"/>
    <mergeCell ref="T535:U535"/>
    <mergeCell ref="V535:X535"/>
    <mergeCell ref="A536:B536"/>
    <mergeCell ref="F536:G536"/>
    <mergeCell ref="K536:M536"/>
    <mergeCell ref="T536:U536"/>
    <mergeCell ref="V536:X536"/>
    <mergeCell ref="A533:B533"/>
    <mergeCell ref="F533:G533"/>
    <mergeCell ref="K533:M533"/>
    <mergeCell ref="T533:U533"/>
    <mergeCell ref="V533:X533"/>
    <mergeCell ref="A534:B534"/>
    <mergeCell ref="F534:G534"/>
    <mergeCell ref="K534:M534"/>
    <mergeCell ref="T534:U534"/>
    <mergeCell ref="V534:X534"/>
    <mergeCell ref="A531:B531"/>
    <mergeCell ref="F531:G531"/>
    <mergeCell ref="K531:M531"/>
    <mergeCell ref="T531:U531"/>
    <mergeCell ref="V531:X531"/>
    <mergeCell ref="A532:B532"/>
    <mergeCell ref="F532:G532"/>
    <mergeCell ref="K532:M532"/>
    <mergeCell ref="T532:U532"/>
    <mergeCell ref="V532:X532"/>
    <mergeCell ref="A529:B529"/>
    <mergeCell ref="F529:G529"/>
    <mergeCell ref="K529:M529"/>
    <mergeCell ref="T529:U529"/>
    <mergeCell ref="V529:X529"/>
    <mergeCell ref="A530:B530"/>
    <mergeCell ref="F530:G530"/>
    <mergeCell ref="K530:M530"/>
    <mergeCell ref="T530:U530"/>
    <mergeCell ref="V530:X530"/>
    <mergeCell ref="A527:B527"/>
    <mergeCell ref="F527:G527"/>
    <mergeCell ref="K527:M527"/>
    <mergeCell ref="T527:U527"/>
    <mergeCell ref="V527:X527"/>
    <mergeCell ref="A528:B528"/>
    <mergeCell ref="F528:G528"/>
    <mergeCell ref="K528:M528"/>
    <mergeCell ref="T528:U528"/>
    <mergeCell ref="V528:X528"/>
    <mergeCell ref="A525:B525"/>
    <mergeCell ref="F525:G525"/>
    <mergeCell ref="K525:M525"/>
    <mergeCell ref="T525:U525"/>
    <mergeCell ref="V525:X525"/>
    <mergeCell ref="A526:B526"/>
    <mergeCell ref="F526:G526"/>
    <mergeCell ref="K526:M526"/>
    <mergeCell ref="T526:U526"/>
    <mergeCell ref="V526:X526"/>
    <mergeCell ref="A523:B523"/>
    <mergeCell ref="F523:G523"/>
    <mergeCell ref="K523:M523"/>
    <mergeCell ref="T523:U523"/>
    <mergeCell ref="V523:X523"/>
    <mergeCell ref="A524:B524"/>
    <mergeCell ref="F524:G524"/>
    <mergeCell ref="K524:M524"/>
    <mergeCell ref="T524:U524"/>
    <mergeCell ref="V524:X524"/>
    <mergeCell ref="A521:B521"/>
    <mergeCell ref="F521:G521"/>
    <mergeCell ref="K521:M521"/>
    <mergeCell ref="T521:U521"/>
    <mergeCell ref="V521:X521"/>
    <mergeCell ref="A522:B522"/>
    <mergeCell ref="F522:G522"/>
    <mergeCell ref="K522:M522"/>
    <mergeCell ref="T522:U522"/>
    <mergeCell ref="V522:X522"/>
    <mergeCell ref="A519:B519"/>
    <mergeCell ref="F519:G519"/>
    <mergeCell ref="K519:M519"/>
    <mergeCell ref="T519:U519"/>
    <mergeCell ref="V519:X519"/>
    <mergeCell ref="A520:B520"/>
    <mergeCell ref="F520:G520"/>
    <mergeCell ref="K520:M520"/>
    <mergeCell ref="T520:U520"/>
    <mergeCell ref="V520:X520"/>
    <mergeCell ref="A517:B517"/>
    <mergeCell ref="F517:G517"/>
    <mergeCell ref="K517:M517"/>
    <mergeCell ref="T517:U517"/>
    <mergeCell ref="V517:X517"/>
    <mergeCell ref="A518:B518"/>
    <mergeCell ref="F518:G518"/>
    <mergeCell ref="K518:M518"/>
    <mergeCell ref="T518:U518"/>
    <mergeCell ref="V518:X518"/>
    <mergeCell ref="A515:B515"/>
    <mergeCell ref="F515:G515"/>
    <mergeCell ref="K515:M515"/>
    <mergeCell ref="T515:U515"/>
    <mergeCell ref="V515:X515"/>
    <mergeCell ref="A516:B516"/>
    <mergeCell ref="F516:G516"/>
    <mergeCell ref="K516:M516"/>
    <mergeCell ref="T516:U516"/>
    <mergeCell ref="V516:X516"/>
    <mergeCell ref="A513:B513"/>
    <mergeCell ref="F513:G513"/>
    <mergeCell ref="K513:M513"/>
    <mergeCell ref="T513:U513"/>
    <mergeCell ref="V513:X513"/>
    <mergeCell ref="A514:B514"/>
    <mergeCell ref="F514:G514"/>
    <mergeCell ref="K514:M514"/>
    <mergeCell ref="T514:U514"/>
    <mergeCell ref="V514:X514"/>
    <mergeCell ref="A511:B511"/>
    <mergeCell ref="F511:G511"/>
    <mergeCell ref="K511:M511"/>
    <mergeCell ref="T511:U511"/>
    <mergeCell ref="V511:X511"/>
    <mergeCell ref="A512:B512"/>
    <mergeCell ref="F512:G512"/>
    <mergeCell ref="K512:M512"/>
    <mergeCell ref="T512:U512"/>
    <mergeCell ref="V512:X512"/>
    <mergeCell ref="A509:B509"/>
    <mergeCell ref="F509:G509"/>
    <mergeCell ref="K509:M509"/>
    <mergeCell ref="T509:U509"/>
    <mergeCell ref="V509:X509"/>
    <mergeCell ref="A510:B510"/>
    <mergeCell ref="F510:G510"/>
    <mergeCell ref="K510:M510"/>
    <mergeCell ref="T510:U510"/>
    <mergeCell ref="V510:X510"/>
    <mergeCell ref="A507:B507"/>
    <mergeCell ref="F507:G507"/>
    <mergeCell ref="K507:M507"/>
    <mergeCell ref="T507:U507"/>
    <mergeCell ref="V507:X507"/>
    <mergeCell ref="A508:B508"/>
    <mergeCell ref="F508:G508"/>
    <mergeCell ref="K508:M508"/>
    <mergeCell ref="T508:U508"/>
    <mergeCell ref="V508:X508"/>
    <mergeCell ref="A505:B505"/>
    <mergeCell ref="F505:G505"/>
    <mergeCell ref="K505:M505"/>
    <mergeCell ref="T505:U505"/>
    <mergeCell ref="V505:X505"/>
    <mergeCell ref="A506:B506"/>
    <mergeCell ref="F506:G506"/>
    <mergeCell ref="K506:M506"/>
    <mergeCell ref="T506:U506"/>
    <mergeCell ref="V506:X506"/>
    <mergeCell ref="A503:B503"/>
    <mergeCell ref="F503:G503"/>
    <mergeCell ref="K503:M503"/>
    <mergeCell ref="T503:U503"/>
    <mergeCell ref="V503:X503"/>
    <mergeCell ref="A504:B504"/>
    <mergeCell ref="F504:G504"/>
    <mergeCell ref="K504:M504"/>
    <mergeCell ref="T504:U504"/>
    <mergeCell ref="V504:X504"/>
    <mergeCell ref="A501:B501"/>
    <mergeCell ref="F501:G501"/>
    <mergeCell ref="K501:M501"/>
    <mergeCell ref="T501:U501"/>
    <mergeCell ref="V501:X501"/>
    <mergeCell ref="A502:B502"/>
    <mergeCell ref="F502:G502"/>
    <mergeCell ref="K502:M502"/>
    <mergeCell ref="T502:U502"/>
    <mergeCell ref="V502:X502"/>
    <mergeCell ref="A499:B499"/>
    <mergeCell ref="F499:G499"/>
    <mergeCell ref="K499:M499"/>
    <mergeCell ref="T499:U499"/>
    <mergeCell ref="V499:X499"/>
    <mergeCell ref="A500:B500"/>
    <mergeCell ref="F500:G500"/>
    <mergeCell ref="K500:M500"/>
    <mergeCell ref="T500:U500"/>
    <mergeCell ref="V500:X500"/>
    <mergeCell ref="A497:B497"/>
    <mergeCell ref="F497:G497"/>
    <mergeCell ref="K497:M497"/>
    <mergeCell ref="T497:U497"/>
    <mergeCell ref="V497:X497"/>
    <mergeCell ref="A498:B498"/>
    <mergeCell ref="F498:G498"/>
    <mergeCell ref="K498:M498"/>
    <mergeCell ref="T498:U498"/>
    <mergeCell ref="V498:X498"/>
    <mergeCell ref="A495:B495"/>
    <mergeCell ref="F495:G495"/>
    <mergeCell ref="K495:M495"/>
    <mergeCell ref="T495:U495"/>
    <mergeCell ref="V495:X495"/>
    <mergeCell ref="A496:B496"/>
    <mergeCell ref="F496:G496"/>
    <mergeCell ref="K496:M496"/>
    <mergeCell ref="T496:U496"/>
    <mergeCell ref="V496:X496"/>
    <mergeCell ref="A493:B493"/>
    <mergeCell ref="F493:G493"/>
    <mergeCell ref="K493:M493"/>
    <mergeCell ref="T493:U493"/>
    <mergeCell ref="V493:X493"/>
    <mergeCell ref="A494:B494"/>
    <mergeCell ref="F494:G494"/>
    <mergeCell ref="K494:M494"/>
    <mergeCell ref="T494:U494"/>
    <mergeCell ref="V494:X494"/>
    <mergeCell ref="A491:B491"/>
    <mergeCell ref="F491:G491"/>
    <mergeCell ref="K491:M491"/>
    <mergeCell ref="T491:U491"/>
    <mergeCell ref="V491:X491"/>
    <mergeCell ref="A492:B492"/>
    <mergeCell ref="F492:G492"/>
    <mergeCell ref="K492:M492"/>
    <mergeCell ref="T492:U492"/>
    <mergeCell ref="V492:X492"/>
    <mergeCell ref="A489:B489"/>
    <mergeCell ref="F489:G489"/>
    <mergeCell ref="K489:M489"/>
    <mergeCell ref="T489:U489"/>
    <mergeCell ref="V489:X489"/>
    <mergeCell ref="A490:B490"/>
    <mergeCell ref="F490:G490"/>
    <mergeCell ref="K490:M490"/>
    <mergeCell ref="T490:U490"/>
    <mergeCell ref="V490:X490"/>
    <mergeCell ref="A487:B487"/>
    <mergeCell ref="F487:G487"/>
    <mergeCell ref="K487:M487"/>
    <mergeCell ref="T487:U487"/>
    <mergeCell ref="V487:X487"/>
    <mergeCell ref="A488:B488"/>
    <mergeCell ref="F488:G488"/>
    <mergeCell ref="K488:M488"/>
    <mergeCell ref="T488:U488"/>
    <mergeCell ref="V488:X488"/>
    <mergeCell ref="A485:B485"/>
    <mergeCell ref="F485:G485"/>
    <mergeCell ref="K485:M485"/>
    <mergeCell ref="T485:U485"/>
    <mergeCell ref="V485:X485"/>
    <mergeCell ref="A486:B486"/>
    <mergeCell ref="F486:G486"/>
    <mergeCell ref="K486:M486"/>
    <mergeCell ref="T486:U486"/>
    <mergeCell ref="V486:X486"/>
    <mergeCell ref="A483:B483"/>
    <mergeCell ref="F483:G483"/>
    <mergeCell ref="K483:M483"/>
    <mergeCell ref="T483:U483"/>
    <mergeCell ref="V483:X483"/>
    <mergeCell ref="A484:B484"/>
    <mergeCell ref="F484:G484"/>
    <mergeCell ref="K484:M484"/>
    <mergeCell ref="T484:U484"/>
    <mergeCell ref="V484:X484"/>
    <mergeCell ref="A481:B481"/>
    <mergeCell ref="F481:G481"/>
    <mergeCell ref="K481:M481"/>
    <mergeCell ref="T481:U481"/>
    <mergeCell ref="V481:X481"/>
    <mergeCell ref="A482:B482"/>
    <mergeCell ref="F482:G482"/>
    <mergeCell ref="K482:M482"/>
    <mergeCell ref="T482:U482"/>
    <mergeCell ref="V482:X482"/>
    <mergeCell ref="A479:B479"/>
    <mergeCell ref="F479:G479"/>
    <mergeCell ref="K479:M479"/>
    <mergeCell ref="T479:U479"/>
    <mergeCell ref="V479:X479"/>
    <mergeCell ref="A480:B480"/>
    <mergeCell ref="F480:G480"/>
    <mergeCell ref="K480:M480"/>
    <mergeCell ref="T480:U480"/>
    <mergeCell ref="V480:X480"/>
    <mergeCell ref="A477:B477"/>
    <mergeCell ref="F477:G477"/>
    <mergeCell ref="K477:M477"/>
    <mergeCell ref="T477:U477"/>
    <mergeCell ref="V477:X477"/>
    <mergeCell ref="A478:B478"/>
    <mergeCell ref="F478:G478"/>
    <mergeCell ref="K478:M478"/>
    <mergeCell ref="T478:U478"/>
    <mergeCell ref="V478:X478"/>
    <mergeCell ref="A475:B475"/>
    <mergeCell ref="F475:G475"/>
    <mergeCell ref="K475:M475"/>
    <mergeCell ref="T475:U475"/>
    <mergeCell ref="V475:X475"/>
    <mergeCell ref="A476:B476"/>
    <mergeCell ref="F476:G476"/>
    <mergeCell ref="K476:M476"/>
    <mergeCell ref="T476:U476"/>
    <mergeCell ref="V476:X476"/>
    <mergeCell ref="A473:B473"/>
    <mergeCell ref="F473:G473"/>
    <mergeCell ref="K473:M473"/>
    <mergeCell ref="T473:U473"/>
    <mergeCell ref="V473:X473"/>
    <mergeCell ref="A474:B474"/>
    <mergeCell ref="F474:G474"/>
    <mergeCell ref="K474:M474"/>
    <mergeCell ref="T474:U474"/>
    <mergeCell ref="V474:X474"/>
    <mergeCell ref="A471:B471"/>
    <mergeCell ref="F471:G471"/>
    <mergeCell ref="K471:M471"/>
    <mergeCell ref="T471:U471"/>
    <mergeCell ref="V471:X471"/>
    <mergeCell ref="A472:B472"/>
    <mergeCell ref="F472:G472"/>
    <mergeCell ref="K472:M472"/>
    <mergeCell ref="T472:U472"/>
    <mergeCell ref="V472:X472"/>
    <mergeCell ref="A469:B469"/>
    <mergeCell ref="F469:G469"/>
    <mergeCell ref="K469:M469"/>
    <mergeCell ref="T469:U469"/>
    <mergeCell ref="V469:X469"/>
    <mergeCell ref="A470:B470"/>
    <mergeCell ref="F470:G470"/>
    <mergeCell ref="K470:M470"/>
    <mergeCell ref="T470:U470"/>
    <mergeCell ref="V470:X470"/>
    <mergeCell ref="A467:B467"/>
    <mergeCell ref="F467:G467"/>
    <mergeCell ref="K467:M467"/>
    <mergeCell ref="T467:U467"/>
    <mergeCell ref="V467:X467"/>
    <mergeCell ref="A468:B468"/>
    <mergeCell ref="F468:G468"/>
    <mergeCell ref="K468:M468"/>
    <mergeCell ref="T468:U468"/>
    <mergeCell ref="V468:X468"/>
    <mergeCell ref="A465:B465"/>
    <mergeCell ref="F465:G465"/>
    <mergeCell ref="K465:M465"/>
    <mergeCell ref="T465:U465"/>
    <mergeCell ref="V465:X465"/>
    <mergeCell ref="A466:B466"/>
    <mergeCell ref="F466:G466"/>
    <mergeCell ref="K466:M466"/>
    <mergeCell ref="T466:U466"/>
    <mergeCell ref="V466:X466"/>
    <mergeCell ref="A463:B463"/>
    <mergeCell ref="F463:G463"/>
    <mergeCell ref="K463:M463"/>
    <mergeCell ref="T463:U463"/>
    <mergeCell ref="V463:X463"/>
    <mergeCell ref="A464:B464"/>
    <mergeCell ref="F464:G464"/>
    <mergeCell ref="K464:M464"/>
    <mergeCell ref="T464:U464"/>
    <mergeCell ref="V464:X464"/>
    <mergeCell ref="A461:B461"/>
    <mergeCell ref="F461:G461"/>
    <mergeCell ref="K461:M461"/>
    <mergeCell ref="T461:U461"/>
    <mergeCell ref="V461:X461"/>
    <mergeCell ref="A462:B462"/>
    <mergeCell ref="F462:G462"/>
    <mergeCell ref="K462:M462"/>
    <mergeCell ref="T462:U462"/>
    <mergeCell ref="V462:X462"/>
    <mergeCell ref="A459:B459"/>
    <mergeCell ref="F459:G459"/>
    <mergeCell ref="K459:M459"/>
    <mergeCell ref="T459:U459"/>
    <mergeCell ref="V459:X459"/>
    <mergeCell ref="A460:B460"/>
    <mergeCell ref="F460:G460"/>
    <mergeCell ref="K460:M460"/>
    <mergeCell ref="T460:U460"/>
    <mergeCell ref="V460:X460"/>
    <mergeCell ref="A457:B457"/>
    <mergeCell ref="F457:G457"/>
    <mergeCell ref="K457:M457"/>
    <mergeCell ref="T457:U457"/>
    <mergeCell ref="V457:X457"/>
    <mergeCell ref="A458:B458"/>
    <mergeCell ref="F458:G458"/>
    <mergeCell ref="K458:M458"/>
    <mergeCell ref="T458:U458"/>
    <mergeCell ref="V458:X458"/>
    <mergeCell ref="A455:B455"/>
    <mergeCell ref="F455:G455"/>
    <mergeCell ref="K455:M455"/>
    <mergeCell ref="T455:U455"/>
    <mergeCell ref="V455:X455"/>
    <mergeCell ref="A456:B456"/>
    <mergeCell ref="F456:G456"/>
    <mergeCell ref="K456:M456"/>
    <mergeCell ref="T456:U456"/>
    <mergeCell ref="V456:X456"/>
    <mergeCell ref="A453:B453"/>
    <mergeCell ref="F453:G453"/>
    <mergeCell ref="K453:M453"/>
    <mergeCell ref="T453:U453"/>
    <mergeCell ref="V453:X453"/>
    <mergeCell ref="A454:B454"/>
    <mergeCell ref="F454:G454"/>
    <mergeCell ref="K454:M454"/>
    <mergeCell ref="T454:U454"/>
    <mergeCell ref="V454:X454"/>
    <mergeCell ref="A451:B451"/>
    <mergeCell ref="F451:G451"/>
    <mergeCell ref="K451:M451"/>
    <mergeCell ref="T451:U451"/>
    <mergeCell ref="V451:X451"/>
    <mergeCell ref="A452:B452"/>
    <mergeCell ref="F452:G452"/>
    <mergeCell ref="K452:M452"/>
    <mergeCell ref="T452:U452"/>
    <mergeCell ref="V452:X452"/>
    <mergeCell ref="A449:B449"/>
    <mergeCell ref="F449:G449"/>
    <mergeCell ref="K449:M449"/>
    <mergeCell ref="T449:U449"/>
    <mergeCell ref="V449:X449"/>
    <mergeCell ref="A450:B450"/>
    <mergeCell ref="F450:G450"/>
    <mergeCell ref="K450:M450"/>
    <mergeCell ref="T450:U450"/>
    <mergeCell ref="V450:X450"/>
    <mergeCell ref="A447:B447"/>
    <mergeCell ref="F447:G447"/>
    <mergeCell ref="K447:M447"/>
    <mergeCell ref="T447:U447"/>
    <mergeCell ref="V447:X447"/>
    <mergeCell ref="A448:B448"/>
    <mergeCell ref="F448:G448"/>
    <mergeCell ref="K448:M448"/>
    <mergeCell ref="T448:U448"/>
    <mergeCell ref="V448:X448"/>
    <mergeCell ref="A445:B445"/>
    <mergeCell ref="F445:G445"/>
    <mergeCell ref="K445:M445"/>
    <mergeCell ref="T445:U445"/>
    <mergeCell ref="V445:X445"/>
    <mergeCell ref="A446:B446"/>
    <mergeCell ref="F446:G446"/>
    <mergeCell ref="K446:M446"/>
    <mergeCell ref="T446:U446"/>
    <mergeCell ref="V446:X446"/>
    <mergeCell ref="A443:B443"/>
    <mergeCell ref="F443:G443"/>
    <mergeCell ref="K443:M443"/>
    <mergeCell ref="T443:U443"/>
    <mergeCell ref="V443:X443"/>
    <mergeCell ref="A444:B444"/>
    <mergeCell ref="F444:G444"/>
    <mergeCell ref="K444:M444"/>
    <mergeCell ref="T444:U444"/>
    <mergeCell ref="V444:X444"/>
    <mergeCell ref="A441:B441"/>
    <mergeCell ref="F441:G441"/>
    <mergeCell ref="K441:M441"/>
    <mergeCell ref="T441:U441"/>
    <mergeCell ref="V441:X441"/>
    <mergeCell ref="A442:B442"/>
    <mergeCell ref="F442:G442"/>
    <mergeCell ref="K442:M442"/>
    <mergeCell ref="T442:U442"/>
    <mergeCell ref="V442:X442"/>
    <mergeCell ref="A439:B439"/>
    <mergeCell ref="F439:G439"/>
    <mergeCell ref="K439:M439"/>
    <mergeCell ref="T439:U439"/>
    <mergeCell ref="V439:X439"/>
    <mergeCell ref="A440:B440"/>
    <mergeCell ref="F440:G440"/>
    <mergeCell ref="K440:M440"/>
    <mergeCell ref="T440:U440"/>
    <mergeCell ref="V440:X440"/>
    <mergeCell ref="A437:B437"/>
    <mergeCell ref="F437:G437"/>
    <mergeCell ref="K437:M437"/>
    <mergeCell ref="T437:U437"/>
    <mergeCell ref="V437:X437"/>
    <mergeCell ref="A438:B438"/>
    <mergeCell ref="F438:G438"/>
    <mergeCell ref="K438:M438"/>
    <mergeCell ref="T438:U438"/>
    <mergeCell ref="V438:X438"/>
    <mergeCell ref="A435:B435"/>
    <mergeCell ref="F435:G435"/>
    <mergeCell ref="K435:M435"/>
    <mergeCell ref="T435:U435"/>
    <mergeCell ref="V435:X435"/>
    <mergeCell ref="A436:B436"/>
    <mergeCell ref="F436:G436"/>
    <mergeCell ref="K436:M436"/>
    <mergeCell ref="T436:U436"/>
    <mergeCell ref="V436:X436"/>
    <mergeCell ref="A433:B433"/>
    <mergeCell ref="F433:G433"/>
    <mergeCell ref="K433:M433"/>
    <mergeCell ref="T433:U433"/>
    <mergeCell ref="V433:X433"/>
    <mergeCell ref="A434:B434"/>
    <mergeCell ref="F434:G434"/>
    <mergeCell ref="K434:M434"/>
    <mergeCell ref="T434:U434"/>
    <mergeCell ref="V434:X434"/>
    <mergeCell ref="A431:B431"/>
    <mergeCell ref="F431:G431"/>
    <mergeCell ref="K431:M431"/>
    <mergeCell ref="T431:U431"/>
    <mergeCell ref="V431:X431"/>
    <mergeCell ref="A432:B432"/>
    <mergeCell ref="F432:G432"/>
    <mergeCell ref="K432:M432"/>
    <mergeCell ref="T432:U432"/>
    <mergeCell ref="V432:X432"/>
    <mergeCell ref="A429:B429"/>
    <mergeCell ref="F429:G429"/>
    <mergeCell ref="K429:M429"/>
    <mergeCell ref="T429:U429"/>
    <mergeCell ref="V429:X429"/>
    <mergeCell ref="A430:B430"/>
    <mergeCell ref="F430:G430"/>
    <mergeCell ref="K430:M430"/>
    <mergeCell ref="T430:U430"/>
    <mergeCell ref="V430:X430"/>
    <mergeCell ref="A427:B427"/>
    <mergeCell ref="F427:G427"/>
    <mergeCell ref="K427:M427"/>
    <mergeCell ref="T427:U427"/>
    <mergeCell ref="V427:X427"/>
    <mergeCell ref="A428:B428"/>
    <mergeCell ref="F428:G428"/>
    <mergeCell ref="K428:M428"/>
    <mergeCell ref="T428:U428"/>
    <mergeCell ref="V428:X428"/>
    <mergeCell ref="A425:B425"/>
    <mergeCell ref="F425:G425"/>
    <mergeCell ref="K425:M425"/>
    <mergeCell ref="T425:U425"/>
    <mergeCell ref="V425:X425"/>
    <mergeCell ref="A426:B426"/>
    <mergeCell ref="F426:G426"/>
    <mergeCell ref="K426:M426"/>
    <mergeCell ref="T426:U426"/>
    <mergeCell ref="V426:X426"/>
    <mergeCell ref="A423:B423"/>
    <mergeCell ref="F423:G423"/>
    <mergeCell ref="K423:M423"/>
    <mergeCell ref="T423:U423"/>
    <mergeCell ref="V423:X423"/>
    <mergeCell ref="A424:B424"/>
    <mergeCell ref="F424:G424"/>
    <mergeCell ref="K424:M424"/>
    <mergeCell ref="T424:U424"/>
    <mergeCell ref="V424:X424"/>
    <mergeCell ref="A421:B421"/>
    <mergeCell ref="F421:G421"/>
    <mergeCell ref="K421:M421"/>
    <mergeCell ref="T421:U421"/>
    <mergeCell ref="V421:X421"/>
    <mergeCell ref="A422:B422"/>
    <mergeCell ref="F422:G422"/>
    <mergeCell ref="K422:M422"/>
    <mergeCell ref="T422:U422"/>
    <mergeCell ref="V422:X422"/>
    <mergeCell ref="A419:B419"/>
    <mergeCell ref="F419:G419"/>
    <mergeCell ref="K419:M419"/>
    <mergeCell ref="T419:U419"/>
    <mergeCell ref="V419:X419"/>
    <mergeCell ref="A420:B420"/>
    <mergeCell ref="F420:G420"/>
    <mergeCell ref="K420:M420"/>
    <mergeCell ref="T420:U420"/>
    <mergeCell ref="V420:X420"/>
    <mergeCell ref="A417:B417"/>
    <mergeCell ref="F417:G417"/>
    <mergeCell ref="K417:M417"/>
    <mergeCell ref="T417:U417"/>
    <mergeCell ref="V417:X417"/>
    <mergeCell ref="A418:B418"/>
    <mergeCell ref="F418:G418"/>
    <mergeCell ref="K418:M418"/>
    <mergeCell ref="T418:U418"/>
    <mergeCell ref="V418:X418"/>
    <mergeCell ref="A415:B415"/>
    <mergeCell ref="F415:G415"/>
    <mergeCell ref="K415:M415"/>
    <mergeCell ref="T415:U415"/>
    <mergeCell ref="V415:X415"/>
    <mergeCell ref="A416:B416"/>
    <mergeCell ref="F416:G416"/>
    <mergeCell ref="K416:M416"/>
    <mergeCell ref="T416:U416"/>
    <mergeCell ref="V416:X416"/>
    <mergeCell ref="A413:B413"/>
    <mergeCell ref="F413:G413"/>
    <mergeCell ref="K413:M413"/>
    <mergeCell ref="T413:U413"/>
    <mergeCell ref="V413:X413"/>
    <mergeCell ref="A414:B414"/>
    <mergeCell ref="F414:G414"/>
    <mergeCell ref="K414:M414"/>
    <mergeCell ref="T414:U414"/>
    <mergeCell ref="V414:X414"/>
    <mergeCell ref="A411:B411"/>
    <mergeCell ref="F411:G411"/>
    <mergeCell ref="K411:M411"/>
    <mergeCell ref="T411:U411"/>
    <mergeCell ref="V411:X411"/>
    <mergeCell ref="A412:B412"/>
    <mergeCell ref="F412:G412"/>
    <mergeCell ref="K412:M412"/>
    <mergeCell ref="T412:U412"/>
    <mergeCell ref="V412:X412"/>
    <mergeCell ref="A409:B409"/>
    <mergeCell ref="F409:G409"/>
    <mergeCell ref="K409:M409"/>
    <mergeCell ref="T409:U409"/>
    <mergeCell ref="V409:X409"/>
    <mergeCell ref="A410:B410"/>
    <mergeCell ref="F410:G410"/>
    <mergeCell ref="K410:M410"/>
    <mergeCell ref="T410:U410"/>
    <mergeCell ref="V410:X410"/>
    <mergeCell ref="A407:B407"/>
    <mergeCell ref="F407:G407"/>
    <mergeCell ref="K407:M407"/>
    <mergeCell ref="T407:U407"/>
    <mergeCell ref="V407:X407"/>
    <mergeCell ref="A408:B408"/>
    <mergeCell ref="F408:G408"/>
    <mergeCell ref="K408:M408"/>
    <mergeCell ref="T408:U408"/>
    <mergeCell ref="V408:X408"/>
    <mergeCell ref="A405:B405"/>
    <mergeCell ref="F405:G405"/>
    <mergeCell ref="K405:M405"/>
    <mergeCell ref="T405:U405"/>
    <mergeCell ref="V405:X405"/>
    <mergeCell ref="A406:B406"/>
    <mergeCell ref="F406:G406"/>
    <mergeCell ref="K406:M406"/>
    <mergeCell ref="T406:U406"/>
    <mergeCell ref="V406:X406"/>
    <mergeCell ref="A403:B403"/>
    <mergeCell ref="F403:G403"/>
    <mergeCell ref="K403:M403"/>
    <mergeCell ref="T403:U403"/>
    <mergeCell ref="V403:X403"/>
    <mergeCell ref="A404:B404"/>
    <mergeCell ref="F404:G404"/>
    <mergeCell ref="K404:M404"/>
    <mergeCell ref="T404:U404"/>
    <mergeCell ref="V404:X404"/>
    <mergeCell ref="A401:B401"/>
    <mergeCell ref="F401:G401"/>
    <mergeCell ref="K401:M401"/>
    <mergeCell ref="T401:U401"/>
    <mergeCell ref="V401:X401"/>
    <mergeCell ref="A402:B402"/>
    <mergeCell ref="F402:G402"/>
    <mergeCell ref="K402:M402"/>
    <mergeCell ref="T402:U402"/>
    <mergeCell ref="V402:X402"/>
    <mergeCell ref="A399:B399"/>
    <mergeCell ref="F399:G399"/>
    <mergeCell ref="K399:M399"/>
    <mergeCell ref="T399:U399"/>
    <mergeCell ref="V399:X399"/>
    <mergeCell ref="A400:B400"/>
    <mergeCell ref="F400:G400"/>
    <mergeCell ref="K400:M400"/>
    <mergeCell ref="T400:U400"/>
    <mergeCell ref="V400:X400"/>
    <mergeCell ref="A397:B397"/>
    <mergeCell ref="F397:G397"/>
    <mergeCell ref="K397:M397"/>
    <mergeCell ref="T397:U397"/>
    <mergeCell ref="V397:X397"/>
    <mergeCell ref="A398:B398"/>
    <mergeCell ref="F398:G398"/>
    <mergeCell ref="K398:M398"/>
    <mergeCell ref="T398:U398"/>
    <mergeCell ref="V398:X398"/>
    <mergeCell ref="A395:B395"/>
    <mergeCell ref="F395:G395"/>
    <mergeCell ref="K395:M395"/>
    <mergeCell ref="T395:U395"/>
    <mergeCell ref="V395:X395"/>
    <mergeCell ref="A396:B396"/>
    <mergeCell ref="F396:G396"/>
    <mergeCell ref="K396:M396"/>
    <mergeCell ref="T396:U396"/>
    <mergeCell ref="V396:X396"/>
    <mergeCell ref="A393:B393"/>
    <mergeCell ref="F393:G393"/>
    <mergeCell ref="K393:M393"/>
    <mergeCell ref="T393:U393"/>
    <mergeCell ref="V393:X393"/>
    <mergeCell ref="A394:B394"/>
    <mergeCell ref="F394:G394"/>
    <mergeCell ref="K394:M394"/>
    <mergeCell ref="T394:U394"/>
    <mergeCell ref="V394:X394"/>
    <mergeCell ref="A391:B391"/>
    <mergeCell ref="F391:G391"/>
    <mergeCell ref="K391:M391"/>
    <mergeCell ref="T391:U391"/>
    <mergeCell ref="V391:X391"/>
    <mergeCell ref="A392:B392"/>
    <mergeCell ref="F392:G392"/>
    <mergeCell ref="K392:M392"/>
    <mergeCell ref="T392:U392"/>
    <mergeCell ref="V392:X392"/>
    <mergeCell ref="A389:B389"/>
    <mergeCell ref="F389:G389"/>
    <mergeCell ref="K389:M389"/>
    <mergeCell ref="T389:U389"/>
    <mergeCell ref="V389:X389"/>
    <mergeCell ref="A390:B390"/>
    <mergeCell ref="F390:G390"/>
    <mergeCell ref="K390:M390"/>
    <mergeCell ref="T390:U390"/>
    <mergeCell ref="V390:X390"/>
    <mergeCell ref="A387:B387"/>
    <mergeCell ref="F387:G387"/>
    <mergeCell ref="K387:M387"/>
    <mergeCell ref="T387:U387"/>
    <mergeCell ref="V387:X387"/>
    <mergeCell ref="A388:B388"/>
    <mergeCell ref="F388:G388"/>
    <mergeCell ref="K388:M388"/>
    <mergeCell ref="T388:U388"/>
    <mergeCell ref="V388:X388"/>
    <mergeCell ref="A385:B385"/>
    <mergeCell ref="F385:G385"/>
    <mergeCell ref="K385:M385"/>
    <mergeCell ref="T385:U385"/>
    <mergeCell ref="V385:X385"/>
    <mergeCell ref="A386:B386"/>
    <mergeCell ref="F386:G386"/>
    <mergeCell ref="K386:M386"/>
    <mergeCell ref="T386:U386"/>
    <mergeCell ref="V386:X386"/>
    <mergeCell ref="A383:B383"/>
    <mergeCell ref="F383:G383"/>
    <mergeCell ref="K383:M383"/>
    <mergeCell ref="T383:U383"/>
    <mergeCell ref="V383:X383"/>
    <mergeCell ref="A384:B384"/>
    <mergeCell ref="F384:G384"/>
    <mergeCell ref="K384:M384"/>
    <mergeCell ref="T384:U384"/>
    <mergeCell ref="V384:X384"/>
    <mergeCell ref="A381:B381"/>
    <mergeCell ref="F381:G381"/>
    <mergeCell ref="K381:M381"/>
    <mergeCell ref="T381:U381"/>
    <mergeCell ref="V381:X381"/>
    <mergeCell ref="A382:B382"/>
    <mergeCell ref="F382:G382"/>
    <mergeCell ref="K382:M382"/>
    <mergeCell ref="T382:U382"/>
    <mergeCell ref="V382:X382"/>
    <mergeCell ref="A379:B379"/>
    <mergeCell ref="F379:G379"/>
    <mergeCell ref="K379:M379"/>
    <mergeCell ref="T379:U379"/>
    <mergeCell ref="V379:X379"/>
    <mergeCell ref="A380:B380"/>
    <mergeCell ref="F380:G380"/>
    <mergeCell ref="K380:M380"/>
    <mergeCell ref="T380:U380"/>
    <mergeCell ref="V380:X380"/>
    <mergeCell ref="A377:B377"/>
    <mergeCell ref="F377:G377"/>
    <mergeCell ref="K377:M377"/>
    <mergeCell ref="T377:U377"/>
    <mergeCell ref="V377:X377"/>
    <mergeCell ref="A378:B378"/>
    <mergeCell ref="F378:G378"/>
    <mergeCell ref="K378:M378"/>
    <mergeCell ref="T378:U378"/>
    <mergeCell ref="V378:X378"/>
    <mergeCell ref="A375:B375"/>
    <mergeCell ref="F375:G375"/>
    <mergeCell ref="K375:M375"/>
    <mergeCell ref="T375:U375"/>
    <mergeCell ref="V375:X375"/>
    <mergeCell ref="A376:B376"/>
    <mergeCell ref="F376:G376"/>
    <mergeCell ref="K376:M376"/>
    <mergeCell ref="T376:U376"/>
    <mergeCell ref="V376:X376"/>
    <mergeCell ref="A373:B373"/>
    <mergeCell ref="F373:G373"/>
    <mergeCell ref="K373:M373"/>
    <mergeCell ref="T373:U373"/>
    <mergeCell ref="V373:X373"/>
    <mergeCell ref="A374:B374"/>
    <mergeCell ref="F374:G374"/>
    <mergeCell ref="K374:M374"/>
    <mergeCell ref="T374:U374"/>
    <mergeCell ref="V374:X374"/>
    <mergeCell ref="A371:B371"/>
    <mergeCell ref="F371:G371"/>
    <mergeCell ref="K371:M371"/>
    <mergeCell ref="T371:U371"/>
    <mergeCell ref="V371:X371"/>
    <mergeCell ref="A372:B372"/>
    <mergeCell ref="F372:G372"/>
    <mergeCell ref="K372:M372"/>
    <mergeCell ref="T372:U372"/>
    <mergeCell ref="V372:X372"/>
    <mergeCell ref="A369:B369"/>
    <mergeCell ref="F369:G369"/>
    <mergeCell ref="K369:M369"/>
    <mergeCell ref="T369:U369"/>
    <mergeCell ref="V369:X369"/>
    <mergeCell ref="A370:B370"/>
    <mergeCell ref="F370:G370"/>
    <mergeCell ref="K370:M370"/>
    <mergeCell ref="T370:U370"/>
    <mergeCell ref="V370:X370"/>
    <mergeCell ref="A367:B367"/>
    <mergeCell ref="F367:G367"/>
    <mergeCell ref="K367:M367"/>
    <mergeCell ref="T367:U367"/>
    <mergeCell ref="V367:X367"/>
    <mergeCell ref="A368:B368"/>
    <mergeCell ref="F368:G368"/>
    <mergeCell ref="K368:M368"/>
    <mergeCell ref="T368:U368"/>
    <mergeCell ref="V368:X368"/>
    <mergeCell ref="A365:B365"/>
    <mergeCell ref="F365:G365"/>
    <mergeCell ref="K365:M365"/>
    <mergeCell ref="T365:U365"/>
    <mergeCell ref="V365:X365"/>
    <mergeCell ref="A366:B366"/>
    <mergeCell ref="F366:G366"/>
    <mergeCell ref="K366:M366"/>
    <mergeCell ref="T366:U366"/>
    <mergeCell ref="V366:X366"/>
    <mergeCell ref="A363:B363"/>
    <mergeCell ref="F363:G363"/>
    <mergeCell ref="K363:M363"/>
    <mergeCell ref="T363:U363"/>
    <mergeCell ref="V363:X363"/>
    <mergeCell ref="A364:B364"/>
    <mergeCell ref="F364:G364"/>
    <mergeCell ref="K364:M364"/>
    <mergeCell ref="T364:U364"/>
    <mergeCell ref="V364:X364"/>
    <mergeCell ref="A361:B361"/>
    <mergeCell ref="F361:G361"/>
    <mergeCell ref="K361:M361"/>
    <mergeCell ref="T361:U361"/>
    <mergeCell ref="V361:X361"/>
    <mergeCell ref="A362:B362"/>
    <mergeCell ref="F362:G362"/>
    <mergeCell ref="K362:M362"/>
    <mergeCell ref="T362:U362"/>
    <mergeCell ref="V362:X362"/>
    <mergeCell ref="A359:B359"/>
    <mergeCell ref="F359:G359"/>
    <mergeCell ref="K359:M359"/>
    <mergeCell ref="T359:U359"/>
    <mergeCell ref="V359:X359"/>
    <mergeCell ref="A360:B360"/>
    <mergeCell ref="F360:G360"/>
    <mergeCell ref="K360:M360"/>
    <mergeCell ref="T360:U360"/>
    <mergeCell ref="V360:X360"/>
    <mergeCell ref="A357:B357"/>
    <mergeCell ref="F357:G357"/>
    <mergeCell ref="K357:M357"/>
    <mergeCell ref="T357:U357"/>
    <mergeCell ref="V357:X357"/>
    <mergeCell ref="A358:B358"/>
    <mergeCell ref="F358:G358"/>
    <mergeCell ref="K358:M358"/>
    <mergeCell ref="T358:U358"/>
    <mergeCell ref="V358:X358"/>
    <mergeCell ref="A355:B355"/>
    <mergeCell ref="F355:G355"/>
    <mergeCell ref="K355:M355"/>
    <mergeCell ref="T355:U355"/>
    <mergeCell ref="V355:X355"/>
    <mergeCell ref="A356:B356"/>
    <mergeCell ref="F356:G356"/>
    <mergeCell ref="K356:M356"/>
    <mergeCell ref="T356:U356"/>
    <mergeCell ref="V356:X356"/>
    <mergeCell ref="A353:B353"/>
    <mergeCell ref="F353:G353"/>
    <mergeCell ref="K353:M353"/>
    <mergeCell ref="T353:U353"/>
    <mergeCell ref="V353:X353"/>
    <mergeCell ref="A354:B354"/>
    <mergeCell ref="F354:G354"/>
    <mergeCell ref="K354:M354"/>
    <mergeCell ref="T354:U354"/>
    <mergeCell ref="V354:X354"/>
    <mergeCell ref="A351:B351"/>
    <mergeCell ref="F351:G351"/>
    <mergeCell ref="K351:M351"/>
    <mergeCell ref="T351:U351"/>
    <mergeCell ref="V351:X351"/>
    <mergeCell ref="A352:B352"/>
    <mergeCell ref="F352:G352"/>
    <mergeCell ref="K352:M352"/>
    <mergeCell ref="T352:U352"/>
    <mergeCell ref="V352:X352"/>
    <mergeCell ref="A349:B349"/>
    <mergeCell ref="F349:G349"/>
    <mergeCell ref="K349:M349"/>
    <mergeCell ref="T349:U349"/>
    <mergeCell ref="V349:X349"/>
    <mergeCell ref="A350:B350"/>
    <mergeCell ref="F350:G350"/>
    <mergeCell ref="K350:M350"/>
    <mergeCell ref="T350:U350"/>
    <mergeCell ref="V350:X350"/>
    <mergeCell ref="A347:B347"/>
    <mergeCell ref="F347:G347"/>
    <mergeCell ref="K347:M347"/>
    <mergeCell ref="T347:U347"/>
    <mergeCell ref="V347:X347"/>
    <mergeCell ref="A348:B348"/>
    <mergeCell ref="F348:G348"/>
    <mergeCell ref="K348:M348"/>
    <mergeCell ref="T348:U348"/>
    <mergeCell ref="V348:X348"/>
    <mergeCell ref="A345:B345"/>
    <mergeCell ref="F345:G345"/>
    <mergeCell ref="K345:M345"/>
    <mergeCell ref="T345:U345"/>
    <mergeCell ref="V345:X345"/>
    <mergeCell ref="A346:B346"/>
    <mergeCell ref="F346:G346"/>
    <mergeCell ref="K346:M346"/>
    <mergeCell ref="T346:U346"/>
    <mergeCell ref="V346:X346"/>
    <mergeCell ref="A343:B343"/>
    <mergeCell ref="F343:G343"/>
    <mergeCell ref="K343:M343"/>
    <mergeCell ref="T343:U343"/>
    <mergeCell ref="V343:X343"/>
    <mergeCell ref="A344:B344"/>
    <mergeCell ref="F344:G344"/>
    <mergeCell ref="K344:M344"/>
    <mergeCell ref="T344:U344"/>
    <mergeCell ref="V344:X344"/>
    <mergeCell ref="A341:B341"/>
    <mergeCell ref="F341:G341"/>
    <mergeCell ref="K341:M341"/>
    <mergeCell ref="T341:U341"/>
    <mergeCell ref="V341:X341"/>
    <mergeCell ref="A342:B342"/>
    <mergeCell ref="F342:G342"/>
    <mergeCell ref="K342:M342"/>
    <mergeCell ref="T342:U342"/>
    <mergeCell ref="V342:X342"/>
    <mergeCell ref="A339:B339"/>
    <mergeCell ref="F339:G339"/>
    <mergeCell ref="K339:M339"/>
    <mergeCell ref="T339:U339"/>
    <mergeCell ref="V339:X339"/>
    <mergeCell ref="A340:B340"/>
    <mergeCell ref="F340:G340"/>
    <mergeCell ref="K340:M340"/>
    <mergeCell ref="T340:U340"/>
    <mergeCell ref="V340:X340"/>
    <mergeCell ref="A337:B337"/>
    <mergeCell ref="F337:G337"/>
    <mergeCell ref="K337:M337"/>
    <mergeCell ref="T337:U337"/>
    <mergeCell ref="V337:X337"/>
    <mergeCell ref="A338:B338"/>
    <mergeCell ref="F338:G338"/>
    <mergeCell ref="K338:M338"/>
    <mergeCell ref="T338:U338"/>
    <mergeCell ref="V338:X338"/>
    <mergeCell ref="A335:B335"/>
    <mergeCell ref="F335:G335"/>
    <mergeCell ref="K335:M335"/>
    <mergeCell ref="T335:U335"/>
    <mergeCell ref="V335:X335"/>
    <mergeCell ref="A336:B336"/>
    <mergeCell ref="F336:G336"/>
    <mergeCell ref="K336:M336"/>
    <mergeCell ref="T336:U336"/>
    <mergeCell ref="V336:X336"/>
    <mergeCell ref="A333:B333"/>
    <mergeCell ref="F333:G333"/>
    <mergeCell ref="K333:M333"/>
    <mergeCell ref="T333:U333"/>
    <mergeCell ref="V333:X333"/>
    <mergeCell ref="A334:B334"/>
    <mergeCell ref="F334:G334"/>
    <mergeCell ref="K334:M334"/>
    <mergeCell ref="T334:U334"/>
    <mergeCell ref="V334:X334"/>
    <mergeCell ref="A331:B331"/>
    <mergeCell ref="F331:G331"/>
    <mergeCell ref="K331:M331"/>
    <mergeCell ref="T331:U331"/>
    <mergeCell ref="V331:X331"/>
    <mergeCell ref="A332:B332"/>
    <mergeCell ref="F332:G332"/>
    <mergeCell ref="K332:M332"/>
    <mergeCell ref="T332:U332"/>
    <mergeCell ref="V332:X332"/>
    <mergeCell ref="A329:B329"/>
    <mergeCell ref="F329:G329"/>
    <mergeCell ref="K329:M329"/>
    <mergeCell ref="T329:U329"/>
    <mergeCell ref="V329:X329"/>
    <mergeCell ref="A330:B330"/>
    <mergeCell ref="F330:G330"/>
    <mergeCell ref="K330:M330"/>
    <mergeCell ref="T330:U330"/>
    <mergeCell ref="V330:X330"/>
    <mergeCell ref="A327:B327"/>
    <mergeCell ref="F327:G327"/>
    <mergeCell ref="K327:M327"/>
    <mergeCell ref="T327:U327"/>
    <mergeCell ref="V327:X327"/>
    <mergeCell ref="A328:B328"/>
    <mergeCell ref="F328:G328"/>
    <mergeCell ref="K328:M328"/>
    <mergeCell ref="T328:U328"/>
    <mergeCell ref="V328:X328"/>
    <mergeCell ref="A325:B325"/>
    <mergeCell ref="F325:G325"/>
    <mergeCell ref="K325:M325"/>
    <mergeCell ref="T325:U325"/>
    <mergeCell ref="V325:X325"/>
    <mergeCell ref="A326:B326"/>
    <mergeCell ref="F326:G326"/>
    <mergeCell ref="K326:M326"/>
    <mergeCell ref="T326:U326"/>
    <mergeCell ref="V326:X326"/>
    <mergeCell ref="A323:B323"/>
    <mergeCell ref="F323:G323"/>
    <mergeCell ref="K323:M323"/>
    <mergeCell ref="T323:U323"/>
    <mergeCell ref="V323:X323"/>
    <mergeCell ref="A324:B324"/>
    <mergeCell ref="F324:G324"/>
    <mergeCell ref="K324:M324"/>
    <mergeCell ref="T324:U324"/>
    <mergeCell ref="V324:X324"/>
    <mergeCell ref="A321:B321"/>
    <mergeCell ref="F321:G321"/>
    <mergeCell ref="K321:M321"/>
    <mergeCell ref="T321:U321"/>
    <mergeCell ref="V321:X321"/>
    <mergeCell ref="A322:B322"/>
    <mergeCell ref="F322:G322"/>
    <mergeCell ref="K322:M322"/>
    <mergeCell ref="T322:U322"/>
    <mergeCell ref="V322:X322"/>
    <mergeCell ref="A319:B319"/>
    <mergeCell ref="F319:G319"/>
    <mergeCell ref="K319:M319"/>
    <mergeCell ref="T319:U319"/>
    <mergeCell ref="V319:X319"/>
    <mergeCell ref="A320:B320"/>
    <mergeCell ref="F320:G320"/>
    <mergeCell ref="K320:M320"/>
    <mergeCell ref="T320:U320"/>
    <mergeCell ref="V320:X320"/>
    <mergeCell ref="A317:B317"/>
    <mergeCell ref="F317:G317"/>
    <mergeCell ref="K317:M317"/>
    <mergeCell ref="T317:U317"/>
    <mergeCell ref="V317:X317"/>
    <mergeCell ref="A318:B318"/>
    <mergeCell ref="F318:G318"/>
    <mergeCell ref="K318:M318"/>
    <mergeCell ref="T318:U318"/>
    <mergeCell ref="V318:X318"/>
    <mergeCell ref="A315:B315"/>
    <mergeCell ref="F315:G315"/>
    <mergeCell ref="K315:M315"/>
    <mergeCell ref="T315:U315"/>
    <mergeCell ref="V315:X315"/>
    <mergeCell ref="A316:B316"/>
    <mergeCell ref="F316:G316"/>
    <mergeCell ref="K316:M316"/>
    <mergeCell ref="T316:U316"/>
    <mergeCell ref="V316:X316"/>
    <mergeCell ref="A313:B313"/>
    <mergeCell ref="F313:G313"/>
    <mergeCell ref="K313:M313"/>
    <mergeCell ref="T313:U313"/>
    <mergeCell ref="V313:X313"/>
    <mergeCell ref="A314:B314"/>
    <mergeCell ref="F314:G314"/>
    <mergeCell ref="K314:M314"/>
    <mergeCell ref="T314:U314"/>
    <mergeCell ref="V314:X314"/>
    <mergeCell ref="A311:B311"/>
    <mergeCell ref="F311:G311"/>
    <mergeCell ref="K311:M311"/>
    <mergeCell ref="T311:U311"/>
    <mergeCell ref="V311:X311"/>
    <mergeCell ref="A312:B312"/>
    <mergeCell ref="F312:G312"/>
    <mergeCell ref="K312:M312"/>
    <mergeCell ref="T312:U312"/>
    <mergeCell ref="V312:X312"/>
    <mergeCell ref="A309:B309"/>
    <mergeCell ref="F309:G309"/>
    <mergeCell ref="K309:M309"/>
    <mergeCell ref="T309:U309"/>
    <mergeCell ref="V309:X309"/>
    <mergeCell ref="A310:B310"/>
    <mergeCell ref="F310:G310"/>
    <mergeCell ref="K310:M310"/>
    <mergeCell ref="T310:U310"/>
    <mergeCell ref="V310:X310"/>
    <mergeCell ref="A307:B307"/>
    <mergeCell ref="F307:G307"/>
    <mergeCell ref="K307:M307"/>
    <mergeCell ref="T307:U307"/>
    <mergeCell ref="V307:X307"/>
    <mergeCell ref="A308:B308"/>
    <mergeCell ref="F308:G308"/>
    <mergeCell ref="K308:M308"/>
    <mergeCell ref="T308:U308"/>
    <mergeCell ref="V308:X308"/>
    <mergeCell ref="A305:B305"/>
    <mergeCell ref="F305:G305"/>
    <mergeCell ref="K305:M305"/>
    <mergeCell ref="T305:U305"/>
    <mergeCell ref="V305:X305"/>
    <mergeCell ref="A306:B306"/>
    <mergeCell ref="F306:G306"/>
    <mergeCell ref="K306:M306"/>
    <mergeCell ref="T306:U306"/>
    <mergeCell ref="V306:X306"/>
    <mergeCell ref="A303:B303"/>
    <mergeCell ref="F303:G303"/>
    <mergeCell ref="K303:M303"/>
    <mergeCell ref="T303:U303"/>
    <mergeCell ref="V303:X303"/>
    <mergeCell ref="A304:B304"/>
    <mergeCell ref="F304:G304"/>
    <mergeCell ref="K304:M304"/>
    <mergeCell ref="T304:U304"/>
    <mergeCell ref="V304:X304"/>
    <mergeCell ref="A301:B301"/>
    <mergeCell ref="F301:G301"/>
    <mergeCell ref="K301:M301"/>
    <mergeCell ref="T301:U301"/>
    <mergeCell ref="V301:X301"/>
    <mergeCell ref="A302:B302"/>
    <mergeCell ref="F302:G302"/>
    <mergeCell ref="K302:M302"/>
    <mergeCell ref="T302:U302"/>
    <mergeCell ref="V302:X302"/>
    <mergeCell ref="A299:B299"/>
    <mergeCell ref="F299:G299"/>
    <mergeCell ref="K299:M299"/>
    <mergeCell ref="T299:U299"/>
    <mergeCell ref="V299:X299"/>
    <mergeCell ref="A300:B300"/>
    <mergeCell ref="F300:G300"/>
    <mergeCell ref="K300:M300"/>
    <mergeCell ref="T300:U300"/>
    <mergeCell ref="V300:X300"/>
    <mergeCell ref="A297:B297"/>
    <mergeCell ref="F297:G297"/>
    <mergeCell ref="K297:M297"/>
    <mergeCell ref="T297:U297"/>
    <mergeCell ref="V297:X297"/>
    <mergeCell ref="A298:B298"/>
    <mergeCell ref="F298:G298"/>
    <mergeCell ref="K298:M298"/>
    <mergeCell ref="T298:U298"/>
    <mergeCell ref="V298:X298"/>
    <mergeCell ref="A295:B295"/>
    <mergeCell ref="F295:G295"/>
    <mergeCell ref="K295:M295"/>
    <mergeCell ref="T295:U295"/>
    <mergeCell ref="V295:X295"/>
    <mergeCell ref="A296:B296"/>
    <mergeCell ref="F296:G296"/>
    <mergeCell ref="K296:M296"/>
    <mergeCell ref="T296:U296"/>
    <mergeCell ref="V296:X296"/>
    <mergeCell ref="A293:B293"/>
    <mergeCell ref="F293:G293"/>
    <mergeCell ref="K293:M293"/>
    <mergeCell ref="T293:U293"/>
    <mergeCell ref="V293:X293"/>
    <mergeCell ref="A294:B294"/>
    <mergeCell ref="F294:G294"/>
    <mergeCell ref="K294:M294"/>
    <mergeCell ref="T294:U294"/>
    <mergeCell ref="V294:X294"/>
    <mergeCell ref="A291:B291"/>
    <mergeCell ref="F291:G291"/>
    <mergeCell ref="K291:M291"/>
    <mergeCell ref="T291:U291"/>
    <mergeCell ref="V291:X291"/>
    <mergeCell ref="A292:B292"/>
    <mergeCell ref="F292:G292"/>
    <mergeCell ref="K292:M292"/>
    <mergeCell ref="T292:U292"/>
    <mergeCell ref="V292:X292"/>
    <mergeCell ref="A289:B289"/>
    <mergeCell ref="F289:G289"/>
    <mergeCell ref="K289:M289"/>
    <mergeCell ref="T289:U289"/>
    <mergeCell ref="V289:X289"/>
    <mergeCell ref="A290:B290"/>
    <mergeCell ref="F290:G290"/>
    <mergeCell ref="K290:M290"/>
    <mergeCell ref="T290:U290"/>
    <mergeCell ref="V290:X290"/>
    <mergeCell ref="A287:B287"/>
    <mergeCell ref="F287:G287"/>
    <mergeCell ref="K287:M287"/>
    <mergeCell ref="T287:U287"/>
    <mergeCell ref="V287:X287"/>
    <mergeCell ref="A288:B288"/>
    <mergeCell ref="F288:G288"/>
    <mergeCell ref="K288:M288"/>
    <mergeCell ref="T288:U288"/>
    <mergeCell ref="V288:X288"/>
    <mergeCell ref="A285:B285"/>
    <mergeCell ref="F285:G285"/>
    <mergeCell ref="K285:M285"/>
    <mergeCell ref="T285:U285"/>
    <mergeCell ref="V285:X285"/>
    <mergeCell ref="A286:B286"/>
    <mergeCell ref="F286:G286"/>
    <mergeCell ref="K286:M286"/>
    <mergeCell ref="T286:U286"/>
    <mergeCell ref="V286:X286"/>
    <mergeCell ref="A283:B283"/>
    <mergeCell ref="F283:G283"/>
    <mergeCell ref="K283:M283"/>
    <mergeCell ref="T283:U283"/>
    <mergeCell ref="V283:X283"/>
    <mergeCell ref="A284:B284"/>
    <mergeCell ref="F284:G284"/>
    <mergeCell ref="K284:M284"/>
    <mergeCell ref="T284:U284"/>
    <mergeCell ref="V284:X284"/>
    <mergeCell ref="A281:B281"/>
    <mergeCell ref="F281:G281"/>
    <mergeCell ref="K281:M281"/>
    <mergeCell ref="T281:U281"/>
    <mergeCell ref="V281:X281"/>
    <mergeCell ref="A282:B282"/>
    <mergeCell ref="F282:G282"/>
    <mergeCell ref="K282:M282"/>
    <mergeCell ref="T282:U282"/>
    <mergeCell ref="V282:X282"/>
    <mergeCell ref="A279:B279"/>
    <mergeCell ref="F279:G279"/>
    <mergeCell ref="K279:M279"/>
    <mergeCell ref="T279:U279"/>
    <mergeCell ref="V279:X279"/>
    <mergeCell ref="A280:B280"/>
    <mergeCell ref="F280:G280"/>
    <mergeCell ref="K280:M280"/>
    <mergeCell ref="T280:U280"/>
    <mergeCell ref="V280:X280"/>
    <mergeCell ref="A277:B277"/>
    <mergeCell ref="F277:G277"/>
    <mergeCell ref="K277:M277"/>
    <mergeCell ref="T277:U277"/>
    <mergeCell ref="V277:X277"/>
    <mergeCell ref="A278:B278"/>
    <mergeCell ref="F278:G278"/>
    <mergeCell ref="K278:M278"/>
    <mergeCell ref="T278:U278"/>
    <mergeCell ref="V278:X278"/>
    <mergeCell ref="A275:B275"/>
    <mergeCell ref="F275:G275"/>
    <mergeCell ref="K275:M275"/>
    <mergeCell ref="T275:U275"/>
    <mergeCell ref="V275:X275"/>
    <mergeCell ref="A276:B276"/>
    <mergeCell ref="F276:G276"/>
    <mergeCell ref="K276:M276"/>
    <mergeCell ref="T276:U276"/>
    <mergeCell ref="V276:X276"/>
    <mergeCell ref="A273:B273"/>
    <mergeCell ref="F273:G273"/>
    <mergeCell ref="K273:M273"/>
    <mergeCell ref="T273:U273"/>
    <mergeCell ref="V273:X273"/>
    <mergeCell ref="A274:B274"/>
    <mergeCell ref="F274:G274"/>
    <mergeCell ref="K274:M274"/>
    <mergeCell ref="T274:U274"/>
    <mergeCell ref="V274:X274"/>
    <mergeCell ref="A271:B271"/>
    <mergeCell ref="F271:G271"/>
    <mergeCell ref="K271:M271"/>
    <mergeCell ref="T271:U271"/>
    <mergeCell ref="V271:X271"/>
    <mergeCell ref="A272:B272"/>
    <mergeCell ref="F272:G272"/>
    <mergeCell ref="K272:M272"/>
    <mergeCell ref="T272:U272"/>
    <mergeCell ref="V272:X272"/>
    <mergeCell ref="A269:B269"/>
    <mergeCell ref="F269:G269"/>
    <mergeCell ref="K269:M269"/>
    <mergeCell ref="T269:U269"/>
    <mergeCell ref="V269:X269"/>
    <mergeCell ref="A270:B270"/>
    <mergeCell ref="F270:G270"/>
    <mergeCell ref="K270:M270"/>
    <mergeCell ref="T270:U270"/>
    <mergeCell ref="V270:X270"/>
    <mergeCell ref="A267:B267"/>
    <mergeCell ref="F267:G267"/>
    <mergeCell ref="K267:M267"/>
    <mergeCell ref="T267:U267"/>
    <mergeCell ref="V267:X267"/>
    <mergeCell ref="A268:B268"/>
    <mergeCell ref="F268:G268"/>
    <mergeCell ref="K268:M268"/>
    <mergeCell ref="T268:U268"/>
    <mergeCell ref="V268:X268"/>
    <mergeCell ref="A265:B265"/>
    <mergeCell ref="F265:G265"/>
    <mergeCell ref="K265:M265"/>
    <mergeCell ref="T265:U265"/>
    <mergeCell ref="V265:X265"/>
    <mergeCell ref="A266:B266"/>
    <mergeCell ref="F266:G266"/>
    <mergeCell ref="K266:M266"/>
    <mergeCell ref="T266:U266"/>
    <mergeCell ref="V266:X266"/>
    <mergeCell ref="A263:B263"/>
    <mergeCell ref="F263:G263"/>
    <mergeCell ref="K263:M263"/>
    <mergeCell ref="T263:U263"/>
    <mergeCell ref="V263:X263"/>
    <mergeCell ref="A264:B264"/>
    <mergeCell ref="F264:G264"/>
    <mergeCell ref="K264:M264"/>
    <mergeCell ref="T264:U264"/>
    <mergeCell ref="V264:X264"/>
    <mergeCell ref="A261:B261"/>
    <mergeCell ref="F261:G261"/>
    <mergeCell ref="K261:M261"/>
    <mergeCell ref="T261:U261"/>
    <mergeCell ref="V261:X261"/>
    <mergeCell ref="A262:B262"/>
    <mergeCell ref="F262:G262"/>
    <mergeCell ref="K262:M262"/>
    <mergeCell ref="T262:U262"/>
    <mergeCell ref="V262:X262"/>
    <mergeCell ref="A259:B259"/>
    <mergeCell ref="F259:G259"/>
    <mergeCell ref="K259:M259"/>
    <mergeCell ref="T259:U259"/>
    <mergeCell ref="V259:X259"/>
    <mergeCell ref="A260:B260"/>
    <mergeCell ref="F260:G260"/>
    <mergeCell ref="K260:M260"/>
    <mergeCell ref="T260:U260"/>
    <mergeCell ref="V260:X260"/>
    <mergeCell ref="A257:B257"/>
    <mergeCell ref="F257:G257"/>
    <mergeCell ref="K257:M257"/>
    <mergeCell ref="T257:U257"/>
    <mergeCell ref="V257:X257"/>
    <mergeCell ref="A258:B258"/>
    <mergeCell ref="F258:G258"/>
    <mergeCell ref="K258:M258"/>
    <mergeCell ref="T258:U258"/>
    <mergeCell ref="V258:X258"/>
    <mergeCell ref="A255:B255"/>
    <mergeCell ref="F255:G255"/>
    <mergeCell ref="K255:M255"/>
    <mergeCell ref="T255:U255"/>
    <mergeCell ref="V255:X255"/>
    <mergeCell ref="A256:B256"/>
    <mergeCell ref="F256:G256"/>
    <mergeCell ref="K256:M256"/>
    <mergeCell ref="T256:U256"/>
    <mergeCell ref="V256:X256"/>
    <mergeCell ref="A253:B253"/>
    <mergeCell ref="F253:G253"/>
    <mergeCell ref="K253:M253"/>
    <mergeCell ref="T253:U253"/>
    <mergeCell ref="V253:X253"/>
    <mergeCell ref="A254:B254"/>
    <mergeCell ref="F254:G254"/>
    <mergeCell ref="K254:M254"/>
    <mergeCell ref="T254:U254"/>
    <mergeCell ref="V254:X254"/>
    <mergeCell ref="A251:B251"/>
    <mergeCell ref="F251:G251"/>
    <mergeCell ref="K251:M251"/>
    <mergeCell ref="T251:U251"/>
    <mergeCell ref="V251:X251"/>
    <mergeCell ref="A252:B252"/>
    <mergeCell ref="F252:G252"/>
    <mergeCell ref="K252:M252"/>
    <mergeCell ref="T252:U252"/>
    <mergeCell ref="V252:X252"/>
    <mergeCell ref="A249:B249"/>
    <mergeCell ref="F249:G249"/>
    <mergeCell ref="K249:M249"/>
    <mergeCell ref="T249:U249"/>
    <mergeCell ref="V249:X249"/>
    <mergeCell ref="A250:B250"/>
    <mergeCell ref="F250:G250"/>
    <mergeCell ref="K250:M250"/>
    <mergeCell ref="T250:U250"/>
    <mergeCell ref="V250:X250"/>
    <mergeCell ref="A247:B247"/>
    <mergeCell ref="F247:G247"/>
    <mergeCell ref="K247:M247"/>
    <mergeCell ref="T247:U247"/>
    <mergeCell ref="V247:X247"/>
    <mergeCell ref="A248:B248"/>
    <mergeCell ref="F248:G248"/>
    <mergeCell ref="K248:M248"/>
    <mergeCell ref="T248:U248"/>
    <mergeCell ref="V248:X248"/>
    <mergeCell ref="A245:B245"/>
    <mergeCell ref="F245:G245"/>
    <mergeCell ref="K245:M245"/>
    <mergeCell ref="T245:U245"/>
    <mergeCell ref="V245:X245"/>
    <mergeCell ref="A246:B246"/>
    <mergeCell ref="F246:G246"/>
    <mergeCell ref="K246:M246"/>
    <mergeCell ref="T246:U246"/>
    <mergeCell ref="V246:X246"/>
    <mergeCell ref="A243:B243"/>
    <mergeCell ref="F243:G243"/>
    <mergeCell ref="K243:M243"/>
    <mergeCell ref="T243:U243"/>
    <mergeCell ref="V243:X243"/>
    <mergeCell ref="A244:B244"/>
    <mergeCell ref="F244:G244"/>
    <mergeCell ref="K244:M244"/>
    <mergeCell ref="T244:U244"/>
    <mergeCell ref="V244:X244"/>
    <mergeCell ref="A241:B241"/>
    <mergeCell ref="F241:G241"/>
    <mergeCell ref="K241:M241"/>
    <mergeCell ref="T241:U241"/>
    <mergeCell ref="V241:X241"/>
    <mergeCell ref="A242:B242"/>
    <mergeCell ref="F242:G242"/>
    <mergeCell ref="K242:M242"/>
    <mergeCell ref="T242:U242"/>
    <mergeCell ref="V242:X242"/>
    <mergeCell ref="A239:B239"/>
    <mergeCell ref="F239:G239"/>
    <mergeCell ref="K239:M239"/>
    <mergeCell ref="T239:U239"/>
    <mergeCell ref="V239:X239"/>
    <mergeCell ref="A240:B240"/>
    <mergeCell ref="F240:G240"/>
    <mergeCell ref="K240:M240"/>
    <mergeCell ref="T240:U240"/>
    <mergeCell ref="V240:X240"/>
    <mergeCell ref="A237:B237"/>
    <mergeCell ref="F237:G237"/>
    <mergeCell ref="K237:M237"/>
    <mergeCell ref="T237:U237"/>
    <mergeCell ref="V237:X237"/>
    <mergeCell ref="A238:B238"/>
    <mergeCell ref="F238:G238"/>
    <mergeCell ref="K238:M238"/>
    <mergeCell ref="T238:U238"/>
    <mergeCell ref="V238:X238"/>
    <mergeCell ref="A235:B235"/>
    <mergeCell ref="F235:G235"/>
    <mergeCell ref="K235:M235"/>
    <mergeCell ref="T235:U235"/>
    <mergeCell ref="V235:X235"/>
    <mergeCell ref="A236:B236"/>
    <mergeCell ref="F236:G236"/>
    <mergeCell ref="K236:M236"/>
    <mergeCell ref="T236:U236"/>
    <mergeCell ref="V236:X236"/>
    <mergeCell ref="A233:B233"/>
    <mergeCell ref="F233:G233"/>
    <mergeCell ref="K233:M233"/>
    <mergeCell ref="T233:U233"/>
    <mergeCell ref="V233:X233"/>
    <mergeCell ref="A234:B234"/>
    <mergeCell ref="F234:G234"/>
    <mergeCell ref="K234:M234"/>
    <mergeCell ref="T234:U234"/>
    <mergeCell ref="V234:X234"/>
    <mergeCell ref="A231:B231"/>
    <mergeCell ref="F231:G231"/>
    <mergeCell ref="K231:M231"/>
    <mergeCell ref="T231:U231"/>
    <mergeCell ref="V231:X231"/>
    <mergeCell ref="A232:B232"/>
    <mergeCell ref="F232:G232"/>
    <mergeCell ref="K232:M232"/>
    <mergeCell ref="T232:U232"/>
    <mergeCell ref="V232:X232"/>
    <mergeCell ref="A229:B229"/>
    <mergeCell ref="F229:G229"/>
    <mergeCell ref="K229:M229"/>
    <mergeCell ref="T229:U229"/>
    <mergeCell ref="V229:X229"/>
    <mergeCell ref="A230:B230"/>
    <mergeCell ref="F230:G230"/>
    <mergeCell ref="K230:M230"/>
    <mergeCell ref="T230:U230"/>
    <mergeCell ref="V230:X230"/>
    <mergeCell ref="A227:B227"/>
    <mergeCell ref="F227:G227"/>
    <mergeCell ref="K227:M227"/>
    <mergeCell ref="T227:U227"/>
    <mergeCell ref="V227:X227"/>
    <mergeCell ref="A228:B228"/>
    <mergeCell ref="F228:G228"/>
    <mergeCell ref="K228:M228"/>
    <mergeCell ref="T228:U228"/>
    <mergeCell ref="V228:X228"/>
    <mergeCell ref="A225:B225"/>
    <mergeCell ref="F225:G225"/>
    <mergeCell ref="K225:M225"/>
    <mergeCell ref="T225:U225"/>
    <mergeCell ref="V225:X225"/>
    <mergeCell ref="A226:B226"/>
    <mergeCell ref="F226:G226"/>
    <mergeCell ref="K226:M226"/>
    <mergeCell ref="T226:U226"/>
    <mergeCell ref="V226:X226"/>
    <mergeCell ref="A223:B223"/>
    <mergeCell ref="F223:G223"/>
    <mergeCell ref="K223:M223"/>
    <mergeCell ref="T223:U223"/>
    <mergeCell ref="V223:X223"/>
    <mergeCell ref="A224:B224"/>
    <mergeCell ref="F224:G224"/>
    <mergeCell ref="K224:M224"/>
    <mergeCell ref="T224:U224"/>
    <mergeCell ref="V224:X224"/>
    <mergeCell ref="A221:B221"/>
    <mergeCell ref="F221:G221"/>
    <mergeCell ref="K221:M221"/>
    <mergeCell ref="T221:U221"/>
    <mergeCell ref="V221:X221"/>
    <mergeCell ref="A222:B222"/>
    <mergeCell ref="F222:G222"/>
    <mergeCell ref="K222:M222"/>
    <mergeCell ref="T222:U222"/>
    <mergeCell ref="V222:X222"/>
    <mergeCell ref="A219:B219"/>
    <mergeCell ref="F219:G219"/>
    <mergeCell ref="K219:M219"/>
    <mergeCell ref="T219:U219"/>
    <mergeCell ref="V219:X219"/>
    <mergeCell ref="A220:B220"/>
    <mergeCell ref="F220:G220"/>
    <mergeCell ref="K220:M220"/>
    <mergeCell ref="T220:U220"/>
    <mergeCell ref="V220:X220"/>
    <mergeCell ref="A217:B217"/>
    <mergeCell ref="F217:G217"/>
    <mergeCell ref="K217:M217"/>
    <mergeCell ref="T217:U217"/>
    <mergeCell ref="V217:X217"/>
    <mergeCell ref="A218:B218"/>
    <mergeCell ref="F218:G218"/>
    <mergeCell ref="K218:M218"/>
    <mergeCell ref="T218:U218"/>
    <mergeCell ref="V218:X218"/>
    <mergeCell ref="A215:B215"/>
    <mergeCell ref="F215:G215"/>
    <mergeCell ref="K215:M215"/>
    <mergeCell ref="T215:U215"/>
    <mergeCell ref="V215:X215"/>
    <mergeCell ref="A216:B216"/>
    <mergeCell ref="F216:G216"/>
    <mergeCell ref="K216:M216"/>
    <mergeCell ref="T216:U216"/>
    <mergeCell ref="V216:X216"/>
    <mergeCell ref="A213:B213"/>
    <mergeCell ref="F213:G213"/>
    <mergeCell ref="K213:M213"/>
    <mergeCell ref="T213:U213"/>
    <mergeCell ref="V213:X213"/>
    <mergeCell ref="A214:B214"/>
    <mergeCell ref="F214:G214"/>
    <mergeCell ref="K214:M214"/>
    <mergeCell ref="T214:U214"/>
    <mergeCell ref="V214:X214"/>
    <mergeCell ref="A211:B211"/>
    <mergeCell ref="F211:G211"/>
    <mergeCell ref="K211:M211"/>
    <mergeCell ref="T211:U211"/>
    <mergeCell ref="V211:X211"/>
    <mergeCell ref="A212:B212"/>
    <mergeCell ref="F212:G212"/>
    <mergeCell ref="K212:M212"/>
    <mergeCell ref="T212:U212"/>
    <mergeCell ref="V212:X212"/>
    <mergeCell ref="A209:B209"/>
    <mergeCell ref="F209:G209"/>
    <mergeCell ref="K209:M209"/>
    <mergeCell ref="T209:U209"/>
    <mergeCell ref="V209:X209"/>
    <mergeCell ref="A210:B210"/>
    <mergeCell ref="F210:G210"/>
    <mergeCell ref="K210:M210"/>
    <mergeCell ref="T210:U210"/>
    <mergeCell ref="V210:X210"/>
    <mergeCell ref="A207:B207"/>
    <mergeCell ref="F207:G207"/>
    <mergeCell ref="K207:M207"/>
    <mergeCell ref="T207:U207"/>
    <mergeCell ref="V207:X207"/>
    <mergeCell ref="A208:B208"/>
    <mergeCell ref="F208:G208"/>
    <mergeCell ref="K208:M208"/>
    <mergeCell ref="T208:U208"/>
    <mergeCell ref="V208:X208"/>
    <mergeCell ref="A205:B205"/>
    <mergeCell ref="F205:G205"/>
    <mergeCell ref="K205:M205"/>
    <mergeCell ref="T205:U205"/>
    <mergeCell ref="V205:X205"/>
    <mergeCell ref="A206:B206"/>
    <mergeCell ref="F206:G206"/>
    <mergeCell ref="K206:M206"/>
    <mergeCell ref="T206:U206"/>
    <mergeCell ref="V206:X206"/>
    <mergeCell ref="A203:B203"/>
    <mergeCell ref="F203:G203"/>
    <mergeCell ref="K203:M203"/>
    <mergeCell ref="T203:U203"/>
    <mergeCell ref="V203:X203"/>
    <mergeCell ref="A204:B204"/>
    <mergeCell ref="F204:G204"/>
    <mergeCell ref="K204:M204"/>
    <mergeCell ref="T204:U204"/>
    <mergeCell ref="V204:X204"/>
    <mergeCell ref="A201:B201"/>
    <mergeCell ref="F201:G201"/>
    <mergeCell ref="K201:M201"/>
    <mergeCell ref="T201:U201"/>
    <mergeCell ref="V201:X201"/>
    <mergeCell ref="A202:B202"/>
    <mergeCell ref="F202:G202"/>
    <mergeCell ref="K202:M202"/>
    <mergeCell ref="T202:U202"/>
    <mergeCell ref="V202:X202"/>
    <mergeCell ref="A199:B199"/>
    <mergeCell ref="F199:G199"/>
    <mergeCell ref="K199:M199"/>
    <mergeCell ref="T199:U199"/>
    <mergeCell ref="V199:X199"/>
    <mergeCell ref="A200:B200"/>
    <mergeCell ref="F200:G200"/>
    <mergeCell ref="K200:M200"/>
    <mergeCell ref="T200:U200"/>
    <mergeCell ref="V200:X200"/>
    <mergeCell ref="A197:B197"/>
    <mergeCell ref="F197:G197"/>
    <mergeCell ref="K197:M197"/>
    <mergeCell ref="T197:U197"/>
    <mergeCell ref="V197:X197"/>
    <mergeCell ref="A198:B198"/>
    <mergeCell ref="F198:G198"/>
    <mergeCell ref="K198:M198"/>
    <mergeCell ref="T198:U198"/>
    <mergeCell ref="V198:X198"/>
    <mergeCell ref="A195:B195"/>
    <mergeCell ref="F195:G195"/>
    <mergeCell ref="K195:M195"/>
    <mergeCell ref="T195:U195"/>
    <mergeCell ref="V195:X195"/>
    <mergeCell ref="A196:B196"/>
    <mergeCell ref="F196:G196"/>
    <mergeCell ref="K196:M196"/>
    <mergeCell ref="T196:U196"/>
    <mergeCell ref="V196:X196"/>
    <mergeCell ref="A193:B193"/>
    <mergeCell ref="F193:G193"/>
    <mergeCell ref="K193:M193"/>
    <mergeCell ref="T193:U193"/>
    <mergeCell ref="V193:X193"/>
    <mergeCell ref="A194:B194"/>
    <mergeCell ref="F194:G194"/>
    <mergeCell ref="K194:M194"/>
    <mergeCell ref="T194:U194"/>
    <mergeCell ref="V194:X194"/>
    <mergeCell ref="A191:B191"/>
    <mergeCell ref="F191:G191"/>
    <mergeCell ref="K191:M191"/>
    <mergeCell ref="T191:U191"/>
    <mergeCell ref="V191:X191"/>
    <mergeCell ref="A192:B192"/>
    <mergeCell ref="F192:G192"/>
    <mergeCell ref="K192:M192"/>
    <mergeCell ref="T192:U192"/>
    <mergeCell ref="V192:X192"/>
    <mergeCell ref="A189:B189"/>
    <mergeCell ref="F189:G189"/>
    <mergeCell ref="K189:M189"/>
    <mergeCell ref="T189:U189"/>
    <mergeCell ref="V189:X189"/>
    <mergeCell ref="A190:B190"/>
    <mergeCell ref="F190:G190"/>
    <mergeCell ref="K190:M190"/>
    <mergeCell ref="T190:U190"/>
    <mergeCell ref="V190:X190"/>
    <mergeCell ref="A187:B187"/>
    <mergeCell ref="F187:G187"/>
    <mergeCell ref="K187:M187"/>
    <mergeCell ref="T187:U187"/>
    <mergeCell ref="V187:X187"/>
    <mergeCell ref="A188:B188"/>
    <mergeCell ref="F188:G188"/>
    <mergeCell ref="K188:M188"/>
    <mergeCell ref="T188:U188"/>
    <mergeCell ref="V188:X188"/>
    <mergeCell ref="A185:B185"/>
    <mergeCell ref="F185:G185"/>
    <mergeCell ref="K185:M185"/>
    <mergeCell ref="T185:U185"/>
    <mergeCell ref="V185:X185"/>
    <mergeCell ref="A186:B186"/>
    <mergeCell ref="F186:G186"/>
    <mergeCell ref="K186:M186"/>
    <mergeCell ref="T186:U186"/>
    <mergeCell ref="V186:X186"/>
    <mergeCell ref="A183:B183"/>
    <mergeCell ref="F183:G183"/>
    <mergeCell ref="K183:M183"/>
    <mergeCell ref="T183:U183"/>
    <mergeCell ref="V183:X183"/>
    <mergeCell ref="A184:B184"/>
    <mergeCell ref="F184:G184"/>
    <mergeCell ref="K184:M184"/>
    <mergeCell ref="T184:U184"/>
    <mergeCell ref="V184:X184"/>
    <mergeCell ref="A181:B181"/>
    <mergeCell ref="F181:G181"/>
    <mergeCell ref="K181:M181"/>
    <mergeCell ref="T181:U181"/>
    <mergeCell ref="V181:X181"/>
    <mergeCell ref="A182:B182"/>
    <mergeCell ref="F182:G182"/>
    <mergeCell ref="K182:M182"/>
    <mergeCell ref="T182:U182"/>
    <mergeCell ref="V182:X182"/>
    <mergeCell ref="A179:B179"/>
    <mergeCell ref="F179:G179"/>
    <mergeCell ref="K179:M179"/>
    <mergeCell ref="T179:U179"/>
    <mergeCell ref="V179:X179"/>
    <mergeCell ref="A180:B180"/>
    <mergeCell ref="F180:G180"/>
    <mergeCell ref="K180:M180"/>
    <mergeCell ref="T180:U180"/>
    <mergeCell ref="V180:X180"/>
    <mergeCell ref="A177:B177"/>
    <mergeCell ref="F177:G177"/>
    <mergeCell ref="K177:M177"/>
    <mergeCell ref="T177:U177"/>
    <mergeCell ref="V177:X177"/>
    <mergeCell ref="A178:B178"/>
    <mergeCell ref="F178:G178"/>
    <mergeCell ref="K178:M178"/>
    <mergeCell ref="T178:U178"/>
    <mergeCell ref="V178:X178"/>
    <mergeCell ref="A175:B175"/>
    <mergeCell ref="F175:G175"/>
    <mergeCell ref="K175:M175"/>
    <mergeCell ref="T175:U175"/>
    <mergeCell ref="V175:X175"/>
    <mergeCell ref="A176:B176"/>
    <mergeCell ref="F176:G176"/>
    <mergeCell ref="K176:M176"/>
    <mergeCell ref="T176:U176"/>
    <mergeCell ref="V176:X176"/>
    <mergeCell ref="A173:B173"/>
    <mergeCell ref="F173:G173"/>
    <mergeCell ref="K173:M173"/>
    <mergeCell ref="T173:U173"/>
    <mergeCell ref="V173:X173"/>
    <mergeCell ref="A174:B174"/>
    <mergeCell ref="F174:G174"/>
    <mergeCell ref="K174:M174"/>
    <mergeCell ref="T174:U174"/>
    <mergeCell ref="V174:X174"/>
    <mergeCell ref="A171:B171"/>
    <mergeCell ref="F171:G171"/>
    <mergeCell ref="K171:M171"/>
    <mergeCell ref="T171:U171"/>
    <mergeCell ref="V171:X171"/>
    <mergeCell ref="A172:B172"/>
    <mergeCell ref="F172:G172"/>
    <mergeCell ref="K172:M172"/>
    <mergeCell ref="T172:U172"/>
    <mergeCell ref="V172:X172"/>
    <mergeCell ref="A169:B169"/>
    <mergeCell ref="F169:G169"/>
    <mergeCell ref="K169:M169"/>
    <mergeCell ref="T169:U169"/>
    <mergeCell ref="V169:X169"/>
    <mergeCell ref="A170:B170"/>
    <mergeCell ref="F170:G170"/>
    <mergeCell ref="K170:M170"/>
    <mergeCell ref="T170:U170"/>
    <mergeCell ref="V170:X170"/>
    <mergeCell ref="A167:B167"/>
    <mergeCell ref="F167:G167"/>
    <mergeCell ref="K167:M167"/>
    <mergeCell ref="T167:U167"/>
    <mergeCell ref="V167:X167"/>
    <mergeCell ref="A168:B168"/>
    <mergeCell ref="F168:G168"/>
    <mergeCell ref="K168:M168"/>
    <mergeCell ref="T168:U168"/>
    <mergeCell ref="V168:X168"/>
    <mergeCell ref="A165:B165"/>
    <mergeCell ref="F165:G165"/>
    <mergeCell ref="K165:M165"/>
    <mergeCell ref="T165:U165"/>
    <mergeCell ref="V165:X165"/>
    <mergeCell ref="A166:B166"/>
    <mergeCell ref="F166:G166"/>
    <mergeCell ref="K166:M166"/>
    <mergeCell ref="T166:U166"/>
    <mergeCell ref="V166:X166"/>
    <mergeCell ref="A163:B163"/>
    <mergeCell ref="F163:G163"/>
    <mergeCell ref="K163:M163"/>
    <mergeCell ref="T163:U163"/>
    <mergeCell ref="V163:X163"/>
    <mergeCell ref="A164:B164"/>
    <mergeCell ref="F164:G164"/>
    <mergeCell ref="K164:M164"/>
    <mergeCell ref="T164:U164"/>
    <mergeCell ref="V164:X164"/>
    <mergeCell ref="A161:B161"/>
    <mergeCell ref="F161:G161"/>
    <mergeCell ref="K161:M161"/>
    <mergeCell ref="T161:U161"/>
    <mergeCell ref="V161:X161"/>
    <mergeCell ref="A162:B162"/>
    <mergeCell ref="F162:G162"/>
    <mergeCell ref="K162:M162"/>
    <mergeCell ref="T162:U162"/>
    <mergeCell ref="V162:X162"/>
    <mergeCell ref="A159:B159"/>
    <mergeCell ref="F159:G159"/>
    <mergeCell ref="K159:M159"/>
    <mergeCell ref="T159:U159"/>
    <mergeCell ref="V159:X159"/>
    <mergeCell ref="A160:B160"/>
    <mergeCell ref="F160:G160"/>
    <mergeCell ref="K160:M160"/>
    <mergeCell ref="T160:U160"/>
    <mergeCell ref="V160:X160"/>
    <mergeCell ref="A157:B157"/>
    <mergeCell ref="F157:G157"/>
    <mergeCell ref="K157:M157"/>
    <mergeCell ref="T157:U157"/>
    <mergeCell ref="V157:X157"/>
    <mergeCell ref="A158:B158"/>
    <mergeCell ref="F158:G158"/>
    <mergeCell ref="K158:M158"/>
    <mergeCell ref="T158:U158"/>
    <mergeCell ref="V158:X158"/>
    <mergeCell ref="A155:B155"/>
    <mergeCell ref="F155:G155"/>
    <mergeCell ref="K155:M155"/>
    <mergeCell ref="T155:U155"/>
    <mergeCell ref="V155:X155"/>
    <mergeCell ref="A156:B156"/>
    <mergeCell ref="F156:G156"/>
    <mergeCell ref="K156:M156"/>
    <mergeCell ref="T156:U156"/>
    <mergeCell ref="V156:X156"/>
    <mergeCell ref="A153:B153"/>
    <mergeCell ref="F153:G153"/>
    <mergeCell ref="K153:M153"/>
    <mergeCell ref="T153:U153"/>
    <mergeCell ref="V153:X153"/>
    <mergeCell ref="A154:B154"/>
    <mergeCell ref="F154:G154"/>
    <mergeCell ref="K154:M154"/>
    <mergeCell ref="T154:U154"/>
    <mergeCell ref="V154:X154"/>
    <mergeCell ref="A151:B151"/>
    <mergeCell ref="F151:G151"/>
    <mergeCell ref="K151:M151"/>
    <mergeCell ref="T151:U151"/>
    <mergeCell ref="V151:X151"/>
    <mergeCell ref="A152:B152"/>
    <mergeCell ref="F152:G152"/>
    <mergeCell ref="K152:M152"/>
    <mergeCell ref="T152:U152"/>
    <mergeCell ref="V152:X152"/>
    <mergeCell ref="A149:B149"/>
    <mergeCell ref="F149:G149"/>
    <mergeCell ref="K149:M149"/>
    <mergeCell ref="T149:U149"/>
    <mergeCell ref="V149:X149"/>
    <mergeCell ref="A150:B150"/>
    <mergeCell ref="F150:G150"/>
    <mergeCell ref="K150:M150"/>
    <mergeCell ref="T150:U150"/>
    <mergeCell ref="V150:X150"/>
    <mergeCell ref="A147:B147"/>
    <mergeCell ref="F147:G147"/>
    <mergeCell ref="K147:M147"/>
    <mergeCell ref="T147:U147"/>
    <mergeCell ref="V147:X147"/>
    <mergeCell ref="A148:B148"/>
    <mergeCell ref="F148:G148"/>
    <mergeCell ref="K148:M148"/>
    <mergeCell ref="T148:U148"/>
    <mergeCell ref="V148:X148"/>
    <mergeCell ref="A145:B145"/>
    <mergeCell ref="F145:G145"/>
    <mergeCell ref="K145:M145"/>
    <mergeCell ref="T145:U145"/>
    <mergeCell ref="V145:X145"/>
    <mergeCell ref="A146:B146"/>
    <mergeCell ref="F146:G146"/>
    <mergeCell ref="K146:M146"/>
    <mergeCell ref="T146:U146"/>
    <mergeCell ref="V146:X146"/>
    <mergeCell ref="A143:B143"/>
    <mergeCell ref="F143:G143"/>
    <mergeCell ref="K143:M143"/>
    <mergeCell ref="T143:U143"/>
    <mergeCell ref="V143:X143"/>
    <mergeCell ref="A144:B144"/>
    <mergeCell ref="F144:G144"/>
    <mergeCell ref="K144:M144"/>
    <mergeCell ref="T144:U144"/>
    <mergeCell ref="V144:X144"/>
    <mergeCell ref="A141:B141"/>
    <mergeCell ref="F141:G141"/>
    <mergeCell ref="K141:M141"/>
    <mergeCell ref="T141:U141"/>
    <mergeCell ref="V141:X141"/>
    <mergeCell ref="A142:B142"/>
    <mergeCell ref="F142:G142"/>
    <mergeCell ref="K142:M142"/>
    <mergeCell ref="T142:U142"/>
    <mergeCell ref="V142:X142"/>
    <mergeCell ref="A139:B139"/>
    <mergeCell ref="F139:G139"/>
    <mergeCell ref="K139:M139"/>
    <mergeCell ref="T139:U139"/>
    <mergeCell ref="V139:X139"/>
    <mergeCell ref="A140:B140"/>
    <mergeCell ref="F140:G140"/>
    <mergeCell ref="K140:M140"/>
    <mergeCell ref="T140:U140"/>
    <mergeCell ref="V140:X140"/>
    <mergeCell ref="A137:B137"/>
    <mergeCell ref="F137:G137"/>
    <mergeCell ref="K137:M137"/>
    <mergeCell ref="T137:U137"/>
    <mergeCell ref="V137:X137"/>
    <mergeCell ref="A138:B138"/>
    <mergeCell ref="F138:G138"/>
    <mergeCell ref="K138:M138"/>
    <mergeCell ref="T138:U138"/>
    <mergeCell ref="V138:X138"/>
    <mergeCell ref="A135:B135"/>
    <mergeCell ref="F135:G135"/>
    <mergeCell ref="K135:M135"/>
    <mergeCell ref="T135:U135"/>
    <mergeCell ref="V135:X135"/>
    <mergeCell ref="A136:B136"/>
    <mergeCell ref="F136:G136"/>
    <mergeCell ref="K136:M136"/>
    <mergeCell ref="T136:U136"/>
    <mergeCell ref="V136:X136"/>
    <mergeCell ref="A133:B133"/>
    <mergeCell ref="F133:G133"/>
    <mergeCell ref="K133:M133"/>
    <mergeCell ref="T133:U133"/>
    <mergeCell ref="V133:X133"/>
    <mergeCell ref="A134:B134"/>
    <mergeCell ref="F134:G134"/>
    <mergeCell ref="K134:M134"/>
    <mergeCell ref="T134:U134"/>
    <mergeCell ref="V134:X134"/>
    <mergeCell ref="A131:B131"/>
    <mergeCell ref="F131:G131"/>
    <mergeCell ref="K131:M131"/>
    <mergeCell ref="T131:U131"/>
    <mergeCell ref="V131:X131"/>
    <mergeCell ref="A132:B132"/>
    <mergeCell ref="F132:G132"/>
    <mergeCell ref="K132:M132"/>
    <mergeCell ref="T132:U132"/>
    <mergeCell ref="V132:X132"/>
    <mergeCell ref="A129:B129"/>
    <mergeCell ref="F129:G129"/>
    <mergeCell ref="K129:M129"/>
    <mergeCell ref="T129:U129"/>
    <mergeCell ref="V129:X129"/>
    <mergeCell ref="A130:B130"/>
    <mergeCell ref="F130:G130"/>
    <mergeCell ref="K130:M130"/>
    <mergeCell ref="T130:U130"/>
    <mergeCell ref="V130:X130"/>
    <mergeCell ref="A127:B127"/>
    <mergeCell ref="F127:G127"/>
    <mergeCell ref="K127:M127"/>
    <mergeCell ref="T127:U127"/>
    <mergeCell ref="V127:X127"/>
    <mergeCell ref="A128:B128"/>
    <mergeCell ref="F128:G128"/>
    <mergeCell ref="K128:M128"/>
    <mergeCell ref="T128:U128"/>
    <mergeCell ref="V128:X128"/>
    <mergeCell ref="A125:B125"/>
    <mergeCell ref="F125:G125"/>
    <mergeCell ref="K125:M125"/>
    <mergeCell ref="T125:U125"/>
    <mergeCell ref="V125:X125"/>
    <mergeCell ref="A126:B126"/>
    <mergeCell ref="F126:G126"/>
    <mergeCell ref="K126:M126"/>
    <mergeCell ref="T126:U126"/>
    <mergeCell ref="V126:X126"/>
    <mergeCell ref="A123:B123"/>
    <mergeCell ref="F123:G123"/>
    <mergeCell ref="K123:M123"/>
    <mergeCell ref="T123:U123"/>
    <mergeCell ref="V123:X123"/>
    <mergeCell ref="A124:B124"/>
    <mergeCell ref="F124:G124"/>
    <mergeCell ref="K124:M124"/>
    <mergeCell ref="T124:U124"/>
    <mergeCell ref="V124:X124"/>
    <mergeCell ref="A121:B121"/>
    <mergeCell ref="F121:G121"/>
    <mergeCell ref="K121:M121"/>
    <mergeCell ref="T121:U121"/>
    <mergeCell ref="V121:X121"/>
    <mergeCell ref="A122:B122"/>
    <mergeCell ref="F122:G122"/>
    <mergeCell ref="K122:M122"/>
    <mergeCell ref="T122:U122"/>
    <mergeCell ref="V122:X122"/>
    <mergeCell ref="A119:B119"/>
    <mergeCell ref="F119:G119"/>
    <mergeCell ref="K119:M119"/>
    <mergeCell ref="T119:U119"/>
    <mergeCell ref="V119:X119"/>
    <mergeCell ref="A120:B120"/>
    <mergeCell ref="F120:G120"/>
    <mergeCell ref="K120:M120"/>
    <mergeCell ref="T120:U120"/>
    <mergeCell ref="V120:X120"/>
    <mergeCell ref="A117:B117"/>
    <mergeCell ref="F117:G117"/>
    <mergeCell ref="K117:M117"/>
    <mergeCell ref="T117:U117"/>
    <mergeCell ref="V117:X117"/>
    <mergeCell ref="A118:B118"/>
    <mergeCell ref="F118:G118"/>
    <mergeCell ref="K118:M118"/>
    <mergeCell ref="T118:U118"/>
    <mergeCell ref="V118:X118"/>
    <mergeCell ref="A115:B115"/>
    <mergeCell ref="F115:G115"/>
    <mergeCell ref="K115:M115"/>
    <mergeCell ref="T115:U115"/>
    <mergeCell ref="V115:X115"/>
    <mergeCell ref="A116:B116"/>
    <mergeCell ref="F116:G116"/>
    <mergeCell ref="K116:M116"/>
    <mergeCell ref="T116:U116"/>
    <mergeCell ref="V116:X116"/>
    <mergeCell ref="A113:B113"/>
    <mergeCell ref="F113:G113"/>
    <mergeCell ref="K113:M113"/>
    <mergeCell ref="T113:U113"/>
    <mergeCell ref="V113:X113"/>
    <mergeCell ref="A114:B114"/>
    <mergeCell ref="F114:G114"/>
    <mergeCell ref="K114:M114"/>
    <mergeCell ref="T114:U114"/>
    <mergeCell ref="V114:X114"/>
    <mergeCell ref="A111:B111"/>
    <mergeCell ref="F111:G111"/>
    <mergeCell ref="K111:M111"/>
    <mergeCell ref="T111:U111"/>
    <mergeCell ref="V111:X111"/>
    <mergeCell ref="A112:B112"/>
    <mergeCell ref="F112:G112"/>
    <mergeCell ref="K112:M112"/>
    <mergeCell ref="T112:U112"/>
    <mergeCell ref="V112:X112"/>
    <mergeCell ref="A109:B109"/>
    <mergeCell ref="F109:G109"/>
    <mergeCell ref="K109:M109"/>
    <mergeCell ref="T109:U109"/>
    <mergeCell ref="V109:X109"/>
    <mergeCell ref="A110:B110"/>
    <mergeCell ref="F110:G110"/>
    <mergeCell ref="K110:M110"/>
    <mergeCell ref="T110:U110"/>
    <mergeCell ref="V110:X110"/>
    <mergeCell ref="A107:B107"/>
    <mergeCell ref="F107:G107"/>
    <mergeCell ref="K107:M107"/>
    <mergeCell ref="T107:U107"/>
    <mergeCell ref="V107:X107"/>
    <mergeCell ref="A108:B108"/>
    <mergeCell ref="F108:G108"/>
    <mergeCell ref="K108:M108"/>
    <mergeCell ref="T108:U108"/>
    <mergeCell ref="V108:X108"/>
    <mergeCell ref="A105:B105"/>
    <mergeCell ref="F105:G105"/>
    <mergeCell ref="K105:M105"/>
    <mergeCell ref="T105:U105"/>
    <mergeCell ref="V105:X105"/>
    <mergeCell ref="A106:B106"/>
    <mergeCell ref="F106:G106"/>
    <mergeCell ref="K106:M106"/>
    <mergeCell ref="T106:U106"/>
    <mergeCell ref="V106:X106"/>
    <mergeCell ref="A103:B103"/>
    <mergeCell ref="F103:G103"/>
    <mergeCell ref="K103:M103"/>
    <mergeCell ref="T103:U103"/>
    <mergeCell ref="V103:X103"/>
    <mergeCell ref="A104:B104"/>
    <mergeCell ref="F104:G104"/>
    <mergeCell ref="K104:M104"/>
    <mergeCell ref="T104:U104"/>
    <mergeCell ref="V104:X104"/>
    <mergeCell ref="A101:B101"/>
    <mergeCell ref="F101:G101"/>
    <mergeCell ref="K101:M101"/>
    <mergeCell ref="T101:U101"/>
    <mergeCell ref="V101:X101"/>
    <mergeCell ref="A102:B102"/>
    <mergeCell ref="F102:G102"/>
    <mergeCell ref="K102:M102"/>
    <mergeCell ref="T102:U102"/>
    <mergeCell ref="V102:X102"/>
    <mergeCell ref="A99:B99"/>
    <mergeCell ref="F99:G99"/>
    <mergeCell ref="K99:M99"/>
    <mergeCell ref="T99:U99"/>
    <mergeCell ref="V99:X99"/>
    <mergeCell ref="A100:B100"/>
    <mergeCell ref="F100:G100"/>
    <mergeCell ref="K100:M100"/>
    <mergeCell ref="T100:U100"/>
    <mergeCell ref="V100:X100"/>
    <mergeCell ref="A97:B97"/>
    <mergeCell ref="F97:G97"/>
    <mergeCell ref="K97:M97"/>
    <mergeCell ref="T97:U97"/>
    <mergeCell ref="V97:X97"/>
    <mergeCell ref="A98:B98"/>
    <mergeCell ref="F98:G98"/>
    <mergeCell ref="K98:M98"/>
    <mergeCell ref="T98:U98"/>
    <mergeCell ref="V98:X98"/>
    <mergeCell ref="A95:B95"/>
    <mergeCell ref="F95:G95"/>
    <mergeCell ref="K95:M95"/>
    <mergeCell ref="T95:U95"/>
    <mergeCell ref="V95:X95"/>
    <mergeCell ref="A96:B96"/>
    <mergeCell ref="F96:G96"/>
    <mergeCell ref="K96:M96"/>
    <mergeCell ref="T96:U96"/>
    <mergeCell ref="V96:X96"/>
    <mergeCell ref="A93:B93"/>
    <mergeCell ref="F93:G93"/>
    <mergeCell ref="K93:M93"/>
    <mergeCell ref="T93:U93"/>
    <mergeCell ref="V93:X93"/>
    <mergeCell ref="A94:B94"/>
    <mergeCell ref="F94:G94"/>
    <mergeCell ref="K94:M94"/>
    <mergeCell ref="T94:U94"/>
    <mergeCell ref="V94:X94"/>
    <mergeCell ref="A91:B91"/>
    <mergeCell ref="F91:G91"/>
    <mergeCell ref="K91:M91"/>
    <mergeCell ref="T91:U91"/>
    <mergeCell ref="V91:X91"/>
    <mergeCell ref="A92:B92"/>
    <mergeCell ref="F92:G92"/>
    <mergeCell ref="K92:M92"/>
    <mergeCell ref="T92:U92"/>
    <mergeCell ref="V92:X92"/>
    <mergeCell ref="A89:B89"/>
    <mergeCell ref="F89:G89"/>
    <mergeCell ref="K89:M89"/>
    <mergeCell ref="T89:U89"/>
    <mergeCell ref="V89:X89"/>
    <mergeCell ref="A90:B90"/>
    <mergeCell ref="F90:G90"/>
    <mergeCell ref="K90:M90"/>
    <mergeCell ref="T90:U90"/>
    <mergeCell ref="V90:X90"/>
    <mergeCell ref="A87:B87"/>
    <mergeCell ref="F87:G87"/>
    <mergeCell ref="K87:M87"/>
    <mergeCell ref="T87:U87"/>
    <mergeCell ref="V87:X87"/>
    <mergeCell ref="A88:B88"/>
    <mergeCell ref="F88:G88"/>
    <mergeCell ref="K88:M88"/>
    <mergeCell ref="T88:U88"/>
    <mergeCell ref="V88:X88"/>
    <mergeCell ref="A85:B85"/>
    <mergeCell ref="F85:G85"/>
    <mergeCell ref="K85:M85"/>
    <mergeCell ref="T85:U85"/>
    <mergeCell ref="V85:X85"/>
    <mergeCell ref="A86:B86"/>
    <mergeCell ref="F86:G86"/>
    <mergeCell ref="K86:M86"/>
    <mergeCell ref="T86:U86"/>
    <mergeCell ref="V86:X86"/>
    <mergeCell ref="A83:B83"/>
    <mergeCell ref="F83:G83"/>
    <mergeCell ref="K83:M83"/>
    <mergeCell ref="T83:U83"/>
    <mergeCell ref="V83:X83"/>
    <mergeCell ref="A84:B84"/>
    <mergeCell ref="F84:G84"/>
    <mergeCell ref="K84:M84"/>
    <mergeCell ref="T84:U84"/>
    <mergeCell ref="V84:X84"/>
    <mergeCell ref="A81:B81"/>
    <mergeCell ref="F81:G81"/>
    <mergeCell ref="K81:M81"/>
    <mergeCell ref="T81:U81"/>
    <mergeCell ref="V81:X81"/>
    <mergeCell ref="A82:B82"/>
    <mergeCell ref="F82:G82"/>
    <mergeCell ref="K82:M82"/>
    <mergeCell ref="T82:U82"/>
    <mergeCell ref="V82:X82"/>
    <mergeCell ref="A79:B79"/>
    <mergeCell ref="F79:G79"/>
    <mergeCell ref="K79:M79"/>
    <mergeCell ref="T79:U79"/>
    <mergeCell ref="V79:X79"/>
    <mergeCell ref="A80:B80"/>
    <mergeCell ref="F80:G80"/>
    <mergeCell ref="K80:M80"/>
    <mergeCell ref="T80:U80"/>
    <mergeCell ref="V80:X80"/>
    <mergeCell ref="A77:B77"/>
    <mergeCell ref="F77:G77"/>
    <mergeCell ref="K77:M77"/>
    <mergeCell ref="T77:U77"/>
    <mergeCell ref="V77:X77"/>
    <mergeCell ref="A78:B78"/>
    <mergeCell ref="F78:G78"/>
    <mergeCell ref="K78:M78"/>
    <mergeCell ref="T78:U78"/>
    <mergeCell ref="V78:X78"/>
    <mergeCell ref="A75:B75"/>
    <mergeCell ref="F75:G75"/>
    <mergeCell ref="K75:M75"/>
    <mergeCell ref="T75:U75"/>
    <mergeCell ref="V75:X75"/>
    <mergeCell ref="A76:B76"/>
    <mergeCell ref="F76:G76"/>
    <mergeCell ref="K76:M76"/>
    <mergeCell ref="T76:U76"/>
    <mergeCell ref="V76:X76"/>
    <mergeCell ref="A73:B73"/>
    <mergeCell ref="F73:G73"/>
    <mergeCell ref="K73:M73"/>
    <mergeCell ref="T73:U73"/>
    <mergeCell ref="V73:X73"/>
    <mergeCell ref="A74:B74"/>
    <mergeCell ref="F74:G74"/>
    <mergeCell ref="K74:M74"/>
    <mergeCell ref="T74:U74"/>
    <mergeCell ref="V74:X74"/>
    <mergeCell ref="A71:B71"/>
    <mergeCell ref="F71:G71"/>
    <mergeCell ref="K71:M71"/>
    <mergeCell ref="T71:U71"/>
    <mergeCell ref="V71:X71"/>
    <mergeCell ref="A72:B72"/>
    <mergeCell ref="F72:G72"/>
    <mergeCell ref="K72:M72"/>
    <mergeCell ref="T72:U72"/>
    <mergeCell ref="V72:X72"/>
    <mergeCell ref="A69:B69"/>
    <mergeCell ref="F69:G69"/>
    <mergeCell ref="K69:M69"/>
    <mergeCell ref="T69:U69"/>
    <mergeCell ref="V69:X69"/>
    <mergeCell ref="A70:B70"/>
    <mergeCell ref="F70:G70"/>
    <mergeCell ref="K70:M70"/>
    <mergeCell ref="T70:U70"/>
    <mergeCell ref="V70:X70"/>
    <mergeCell ref="A67:B67"/>
    <mergeCell ref="F67:G67"/>
    <mergeCell ref="K67:M67"/>
    <mergeCell ref="T67:U67"/>
    <mergeCell ref="V67:X67"/>
    <mergeCell ref="A68:B68"/>
    <mergeCell ref="F68:G68"/>
    <mergeCell ref="K68:M68"/>
    <mergeCell ref="T68:U68"/>
    <mergeCell ref="V68:X68"/>
    <mergeCell ref="A65:O65"/>
    <mergeCell ref="T65:U65"/>
    <mergeCell ref="V65:X65"/>
    <mergeCell ref="A66:B66"/>
    <mergeCell ref="F66:G66"/>
    <mergeCell ref="K66:M66"/>
    <mergeCell ref="T66:U66"/>
    <mergeCell ref="V66:X66"/>
    <mergeCell ref="A63:O63"/>
    <mergeCell ref="T63:U63"/>
    <mergeCell ref="V63:X63"/>
    <mergeCell ref="A64:O64"/>
    <mergeCell ref="T64:U64"/>
    <mergeCell ref="V64:X64"/>
    <mergeCell ref="A62:B62"/>
    <mergeCell ref="D62:E62"/>
    <mergeCell ref="F62:G62"/>
    <mergeCell ref="K62:M62"/>
    <mergeCell ref="T62:U62"/>
    <mergeCell ref="V62:X62"/>
    <mergeCell ref="A60:C60"/>
    <mergeCell ref="D60:G60"/>
    <mergeCell ref="H60:N60"/>
    <mergeCell ref="T60:U60"/>
    <mergeCell ref="V60:X60"/>
    <mergeCell ref="A61:C61"/>
    <mergeCell ref="D61:G61"/>
    <mergeCell ref="H61:N61"/>
    <mergeCell ref="T61:U61"/>
    <mergeCell ref="V61:X61"/>
    <mergeCell ref="A58:B58"/>
    <mergeCell ref="F58:G58"/>
    <mergeCell ref="K58:M58"/>
    <mergeCell ref="T58:U58"/>
    <mergeCell ref="V58:X58"/>
    <mergeCell ref="A59:B59"/>
    <mergeCell ref="F59:G59"/>
    <mergeCell ref="K59:M59"/>
    <mergeCell ref="T59:U59"/>
    <mergeCell ref="V59:X59"/>
    <mergeCell ref="A56:B56"/>
    <mergeCell ref="F56:G56"/>
    <mergeCell ref="K56:M56"/>
    <mergeCell ref="T56:U56"/>
    <mergeCell ref="V56:X56"/>
    <mergeCell ref="A57:B57"/>
    <mergeCell ref="F57:G57"/>
    <mergeCell ref="K57:M57"/>
    <mergeCell ref="T57:U57"/>
    <mergeCell ref="V57:X57"/>
    <mergeCell ref="A54:B54"/>
    <mergeCell ref="F54:G54"/>
    <mergeCell ref="K54:M54"/>
    <mergeCell ref="T54:U54"/>
    <mergeCell ref="V54:X54"/>
    <mergeCell ref="A55:B55"/>
    <mergeCell ref="F55:G55"/>
    <mergeCell ref="K55:M55"/>
    <mergeCell ref="T55:U55"/>
    <mergeCell ref="V55:X55"/>
    <mergeCell ref="A52:B52"/>
    <mergeCell ref="F52:G52"/>
    <mergeCell ref="K52:M52"/>
    <mergeCell ref="T52:U52"/>
    <mergeCell ref="V52:X52"/>
    <mergeCell ref="A53:B53"/>
    <mergeCell ref="F53:G53"/>
    <mergeCell ref="K53:M53"/>
    <mergeCell ref="T53:U53"/>
    <mergeCell ref="V53:X53"/>
    <mergeCell ref="A50:B50"/>
    <mergeCell ref="F50:G50"/>
    <mergeCell ref="K50:M50"/>
    <mergeCell ref="T50:U50"/>
    <mergeCell ref="V50:X50"/>
    <mergeCell ref="A51:B51"/>
    <mergeCell ref="F51:G51"/>
    <mergeCell ref="K51:M51"/>
    <mergeCell ref="T51:U51"/>
    <mergeCell ref="V51:X51"/>
    <mergeCell ref="A48:B48"/>
    <mergeCell ref="F48:G48"/>
    <mergeCell ref="K48:M48"/>
    <mergeCell ref="T48:U48"/>
    <mergeCell ref="V48:X48"/>
    <mergeCell ref="A49:B49"/>
    <mergeCell ref="F49:G49"/>
    <mergeCell ref="K49:M49"/>
    <mergeCell ref="T49:U49"/>
    <mergeCell ref="V49:X49"/>
    <mergeCell ref="A46:B46"/>
    <mergeCell ref="F46:G46"/>
    <mergeCell ref="K46:M46"/>
    <mergeCell ref="T46:U46"/>
    <mergeCell ref="V46:X46"/>
    <mergeCell ref="A47:B47"/>
    <mergeCell ref="F47:G47"/>
    <mergeCell ref="K47:M47"/>
    <mergeCell ref="T47:U47"/>
    <mergeCell ref="V47:X47"/>
    <mergeCell ref="A44:B44"/>
    <mergeCell ref="F44:G44"/>
    <mergeCell ref="K44:M44"/>
    <mergeCell ref="T44:U44"/>
    <mergeCell ref="V44:X44"/>
    <mergeCell ref="A45:B45"/>
    <mergeCell ref="F45:G45"/>
    <mergeCell ref="K45:M45"/>
    <mergeCell ref="T45:U45"/>
    <mergeCell ref="V45:X45"/>
    <mergeCell ref="A42:B42"/>
    <mergeCell ref="F42:G42"/>
    <mergeCell ref="K42:M42"/>
    <mergeCell ref="T42:U42"/>
    <mergeCell ref="V42:X42"/>
    <mergeCell ref="A43:B43"/>
    <mergeCell ref="F43:G43"/>
    <mergeCell ref="K43:M43"/>
    <mergeCell ref="T43:U43"/>
    <mergeCell ref="V43:X43"/>
    <mergeCell ref="A40:B40"/>
    <mergeCell ref="F40:G40"/>
    <mergeCell ref="K40:M40"/>
    <mergeCell ref="T40:U40"/>
    <mergeCell ref="V40:X40"/>
    <mergeCell ref="A41:B41"/>
    <mergeCell ref="F41:G41"/>
    <mergeCell ref="K41:M41"/>
    <mergeCell ref="T41:U41"/>
    <mergeCell ref="V41:X41"/>
    <mergeCell ref="A38:B38"/>
    <mergeCell ref="F38:G38"/>
    <mergeCell ref="K38:M38"/>
    <mergeCell ref="T38:U38"/>
    <mergeCell ref="V38:X38"/>
    <mergeCell ref="A39:B39"/>
    <mergeCell ref="F39:G39"/>
    <mergeCell ref="K39:M39"/>
    <mergeCell ref="T39:U39"/>
    <mergeCell ref="V39:X39"/>
    <mergeCell ref="A36:B36"/>
    <mergeCell ref="F36:G36"/>
    <mergeCell ref="K36:M36"/>
    <mergeCell ref="T36:U36"/>
    <mergeCell ref="V36:X36"/>
    <mergeCell ref="A37:B37"/>
    <mergeCell ref="F37:G37"/>
    <mergeCell ref="K37:M37"/>
    <mergeCell ref="T37:U37"/>
    <mergeCell ref="V37:X37"/>
    <mergeCell ref="A34:B34"/>
    <mergeCell ref="F34:G34"/>
    <mergeCell ref="K34:M34"/>
    <mergeCell ref="T34:U34"/>
    <mergeCell ref="V34:X34"/>
    <mergeCell ref="A35:B35"/>
    <mergeCell ref="F35:G35"/>
    <mergeCell ref="K35:M35"/>
    <mergeCell ref="T35:U35"/>
    <mergeCell ref="V35:X35"/>
    <mergeCell ref="A32:B32"/>
    <mergeCell ref="F32:G32"/>
    <mergeCell ref="K32:M32"/>
    <mergeCell ref="T32:U32"/>
    <mergeCell ref="V32:X32"/>
    <mergeCell ref="A33:B33"/>
    <mergeCell ref="F33:G33"/>
    <mergeCell ref="K33:M33"/>
    <mergeCell ref="T33:U33"/>
    <mergeCell ref="V33:X33"/>
    <mergeCell ref="A30:B30"/>
    <mergeCell ref="F30:G30"/>
    <mergeCell ref="K30:M30"/>
    <mergeCell ref="T30:U30"/>
    <mergeCell ref="V30:X30"/>
    <mergeCell ref="A31:B31"/>
    <mergeCell ref="F31:G31"/>
    <mergeCell ref="K31:M31"/>
    <mergeCell ref="T31:U31"/>
    <mergeCell ref="V31:X31"/>
    <mergeCell ref="A28:O28"/>
    <mergeCell ref="T28:U28"/>
    <mergeCell ref="V28:X28"/>
    <mergeCell ref="A29:B29"/>
    <mergeCell ref="F29:G29"/>
    <mergeCell ref="K29:M29"/>
    <mergeCell ref="T29:U29"/>
    <mergeCell ref="V29:X29"/>
    <mergeCell ref="V25:X25"/>
    <mergeCell ref="A26:O26"/>
    <mergeCell ref="T26:U26"/>
    <mergeCell ref="V26:X26"/>
    <mergeCell ref="A27:O27"/>
    <mergeCell ref="T27:U27"/>
    <mergeCell ref="V27:X27"/>
    <mergeCell ref="A24:C24"/>
    <mergeCell ref="D24:G24"/>
    <mergeCell ref="H24:N24"/>
    <mergeCell ref="T24:U24"/>
    <mergeCell ref="V24:X24"/>
    <mergeCell ref="A25:B25"/>
    <mergeCell ref="D25:E25"/>
    <mergeCell ref="F25:G25"/>
    <mergeCell ref="K25:M25"/>
    <mergeCell ref="T25:U25"/>
    <mergeCell ref="A22:B22"/>
    <mergeCell ref="F22:G22"/>
    <mergeCell ref="K22:M22"/>
    <mergeCell ref="T22:U22"/>
    <mergeCell ref="V22:X22"/>
    <mergeCell ref="A23:C23"/>
    <mergeCell ref="D23:G23"/>
    <mergeCell ref="H23:N23"/>
    <mergeCell ref="T23:U23"/>
    <mergeCell ref="V23:X23"/>
    <mergeCell ref="A20:O20"/>
    <mergeCell ref="T20:U20"/>
    <mergeCell ref="V20:X20"/>
    <mergeCell ref="A21:B21"/>
    <mergeCell ref="F21:G21"/>
    <mergeCell ref="K21:M21"/>
    <mergeCell ref="T21:U21"/>
    <mergeCell ref="V21:X21"/>
    <mergeCell ref="B2:D7"/>
    <mergeCell ref="W2:AB4"/>
    <mergeCell ref="G3:T3"/>
    <mergeCell ref="G6:K9"/>
    <mergeCell ref="M6:T9"/>
    <mergeCell ref="X7:AB8"/>
    <mergeCell ref="A18:O18"/>
    <mergeCell ref="T18:U18"/>
    <mergeCell ref="V18:X18"/>
    <mergeCell ref="A19:O19"/>
    <mergeCell ref="T19:U19"/>
    <mergeCell ref="V19:X19"/>
    <mergeCell ref="V16:X16"/>
    <mergeCell ref="A17:B17"/>
    <mergeCell ref="D17:E17"/>
    <mergeCell ref="F17:G17"/>
    <mergeCell ref="K17:M17"/>
    <mergeCell ref="T17:U17"/>
    <mergeCell ref="V17:X17"/>
    <mergeCell ref="G11:K11"/>
    <mergeCell ref="M11:T11"/>
    <mergeCell ref="G13:T13"/>
    <mergeCell ref="A16:B16"/>
    <mergeCell ref="D16:E16"/>
    <mergeCell ref="F16:G16"/>
    <mergeCell ref="K16:M16"/>
    <mergeCell ref="T16:U16"/>
  </mergeCells>
  <pageMargins left="0.25" right="0.25" top="0.25" bottom="0.25" header="0.25" footer="0.25"/>
  <pageSetup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workbookViewId="0">
      <selection activeCell="K135" sqref="K135:M135"/>
    </sheetView>
  </sheetViews>
  <sheetFormatPr defaultColWidth="9.140625" defaultRowHeight="15" x14ac:dyDescent="0.25"/>
  <cols>
    <col min="1" max="1" width="32.5703125" style="348" bestFit="1" customWidth="1"/>
    <col min="2" max="2" width="3.7109375" style="348" customWidth="1"/>
    <col min="3" max="3" width="34" style="348" customWidth="1"/>
    <col min="4" max="4" width="4.140625" style="348" customWidth="1"/>
    <col min="5" max="5" width="41" style="348" customWidth="1"/>
    <col min="6" max="6" width="4.140625" style="348" customWidth="1"/>
    <col min="7" max="7" width="12.28515625" style="348" customWidth="1"/>
    <col min="8" max="8" width="3.85546875" style="348" customWidth="1"/>
    <col min="9" max="9" width="20.85546875" style="348" customWidth="1"/>
    <col min="10" max="10" width="6.140625" style="348" customWidth="1"/>
    <col min="11" max="11" width="17.7109375" style="348" customWidth="1"/>
    <col min="12" max="12" width="10.28515625" style="348" customWidth="1"/>
    <col min="13" max="13" width="9.42578125" style="348" customWidth="1"/>
    <col min="14" max="14" width="11.28515625" style="348" customWidth="1"/>
    <col min="15" max="15" width="7" style="348" customWidth="1"/>
    <col min="16" max="16" width="11.42578125" style="348" customWidth="1"/>
    <col min="17" max="17" width="8.85546875" style="348" customWidth="1"/>
    <col min="18" max="18" width="9.42578125" style="348" customWidth="1"/>
    <col min="19" max="19" width="11.5703125" style="348" customWidth="1"/>
    <col min="20" max="20" width="8.42578125" style="348" customWidth="1"/>
    <col min="21" max="21" width="9.5703125" style="348" customWidth="1"/>
    <col min="22" max="23" width="9.140625" style="348" customWidth="1"/>
    <col min="24" max="16384" width="9.140625" style="348"/>
  </cols>
  <sheetData>
    <row r="1" spans="1:21" x14ac:dyDescent="0.25">
      <c r="G1" s="396"/>
      <c r="H1" s="396"/>
      <c r="I1" s="396"/>
      <c r="J1" s="396"/>
      <c r="K1" s="396" t="s">
        <v>2721</v>
      </c>
      <c r="L1" s="396"/>
      <c r="N1" s="396"/>
      <c r="O1" s="396"/>
      <c r="P1" s="396"/>
      <c r="Q1" s="396"/>
      <c r="R1" s="396"/>
      <c r="S1" s="396"/>
      <c r="T1" s="396"/>
      <c r="U1" s="396"/>
    </row>
    <row r="2" spans="1:21" x14ac:dyDescent="0.25">
      <c r="C2" s="346" t="s">
        <v>2722</v>
      </c>
      <c r="D2" s="397"/>
      <c r="G2" s="396"/>
      <c r="H2" s="396"/>
      <c r="I2" s="398"/>
      <c r="J2" s="398"/>
      <c r="K2" s="398" t="s">
        <v>2723</v>
      </c>
      <c r="L2" s="398"/>
      <c r="N2" s="396"/>
      <c r="O2" s="396"/>
      <c r="P2" s="396"/>
      <c r="Q2" s="399">
        <f>+[1]CCS!C27</f>
        <v>110.74869492303274</v>
      </c>
      <c r="R2" s="396" t="s">
        <v>2724</v>
      </c>
      <c r="S2" s="396"/>
      <c r="T2" s="396"/>
      <c r="U2" s="396"/>
    </row>
    <row r="3" spans="1:21" x14ac:dyDescent="0.25">
      <c r="C3" s="346" t="s">
        <v>2725</v>
      </c>
      <c r="D3" s="397"/>
      <c r="G3" s="396"/>
      <c r="H3" s="396"/>
      <c r="I3" s="398"/>
      <c r="J3" s="398"/>
      <c r="K3" s="398" t="s">
        <v>2726</v>
      </c>
      <c r="L3" s="400"/>
      <c r="M3" s="400"/>
      <c r="N3" s="396"/>
      <c r="O3" s="396"/>
      <c r="P3" s="396"/>
      <c r="Q3" s="401">
        <v>900</v>
      </c>
      <c r="R3" s="396" t="s">
        <v>2727</v>
      </c>
      <c r="S3" s="396"/>
      <c r="T3" s="396"/>
      <c r="U3" s="396"/>
    </row>
    <row r="4" spans="1:21" x14ac:dyDescent="0.25">
      <c r="C4" s="402"/>
      <c r="D4" s="346"/>
      <c r="G4" s="396"/>
      <c r="H4" s="396"/>
      <c r="I4" s="398"/>
      <c r="J4" s="398"/>
      <c r="K4" s="398" t="s">
        <v>2728</v>
      </c>
      <c r="L4" s="398"/>
      <c r="M4" s="398"/>
      <c r="N4" s="396"/>
      <c r="O4" s="396"/>
      <c r="P4" s="396"/>
      <c r="Q4" s="403">
        <f>+Q2*Q3</f>
        <v>99673.82543072947</v>
      </c>
      <c r="R4" s="404"/>
      <c r="S4" s="405">
        <f>Q4*1.1</f>
        <v>109641.20797380243</v>
      </c>
      <c r="T4" s="396"/>
      <c r="U4" s="396"/>
    </row>
    <row r="5" spans="1:21" x14ac:dyDescent="0.25">
      <c r="C5" s="346"/>
      <c r="D5" s="346"/>
      <c r="G5" s="406"/>
      <c r="H5" s="396"/>
      <c r="I5" s="398"/>
      <c r="J5" s="398"/>
      <c r="K5" s="407"/>
      <c r="L5" s="398"/>
      <c r="M5" s="400"/>
      <c r="N5" s="398"/>
      <c r="O5" s="396"/>
      <c r="P5" s="396"/>
      <c r="Q5" s="399"/>
      <c r="R5" s="396"/>
      <c r="S5" s="396"/>
      <c r="T5" s="396"/>
      <c r="U5" s="396"/>
    </row>
    <row r="6" spans="1:21" x14ac:dyDescent="0.25">
      <c r="C6" s="346"/>
      <c r="D6" s="346"/>
      <c r="G6" s="396"/>
      <c r="H6" s="407"/>
      <c r="I6" s="398"/>
      <c r="J6" s="398"/>
      <c r="K6" s="398" t="s">
        <v>2729</v>
      </c>
      <c r="L6" s="398"/>
      <c r="M6" s="400"/>
      <c r="N6" s="398"/>
      <c r="O6" s="396"/>
      <c r="P6" s="396"/>
      <c r="Q6" s="399">
        <f>+[1]CCS!C14</f>
        <v>1092.8848217778418</v>
      </c>
      <c r="R6" s="396"/>
      <c r="S6" s="396"/>
      <c r="T6" s="396"/>
      <c r="U6" s="396"/>
    </row>
    <row r="7" spans="1:21" x14ac:dyDescent="0.25">
      <c r="G7" s="396"/>
      <c r="H7" s="396"/>
      <c r="I7" s="396"/>
      <c r="J7" s="396"/>
      <c r="K7" s="406" t="s">
        <v>22</v>
      </c>
      <c r="L7" s="398"/>
      <c r="M7" s="404"/>
      <c r="N7" s="396"/>
      <c r="O7" s="396"/>
      <c r="P7" s="396"/>
      <c r="Q7" s="408">
        <v>33.225000000000001</v>
      </c>
      <c r="R7" s="396" t="s">
        <v>2730</v>
      </c>
      <c r="S7" s="396"/>
      <c r="T7" s="396"/>
      <c r="U7" s="396"/>
    </row>
    <row r="8" spans="1:21" x14ac:dyDescent="0.25">
      <c r="C8" s="347" t="s">
        <v>2731</v>
      </c>
      <c r="E8" s="347" t="s">
        <v>2731</v>
      </c>
      <c r="G8" s="396"/>
      <c r="H8" s="396"/>
      <c r="I8" s="396"/>
      <c r="J8" s="396"/>
      <c r="K8" s="409" t="s">
        <v>2732</v>
      </c>
      <c r="L8" s="398"/>
      <c r="M8" s="404"/>
      <c r="N8" s="396"/>
      <c r="O8" s="396"/>
      <c r="P8" s="396"/>
      <c r="Q8" s="403">
        <f>+Q6*Q7</f>
        <v>36311.098203568792</v>
      </c>
      <c r="R8" s="404"/>
      <c r="S8" s="405">
        <f>Q8*1.1</f>
        <v>39942.208023925676</v>
      </c>
      <c r="T8" s="396"/>
      <c r="U8" s="396"/>
    </row>
    <row r="9" spans="1:21" x14ac:dyDescent="0.25">
      <c r="C9" s="410" t="s">
        <v>2733</v>
      </c>
      <c r="E9" s="411" t="s">
        <v>2734</v>
      </c>
      <c r="G9" s="412"/>
      <c r="H9" s="396"/>
      <c r="I9" s="412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</row>
    <row r="10" spans="1:21" ht="15.75" thickBot="1" x14ac:dyDescent="0.3">
      <c r="C10" s="413" t="s">
        <v>557</v>
      </c>
      <c r="D10" s="346"/>
      <c r="E10" s="413" t="s">
        <v>2735</v>
      </c>
      <c r="G10" s="413" t="s">
        <v>2736</v>
      </c>
      <c r="I10" s="414"/>
      <c r="J10" s="396"/>
      <c r="K10" s="348" t="s">
        <v>2737</v>
      </c>
      <c r="Q10" s="415">
        <f>+Q4+Q8</f>
        <v>135984.92363429826</v>
      </c>
      <c r="S10" s="353">
        <f>SUM(S4:S8)</f>
        <v>149583.41599772812</v>
      </c>
    </row>
    <row r="11" spans="1:21" ht="15.75" thickTop="1" x14ac:dyDescent="0.25">
      <c r="C11" s="416" t="s">
        <v>2738</v>
      </c>
      <c r="D11" s="346"/>
      <c r="E11" s="413" t="s">
        <v>2739</v>
      </c>
      <c r="G11" s="413" t="s">
        <v>2740</v>
      </c>
      <c r="I11" s="413" t="s">
        <v>2741</v>
      </c>
      <c r="J11" s="417"/>
    </row>
    <row r="12" spans="1:21" x14ac:dyDescent="0.25">
      <c r="C12" s="418" t="s">
        <v>23</v>
      </c>
      <c r="D12" s="346"/>
      <c r="E12" s="419">
        <f>900/894</f>
        <v>1.0067114093959733</v>
      </c>
      <c r="G12" s="420" t="s">
        <v>2742</v>
      </c>
      <c r="I12" s="420" t="s">
        <v>653</v>
      </c>
      <c r="J12" s="417"/>
      <c r="S12" s="353"/>
    </row>
    <row r="13" spans="1:21" x14ac:dyDescent="0.25">
      <c r="K13" s="396"/>
      <c r="L13" s="396"/>
      <c r="M13" s="396"/>
      <c r="N13" s="396"/>
      <c r="O13" s="396"/>
      <c r="P13" s="396"/>
    </row>
    <row r="14" spans="1:21" x14ac:dyDescent="0.25">
      <c r="A14" s="421" t="s">
        <v>318</v>
      </c>
      <c r="C14" s="422">
        <f>0.3*S4</f>
        <v>32892.362392140727</v>
      </c>
      <c r="D14" s="423"/>
      <c r="E14" s="423">
        <f>C14</f>
        <v>32892.362392140727</v>
      </c>
      <c r="F14" s="423"/>
      <c r="G14" s="422">
        <v>0</v>
      </c>
      <c r="I14" s="424">
        <f>SUM(E14:G14)</f>
        <v>32892.362392140727</v>
      </c>
      <c r="J14" s="424"/>
      <c r="K14" s="396"/>
      <c r="L14" s="425"/>
      <c r="M14" s="405">
        <v>14428.291980047774</v>
      </c>
      <c r="N14" s="405">
        <f>O14*$Q$14</f>
        <v>-4416.0904927830443</v>
      </c>
      <c r="O14" s="425">
        <f>I14/SUM(I14:I19)</f>
        <v>0.28569458206606002</v>
      </c>
      <c r="P14" s="396"/>
      <c r="Q14" s="424">
        <f>Q4-SUM(I14:I18)</f>
        <v>-15457.38270865049</v>
      </c>
    </row>
    <row r="15" spans="1:21" x14ac:dyDescent="0.25">
      <c r="A15" s="421" t="s">
        <v>2743</v>
      </c>
      <c r="C15" s="422">
        <f>0.7*S4</f>
        <v>76748.845581661692</v>
      </c>
      <c r="D15" s="423"/>
      <c r="E15" s="423">
        <f>C15</f>
        <v>76748.845581661692</v>
      </c>
      <c r="F15" s="423"/>
      <c r="G15" s="422">
        <v>0</v>
      </c>
      <c r="I15" s="424">
        <f>SUM(E15:G15)</f>
        <v>76748.845581661692</v>
      </c>
      <c r="J15" s="424"/>
      <c r="K15" s="396"/>
      <c r="L15" s="425"/>
      <c r="M15" s="405">
        <v>34044.4554473885</v>
      </c>
      <c r="N15" s="405">
        <f t="shared" ref="N15:N18" si="0">O15*$Q$14</f>
        <v>-10304.211149827104</v>
      </c>
      <c r="O15" s="425">
        <f>I15/SUM(I14:I19)</f>
        <v>0.66662069148747338</v>
      </c>
      <c r="P15" s="396"/>
    </row>
    <row r="16" spans="1:21" x14ac:dyDescent="0.25">
      <c r="C16" s="422"/>
      <c r="E16" s="423"/>
      <c r="G16" s="422"/>
      <c r="I16" s="424"/>
      <c r="J16" s="424"/>
      <c r="K16" s="396"/>
      <c r="L16" s="425"/>
      <c r="M16" s="405">
        <v>0</v>
      </c>
      <c r="N16" s="405">
        <f t="shared" si="0"/>
        <v>0</v>
      </c>
      <c r="O16" s="425">
        <f>I16/SUM(I14:I19)</f>
        <v>0</v>
      </c>
      <c r="P16" s="396"/>
    </row>
    <row r="17" spans="1:16" x14ac:dyDescent="0.25">
      <c r="C17" s="426"/>
      <c r="E17" s="423"/>
      <c r="K17" s="396"/>
      <c r="L17" s="425"/>
      <c r="M17" s="405">
        <v>0</v>
      </c>
      <c r="N17" s="405">
        <f t="shared" si="0"/>
        <v>0</v>
      </c>
      <c r="O17" s="425">
        <f t="shared" ref="O17" si="1">I17/SUM(I17:I22)</f>
        <v>0</v>
      </c>
      <c r="P17" s="396"/>
    </row>
    <row r="18" spans="1:16" x14ac:dyDescent="0.25">
      <c r="A18" s="421" t="s">
        <v>2744</v>
      </c>
      <c r="C18" s="427">
        <v>4957.6365131578941</v>
      </c>
      <c r="D18" s="423" t="s">
        <v>2745</v>
      </c>
      <c r="E18" s="423">
        <f>(C18)*$E$12</f>
        <v>4990.9092414341221</v>
      </c>
      <c r="F18" s="423" t="s">
        <v>2745</v>
      </c>
      <c r="G18" s="428">
        <v>0.1</v>
      </c>
      <c r="H18" s="423"/>
      <c r="I18" s="424">
        <f>E18*1.1</f>
        <v>5490.000165577535</v>
      </c>
      <c r="J18" s="424"/>
      <c r="K18" s="396"/>
      <c r="L18" s="425"/>
      <c r="M18" s="405">
        <v>1695.5647542800921</v>
      </c>
      <c r="N18" s="405">
        <f t="shared" si="0"/>
        <v>-737.08106604034049</v>
      </c>
      <c r="O18" s="425">
        <f>I18/SUM(I14:I19)</f>
        <v>4.7684726446466534E-2</v>
      </c>
      <c r="P18" s="396"/>
    </row>
    <row r="19" spans="1:16" x14ac:dyDescent="0.25">
      <c r="A19" s="421"/>
      <c r="C19" s="422"/>
      <c r="D19" s="423"/>
      <c r="E19" s="423"/>
      <c r="F19" s="423"/>
      <c r="G19" s="422"/>
      <c r="H19" s="423"/>
      <c r="I19" s="424"/>
      <c r="J19" s="424"/>
      <c r="K19" s="396"/>
      <c r="L19" s="429"/>
      <c r="M19" s="396"/>
      <c r="N19" s="396"/>
      <c r="O19" s="425"/>
      <c r="P19" s="396"/>
    </row>
    <row r="20" spans="1:16" x14ac:dyDescent="0.25">
      <c r="A20" s="421" t="s">
        <v>332</v>
      </c>
      <c r="C20" s="422">
        <f>S8</f>
        <v>39942.208023925676</v>
      </c>
      <c r="D20" s="423"/>
      <c r="E20" s="423">
        <f>C20</f>
        <v>39942.208023925676</v>
      </c>
      <c r="F20" s="423"/>
      <c r="G20" s="422">
        <v>0</v>
      </c>
      <c r="H20" s="423"/>
      <c r="I20" s="424">
        <f>SUM(E20:G20)</f>
        <v>39942.208023925676</v>
      </c>
      <c r="J20" s="424"/>
      <c r="K20" s="396"/>
      <c r="L20" s="396"/>
      <c r="M20" s="396"/>
      <c r="N20" s="396"/>
      <c r="O20" s="404">
        <f>I20-Q8</f>
        <v>3631.1098203568836</v>
      </c>
      <c r="P20" s="396"/>
    </row>
    <row r="21" spans="1:16" x14ac:dyDescent="0.25">
      <c r="K21" s="396"/>
      <c r="L21" s="396"/>
      <c r="M21" s="396"/>
      <c r="N21" s="396"/>
      <c r="O21" s="396"/>
      <c r="P21" s="396"/>
    </row>
    <row r="22" spans="1:16" ht="15.75" thickBot="1" x14ac:dyDescent="0.3">
      <c r="C22" s="415">
        <f>SUM(C14:C21)</f>
        <v>154541.05251088599</v>
      </c>
      <c r="E22" s="415">
        <f>SUM(E14:E21)</f>
        <v>154574.32523916222</v>
      </c>
      <c r="G22" s="415">
        <f>SUM(G14:G21)</f>
        <v>0.1</v>
      </c>
      <c r="I22" s="415">
        <f>SUM(I14:I21)</f>
        <v>155073.41616330564</v>
      </c>
      <c r="J22" s="404"/>
      <c r="K22" s="396"/>
      <c r="L22" s="396"/>
      <c r="M22" s="396"/>
      <c r="N22" s="396"/>
      <c r="O22" s="396"/>
      <c r="P22" s="396"/>
    </row>
    <row r="23" spans="1:16" ht="15.75" thickTop="1" x14ac:dyDescent="0.25">
      <c r="K23" s="396"/>
      <c r="L23" s="396"/>
      <c r="M23" s="396"/>
      <c r="N23" s="396"/>
      <c r="O23" s="396"/>
      <c r="P23" s="396"/>
    </row>
    <row r="24" spans="1:16" ht="15.75" thickBot="1" x14ac:dyDescent="0.3">
      <c r="K24" s="396"/>
      <c r="L24" s="396"/>
      <c r="M24" s="396"/>
      <c r="N24" s="396"/>
      <c r="O24" s="396"/>
      <c r="P24" s="396"/>
    </row>
    <row r="25" spans="1:16" x14ac:dyDescent="0.25">
      <c r="A25" s="430" t="s">
        <v>2746</v>
      </c>
      <c r="B25" s="431"/>
      <c r="C25" s="432">
        <f>I14+I15</f>
        <v>109641.20797380242</v>
      </c>
      <c r="K25" s="396"/>
      <c r="L25" s="433"/>
      <c r="M25" s="433"/>
      <c r="N25" s="405"/>
      <c r="O25" s="396"/>
      <c r="P25" s="396"/>
    </row>
    <row r="26" spans="1:16" x14ac:dyDescent="0.25">
      <c r="A26" s="434" t="s">
        <v>2747</v>
      </c>
      <c r="B26" s="435"/>
      <c r="C26" s="436">
        <f>I20</f>
        <v>39942.208023925676</v>
      </c>
      <c r="K26" s="396"/>
      <c r="L26" s="433"/>
      <c r="M26" s="433"/>
      <c r="N26" s="405"/>
      <c r="O26" s="396"/>
      <c r="P26" s="396"/>
    </row>
    <row r="27" spans="1:16" x14ac:dyDescent="0.25">
      <c r="A27" s="434" t="s">
        <v>2720</v>
      </c>
      <c r="B27" s="435"/>
      <c r="C27" s="436">
        <f>+I18</f>
        <v>5490.000165577535</v>
      </c>
      <c r="K27" s="396"/>
      <c r="L27" s="433"/>
      <c r="M27" s="433"/>
      <c r="N27" s="405"/>
      <c r="O27" s="396"/>
      <c r="P27" s="396"/>
    </row>
    <row r="28" spans="1:16" ht="15.75" thickBot="1" x14ac:dyDescent="0.3">
      <c r="A28" s="437" t="s">
        <v>1</v>
      </c>
      <c r="B28" s="438"/>
      <c r="C28" s="439">
        <f>SUM(C25:C27)</f>
        <v>155073.41616330564</v>
      </c>
      <c r="K28" s="396"/>
      <c r="L28" s="433"/>
      <c r="M28" s="433"/>
      <c r="N28" s="405"/>
      <c r="O28" s="396"/>
      <c r="P28" s="396"/>
    </row>
    <row r="29" spans="1:16" x14ac:dyDescent="0.25">
      <c r="K29" s="396"/>
      <c r="L29" s="396"/>
      <c r="M29" s="396"/>
      <c r="N29" s="396"/>
      <c r="O29" s="396"/>
      <c r="P29" s="396"/>
    </row>
    <row r="30" spans="1:16" x14ac:dyDescent="0.25">
      <c r="K30" s="396"/>
      <c r="L30" s="396"/>
      <c r="M30" s="396"/>
      <c r="N30" s="396"/>
      <c r="O30" s="396"/>
      <c r="P30" s="396"/>
    </row>
    <row r="31" spans="1:16" x14ac:dyDescent="0.25">
      <c r="A31" s="352"/>
      <c r="C31" s="424"/>
    </row>
    <row r="32" spans="1:16" x14ac:dyDescent="0.25">
      <c r="A32" s="352"/>
    </row>
  </sheetData>
  <pageMargins left="0.7" right="0.7" top="0.75" bottom="0.75" header="0.3" footer="0.3"/>
  <pageSetup scale="4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0"/>
  <sheetViews>
    <sheetView topLeftCell="E46" workbookViewId="0">
      <selection activeCell="K135" sqref="K135:M135"/>
    </sheetView>
  </sheetViews>
  <sheetFormatPr defaultRowHeight="15" x14ac:dyDescent="0.25"/>
  <cols>
    <col min="1" max="18" width="7.42578125" style="445" customWidth="1"/>
    <col min="19" max="19" width="13.140625" style="445" customWidth="1"/>
    <col min="20" max="20" width="17" style="445" customWidth="1"/>
    <col min="21" max="21" width="12.85546875" style="445" customWidth="1"/>
    <col min="22" max="22" width="12.7109375" style="445" bestFit="1" customWidth="1"/>
    <col min="23" max="24" width="9.140625" style="445"/>
    <col min="25" max="25" width="12.7109375" style="445" bestFit="1" customWidth="1"/>
    <col min="26" max="26" width="13.140625" style="445" customWidth="1"/>
    <col min="27" max="27" width="13.5703125" style="445" customWidth="1"/>
    <col min="28" max="28" width="9.140625" style="445"/>
    <col min="29" max="29" width="14.5703125" style="445" bestFit="1" customWidth="1"/>
    <col min="30" max="256" width="9.140625" style="445"/>
    <col min="257" max="274" width="7.42578125" style="445" customWidth="1"/>
    <col min="275" max="275" width="13.140625" style="445" customWidth="1"/>
    <col min="276" max="276" width="17" style="445" customWidth="1"/>
    <col min="277" max="277" width="12.85546875" style="445" customWidth="1"/>
    <col min="278" max="278" width="12.7109375" style="445" bestFit="1" customWidth="1"/>
    <col min="279" max="280" width="9.140625" style="445"/>
    <col min="281" max="281" width="12.7109375" style="445" bestFit="1" customWidth="1"/>
    <col min="282" max="282" width="13.140625" style="445" customWidth="1"/>
    <col min="283" max="283" width="13.5703125" style="445" customWidth="1"/>
    <col min="284" max="284" width="9.140625" style="445"/>
    <col min="285" max="285" width="14.5703125" style="445" bestFit="1" customWidth="1"/>
    <col min="286" max="512" width="9.140625" style="445"/>
    <col min="513" max="530" width="7.42578125" style="445" customWidth="1"/>
    <col min="531" max="531" width="13.140625" style="445" customWidth="1"/>
    <col min="532" max="532" width="17" style="445" customWidth="1"/>
    <col min="533" max="533" width="12.85546875" style="445" customWidth="1"/>
    <col min="534" max="534" width="12.7109375" style="445" bestFit="1" customWidth="1"/>
    <col min="535" max="536" width="9.140625" style="445"/>
    <col min="537" max="537" width="12.7109375" style="445" bestFit="1" customWidth="1"/>
    <col min="538" max="538" width="13.140625" style="445" customWidth="1"/>
    <col min="539" max="539" width="13.5703125" style="445" customWidth="1"/>
    <col min="540" max="540" width="9.140625" style="445"/>
    <col min="541" max="541" width="14.5703125" style="445" bestFit="1" customWidth="1"/>
    <col min="542" max="768" width="9.140625" style="445"/>
    <col min="769" max="786" width="7.42578125" style="445" customWidth="1"/>
    <col min="787" max="787" width="13.140625" style="445" customWidth="1"/>
    <col min="788" max="788" width="17" style="445" customWidth="1"/>
    <col min="789" max="789" width="12.85546875" style="445" customWidth="1"/>
    <col min="790" max="790" width="12.7109375" style="445" bestFit="1" customWidth="1"/>
    <col min="791" max="792" width="9.140625" style="445"/>
    <col min="793" max="793" width="12.7109375" style="445" bestFit="1" customWidth="1"/>
    <col min="794" max="794" width="13.140625" style="445" customWidth="1"/>
    <col min="795" max="795" width="13.5703125" style="445" customWidth="1"/>
    <col min="796" max="796" width="9.140625" style="445"/>
    <col min="797" max="797" width="14.5703125" style="445" bestFit="1" customWidth="1"/>
    <col min="798" max="1024" width="9.140625" style="445"/>
    <col min="1025" max="1042" width="7.42578125" style="445" customWidth="1"/>
    <col min="1043" max="1043" width="13.140625" style="445" customWidth="1"/>
    <col min="1044" max="1044" width="17" style="445" customWidth="1"/>
    <col min="1045" max="1045" width="12.85546875" style="445" customWidth="1"/>
    <col min="1046" max="1046" width="12.7109375" style="445" bestFit="1" customWidth="1"/>
    <col min="1047" max="1048" width="9.140625" style="445"/>
    <col min="1049" max="1049" width="12.7109375" style="445" bestFit="1" customWidth="1"/>
    <col min="1050" max="1050" width="13.140625" style="445" customWidth="1"/>
    <col min="1051" max="1051" width="13.5703125" style="445" customWidth="1"/>
    <col min="1052" max="1052" width="9.140625" style="445"/>
    <col min="1053" max="1053" width="14.5703125" style="445" bestFit="1" customWidth="1"/>
    <col min="1054" max="1280" width="9.140625" style="445"/>
    <col min="1281" max="1298" width="7.42578125" style="445" customWidth="1"/>
    <col min="1299" max="1299" width="13.140625" style="445" customWidth="1"/>
    <col min="1300" max="1300" width="17" style="445" customWidth="1"/>
    <col min="1301" max="1301" width="12.85546875" style="445" customWidth="1"/>
    <col min="1302" max="1302" width="12.7109375" style="445" bestFit="1" customWidth="1"/>
    <col min="1303" max="1304" width="9.140625" style="445"/>
    <col min="1305" max="1305" width="12.7109375" style="445" bestFit="1" customWidth="1"/>
    <col min="1306" max="1306" width="13.140625" style="445" customWidth="1"/>
    <col min="1307" max="1307" width="13.5703125" style="445" customWidth="1"/>
    <col min="1308" max="1308" width="9.140625" style="445"/>
    <col min="1309" max="1309" width="14.5703125" style="445" bestFit="1" customWidth="1"/>
    <col min="1310" max="1536" width="9.140625" style="445"/>
    <col min="1537" max="1554" width="7.42578125" style="445" customWidth="1"/>
    <col min="1555" max="1555" width="13.140625" style="445" customWidth="1"/>
    <col min="1556" max="1556" width="17" style="445" customWidth="1"/>
    <col min="1557" max="1557" width="12.85546875" style="445" customWidth="1"/>
    <col min="1558" max="1558" width="12.7109375" style="445" bestFit="1" customWidth="1"/>
    <col min="1559" max="1560" width="9.140625" style="445"/>
    <col min="1561" max="1561" width="12.7109375" style="445" bestFit="1" customWidth="1"/>
    <col min="1562" max="1562" width="13.140625" style="445" customWidth="1"/>
    <col min="1563" max="1563" width="13.5703125" style="445" customWidth="1"/>
    <col min="1564" max="1564" width="9.140625" style="445"/>
    <col min="1565" max="1565" width="14.5703125" style="445" bestFit="1" customWidth="1"/>
    <col min="1566" max="1792" width="9.140625" style="445"/>
    <col min="1793" max="1810" width="7.42578125" style="445" customWidth="1"/>
    <col min="1811" max="1811" width="13.140625" style="445" customWidth="1"/>
    <col min="1812" max="1812" width="17" style="445" customWidth="1"/>
    <col min="1813" max="1813" width="12.85546875" style="445" customWidth="1"/>
    <col min="1814" max="1814" width="12.7109375" style="445" bestFit="1" customWidth="1"/>
    <col min="1815" max="1816" width="9.140625" style="445"/>
    <col min="1817" max="1817" width="12.7109375" style="445" bestFit="1" customWidth="1"/>
    <col min="1818" max="1818" width="13.140625" style="445" customWidth="1"/>
    <col min="1819" max="1819" width="13.5703125" style="445" customWidth="1"/>
    <col min="1820" max="1820" width="9.140625" style="445"/>
    <col min="1821" max="1821" width="14.5703125" style="445" bestFit="1" customWidth="1"/>
    <col min="1822" max="2048" width="9.140625" style="445"/>
    <col min="2049" max="2066" width="7.42578125" style="445" customWidth="1"/>
    <col min="2067" max="2067" width="13.140625" style="445" customWidth="1"/>
    <col min="2068" max="2068" width="17" style="445" customWidth="1"/>
    <col min="2069" max="2069" width="12.85546875" style="445" customWidth="1"/>
    <col min="2070" max="2070" width="12.7109375" style="445" bestFit="1" customWidth="1"/>
    <col min="2071" max="2072" width="9.140625" style="445"/>
    <col min="2073" max="2073" width="12.7109375" style="445" bestFit="1" customWidth="1"/>
    <col min="2074" max="2074" width="13.140625" style="445" customWidth="1"/>
    <col min="2075" max="2075" width="13.5703125" style="445" customWidth="1"/>
    <col min="2076" max="2076" width="9.140625" style="445"/>
    <col min="2077" max="2077" width="14.5703125" style="445" bestFit="1" customWidth="1"/>
    <col min="2078" max="2304" width="9.140625" style="445"/>
    <col min="2305" max="2322" width="7.42578125" style="445" customWidth="1"/>
    <col min="2323" max="2323" width="13.140625" style="445" customWidth="1"/>
    <col min="2324" max="2324" width="17" style="445" customWidth="1"/>
    <col min="2325" max="2325" width="12.85546875" style="445" customWidth="1"/>
    <col min="2326" max="2326" width="12.7109375" style="445" bestFit="1" customWidth="1"/>
    <col min="2327" max="2328" width="9.140625" style="445"/>
    <col min="2329" max="2329" width="12.7109375" style="445" bestFit="1" customWidth="1"/>
    <col min="2330" max="2330" width="13.140625" style="445" customWidth="1"/>
    <col min="2331" max="2331" width="13.5703125" style="445" customWidth="1"/>
    <col min="2332" max="2332" width="9.140625" style="445"/>
    <col min="2333" max="2333" width="14.5703125" style="445" bestFit="1" customWidth="1"/>
    <col min="2334" max="2560" width="9.140625" style="445"/>
    <col min="2561" max="2578" width="7.42578125" style="445" customWidth="1"/>
    <col min="2579" max="2579" width="13.140625" style="445" customWidth="1"/>
    <col min="2580" max="2580" width="17" style="445" customWidth="1"/>
    <col min="2581" max="2581" width="12.85546875" style="445" customWidth="1"/>
    <col min="2582" max="2582" width="12.7109375" style="445" bestFit="1" customWidth="1"/>
    <col min="2583" max="2584" width="9.140625" style="445"/>
    <col min="2585" max="2585" width="12.7109375" style="445" bestFit="1" customWidth="1"/>
    <col min="2586" max="2586" width="13.140625" style="445" customWidth="1"/>
    <col min="2587" max="2587" width="13.5703125" style="445" customWidth="1"/>
    <col min="2588" max="2588" width="9.140625" style="445"/>
    <col min="2589" max="2589" width="14.5703125" style="445" bestFit="1" customWidth="1"/>
    <col min="2590" max="2816" width="9.140625" style="445"/>
    <col min="2817" max="2834" width="7.42578125" style="445" customWidth="1"/>
    <col min="2835" max="2835" width="13.140625" style="445" customWidth="1"/>
    <col min="2836" max="2836" width="17" style="445" customWidth="1"/>
    <col min="2837" max="2837" width="12.85546875" style="445" customWidth="1"/>
    <col min="2838" max="2838" width="12.7109375" style="445" bestFit="1" customWidth="1"/>
    <col min="2839" max="2840" width="9.140625" style="445"/>
    <col min="2841" max="2841" width="12.7109375" style="445" bestFit="1" customWidth="1"/>
    <col min="2842" max="2842" width="13.140625" style="445" customWidth="1"/>
    <col min="2843" max="2843" width="13.5703125" style="445" customWidth="1"/>
    <col min="2844" max="2844" width="9.140625" style="445"/>
    <col min="2845" max="2845" width="14.5703125" style="445" bestFit="1" customWidth="1"/>
    <col min="2846" max="3072" width="9.140625" style="445"/>
    <col min="3073" max="3090" width="7.42578125" style="445" customWidth="1"/>
    <col min="3091" max="3091" width="13.140625" style="445" customWidth="1"/>
    <col min="3092" max="3092" width="17" style="445" customWidth="1"/>
    <col min="3093" max="3093" width="12.85546875" style="445" customWidth="1"/>
    <col min="3094" max="3094" width="12.7109375" style="445" bestFit="1" customWidth="1"/>
    <col min="3095" max="3096" width="9.140625" style="445"/>
    <col min="3097" max="3097" width="12.7109375" style="445" bestFit="1" customWidth="1"/>
    <col min="3098" max="3098" width="13.140625" style="445" customWidth="1"/>
    <col min="3099" max="3099" width="13.5703125" style="445" customWidth="1"/>
    <col min="3100" max="3100" width="9.140625" style="445"/>
    <col min="3101" max="3101" width="14.5703125" style="445" bestFit="1" customWidth="1"/>
    <col min="3102" max="3328" width="9.140625" style="445"/>
    <col min="3329" max="3346" width="7.42578125" style="445" customWidth="1"/>
    <col min="3347" max="3347" width="13.140625" style="445" customWidth="1"/>
    <col min="3348" max="3348" width="17" style="445" customWidth="1"/>
    <col min="3349" max="3349" width="12.85546875" style="445" customWidth="1"/>
    <col min="3350" max="3350" width="12.7109375" style="445" bestFit="1" customWidth="1"/>
    <col min="3351" max="3352" width="9.140625" style="445"/>
    <col min="3353" max="3353" width="12.7109375" style="445" bestFit="1" customWidth="1"/>
    <col min="3354" max="3354" width="13.140625" style="445" customWidth="1"/>
    <col min="3355" max="3355" width="13.5703125" style="445" customWidth="1"/>
    <col min="3356" max="3356" width="9.140625" style="445"/>
    <col min="3357" max="3357" width="14.5703125" style="445" bestFit="1" customWidth="1"/>
    <col min="3358" max="3584" width="9.140625" style="445"/>
    <col min="3585" max="3602" width="7.42578125" style="445" customWidth="1"/>
    <col min="3603" max="3603" width="13.140625" style="445" customWidth="1"/>
    <col min="3604" max="3604" width="17" style="445" customWidth="1"/>
    <col min="3605" max="3605" width="12.85546875" style="445" customWidth="1"/>
    <col min="3606" max="3606" width="12.7109375" style="445" bestFit="1" customWidth="1"/>
    <col min="3607" max="3608" width="9.140625" style="445"/>
    <col min="3609" max="3609" width="12.7109375" style="445" bestFit="1" customWidth="1"/>
    <col min="3610" max="3610" width="13.140625" style="445" customWidth="1"/>
    <col min="3611" max="3611" width="13.5703125" style="445" customWidth="1"/>
    <col min="3612" max="3612" width="9.140625" style="445"/>
    <col min="3613" max="3613" width="14.5703125" style="445" bestFit="1" customWidth="1"/>
    <col min="3614" max="3840" width="9.140625" style="445"/>
    <col min="3841" max="3858" width="7.42578125" style="445" customWidth="1"/>
    <col min="3859" max="3859" width="13.140625" style="445" customWidth="1"/>
    <col min="3860" max="3860" width="17" style="445" customWidth="1"/>
    <col min="3861" max="3861" width="12.85546875" style="445" customWidth="1"/>
    <col min="3862" max="3862" width="12.7109375" style="445" bestFit="1" customWidth="1"/>
    <col min="3863" max="3864" width="9.140625" style="445"/>
    <col min="3865" max="3865" width="12.7109375" style="445" bestFit="1" customWidth="1"/>
    <col min="3866" max="3866" width="13.140625" style="445" customWidth="1"/>
    <col min="3867" max="3867" width="13.5703125" style="445" customWidth="1"/>
    <col min="3868" max="3868" width="9.140625" style="445"/>
    <col min="3869" max="3869" width="14.5703125" style="445" bestFit="1" customWidth="1"/>
    <col min="3870" max="4096" width="9.140625" style="445"/>
    <col min="4097" max="4114" width="7.42578125" style="445" customWidth="1"/>
    <col min="4115" max="4115" width="13.140625" style="445" customWidth="1"/>
    <col min="4116" max="4116" width="17" style="445" customWidth="1"/>
    <col min="4117" max="4117" width="12.85546875" style="445" customWidth="1"/>
    <col min="4118" max="4118" width="12.7109375" style="445" bestFit="1" customWidth="1"/>
    <col min="4119" max="4120" width="9.140625" style="445"/>
    <col min="4121" max="4121" width="12.7109375" style="445" bestFit="1" customWidth="1"/>
    <col min="4122" max="4122" width="13.140625" style="445" customWidth="1"/>
    <col min="4123" max="4123" width="13.5703125" style="445" customWidth="1"/>
    <col min="4124" max="4124" width="9.140625" style="445"/>
    <col min="4125" max="4125" width="14.5703125" style="445" bestFit="1" customWidth="1"/>
    <col min="4126" max="4352" width="9.140625" style="445"/>
    <col min="4353" max="4370" width="7.42578125" style="445" customWidth="1"/>
    <col min="4371" max="4371" width="13.140625" style="445" customWidth="1"/>
    <col min="4372" max="4372" width="17" style="445" customWidth="1"/>
    <col min="4373" max="4373" width="12.85546875" style="445" customWidth="1"/>
    <col min="4374" max="4374" width="12.7109375" style="445" bestFit="1" customWidth="1"/>
    <col min="4375" max="4376" width="9.140625" style="445"/>
    <col min="4377" max="4377" width="12.7109375" style="445" bestFit="1" customWidth="1"/>
    <col min="4378" max="4378" width="13.140625" style="445" customWidth="1"/>
    <col min="4379" max="4379" width="13.5703125" style="445" customWidth="1"/>
    <col min="4380" max="4380" width="9.140625" style="445"/>
    <col min="4381" max="4381" width="14.5703125" style="445" bestFit="1" customWidth="1"/>
    <col min="4382" max="4608" width="9.140625" style="445"/>
    <col min="4609" max="4626" width="7.42578125" style="445" customWidth="1"/>
    <col min="4627" max="4627" width="13.140625" style="445" customWidth="1"/>
    <col min="4628" max="4628" width="17" style="445" customWidth="1"/>
    <col min="4629" max="4629" width="12.85546875" style="445" customWidth="1"/>
    <col min="4630" max="4630" width="12.7109375" style="445" bestFit="1" customWidth="1"/>
    <col min="4631" max="4632" width="9.140625" style="445"/>
    <col min="4633" max="4633" width="12.7109375" style="445" bestFit="1" customWidth="1"/>
    <col min="4634" max="4634" width="13.140625" style="445" customWidth="1"/>
    <col min="4635" max="4635" width="13.5703125" style="445" customWidth="1"/>
    <col min="4636" max="4636" width="9.140625" style="445"/>
    <col min="4637" max="4637" width="14.5703125" style="445" bestFit="1" customWidth="1"/>
    <col min="4638" max="4864" width="9.140625" style="445"/>
    <col min="4865" max="4882" width="7.42578125" style="445" customWidth="1"/>
    <col min="4883" max="4883" width="13.140625" style="445" customWidth="1"/>
    <col min="4884" max="4884" width="17" style="445" customWidth="1"/>
    <col min="4885" max="4885" width="12.85546875" style="445" customWidth="1"/>
    <col min="4886" max="4886" width="12.7109375" style="445" bestFit="1" customWidth="1"/>
    <col min="4887" max="4888" width="9.140625" style="445"/>
    <col min="4889" max="4889" width="12.7109375" style="445" bestFit="1" customWidth="1"/>
    <col min="4890" max="4890" width="13.140625" style="445" customWidth="1"/>
    <col min="4891" max="4891" width="13.5703125" style="445" customWidth="1"/>
    <col min="4892" max="4892" width="9.140625" style="445"/>
    <col min="4893" max="4893" width="14.5703125" style="445" bestFit="1" customWidth="1"/>
    <col min="4894" max="5120" width="9.140625" style="445"/>
    <col min="5121" max="5138" width="7.42578125" style="445" customWidth="1"/>
    <col min="5139" max="5139" width="13.140625" style="445" customWidth="1"/>
    <col min="5140" max="5140" width="17" style="445" customWidth="1"/>
    <col min="5141" max="5141" width="12.85546875" style="445" customWidth="1"/>
    <col min="5142" max="5142" width="12.7109375" style="445" bestFit="1" customWidth="1"/>
    <col min="5143" max="5144" width="9.140625" style="445"/>
    <col min="5145" max="5145" width="12.7109375" style="445" bestFit="1" customWidth="1"/>
    <col min="5146" max="5146" width="13.140625" style="445" customWidth="1"/>
    <col min="5147" max="5147" width="13.5703125" style="445" customWidth="1"/>
    <col min="5148" max="5148" width="9.140625" style="445"/>
    <col min="5149" max="5149" width="14.5703125" style="445" bestFit="1" customWidth="1"/>
    <col min="5150" max="5376" width="9.140625" style="445"/>
    <col min="5377" max="5394" width="7.42578125" style="445" customWidth="1"/>
    <col min="5395" max="5395" width="13.140625" style="445" customWidth="1"/>
    <col min="5396" max="5396" width="17" style="445" customWidth="1"/>
    <col min="5397" max="5397" width="12.85546875" style="445" customWidth="1"/>
    <col min="5398" max="5398" width="12.7109375" style="445" bestFit="1" customWidth="1"/>
    <col min="5399" max="5400" width="9.140625" style="445"/>
    <col min="5401" max="5401" width="12.7109375" style="445" bestFit="1" customWidth="1"/>
    <col min="5402" max="5402" width="13.140625" style="445" customWidth="1"/>
    <col min="5403" max="5403" width="13.5703125" style="445" customWidth="1"/>
    <col min="5404" max="5404" width="9.140625" style="445"/>
    <col min="5405" max="5405" width="14.5703125" style="445" bestFit="1" customWidth="1"/>
    <col min="5406" max="5632" width="9.140625" style="445"/>
    <col min="5633" max="5650" width="7.42578125" style="445" customWidth="1"/>
    <col min="5651" max="5651" width="13.140625" style="445" customWidth="1"/>
    <col min="5652" max="5652" width="17" style="445" customWidth="1"/>
    <col min="5653" max="5653" width="12.85546875" style="445" customWidth="1"/>
    <col min="5654" max="5654" width="12.7109375" style="445" bestFit="1" customWidth="1"/>
    <col min="5655" max="5656" width="9.140625" style="445"/>
    <col min="5657" max="5657" width="12.7109375" style="445" bestFit="1" customWidth="1"/>
    <col min="5658" max="5658" width="13.140625" style="445" customWidth="1"/>
    <col min="5659" max="5659" width="13.5703125" style="445" customWidth="1"/>
    <col min="5660" max="5660" width="9.140625" style="445"/>
    <col min="5661" max="5661" width="14.5703125" style="445" bestFit="1" customWidth="1"/>
    <col min="5662" max="5888" width="9.140625" style="445"/>
    <col min="5889" max="5906" width="7.42578125" style="445" customWidth="1"/>
    <col min="5907" max="5907" width="13.140625" style="445" customWidth="1"/>
    <col min="5908" max="5908" width="17" style="445" customWidth="1"/>
    <col min="5909" max="5909" width="12.85546875" style="445" customWidth="1"/>
    <col min="5910" max="5910" width="12.7109375" style="445" bestFit="1" customWidth="1"/>
    <col min="5911" max="5912" width="9.140625" style="445"/>
    <col min="5913" max="5913" width="12.7109375" style="445" bestFit="1" customWidth="1"/>
    <col min="5914" max="5914" width="13.140625" style="445" customWidth="1"/>
    <col min="5915" max="5915" width="13.5703125" style="445" customWidth="1"/>
    <col min="5916" max="5916" width="9.140625" style="445"/>
    <col min="5917" max="5917" width="14.5703125" style="445" bestFit="1" customWidth="1"/>
    <col min="5918" max="6144" width="9.140625" style="445"/>
    <col min="6145" max="6162" width="7.42578125" style="445" customWidth="1"/>
    <col min="6163" max="6163" width="13.140625" style="445" customWidth="1"/>
    <col min="6164" max="6164" width="17" style="445" customWidth="1"/>
    <col min="6165" max="6165" width="12.85546875" style="445" customWidth="1"/>
    <col min="6166" max="6166" width="12.7109375" style="445" bestFit="1" customWidth="1"/>
    <col min="6167" max="6168" width="9.140625" style="445"/>
    <col min="6169" max="6169" width="12.7109375" style="445" bestFit="1" customWidth="1"/>
    <col min="6170" max="6170" width="13.140625" style="445" customWidth="1"/>
    <col min="6171" max="6171" width="13.5703125" style="445" customWidth="1"/>
    <col min="6172" max="6172" width="9.140625" style="445"/>
    <col min="6173" max="6173" width="14.5703125" style="445" bestFit="1" customWidth="1"/>
    <col min="6174" max="6400" width="9.140625" style="445"/>
    <col min="6401" max="6418" width="7.42578125" style="445" customWidth="1"/>
    <col min="6419" max="6419" width="13.140625" style="445" customWidth="1"/>
    <col min="6420" max="6420" width="17" style="445" customWidth="1"/>
    <col min="6421" max="6421" width="12.85546875" style="445" customWidth="1"/>
    <col min="6422" max="6422" width="12.7109375" style="445" bestFit="1" customWidth="1"/>
    <col min="6423" max="6424" width="9.140625" style="445"/>
    <col min="6425" max="6425" width="12.7109375" style="445" bestFit="1" customWidth="1"/>
    <col min="6426" max="6426" width="13.140625" style="445" customWidth="1"/>
    <col min="6427" max="6427" width="13.5703125" style="445" customWidth="1"/>
    <col min="6428" max="6428" width="9.140625" style="445"/>
    <col min="6429" max="6429" width="14.5703125" style="445" bestFit="1" customWidth="1"/>
    <col min="6430" max="6656" width="9.140625" style="445"/>
    <col min="6657" max="6674" width="7.42578125" style="445" customWidth="1"/>
    <col min="6675" max="6675" width="13.140625" style="445" customWidth="1"/>
    <col min="6676" max="6676" width="17" style="445" customWidth="1"/>
    <col min="6677" max="6677" width="12.85546875" style="445" customWidth="1"/>
    <col min="6678" max="6678" width="12.7109375" style="445" bestFit="1" customWidth="1"/>
    <col min="6679" max="6680" width="9.140625" style="445"/>
    <col min="6681" max="6681" width="12.7109375" style="445" bestFit="1" customWidth="1"/>
    <col min="6682" max="6682" width="13.140625" style="445" customWidth="1"/>
    <col min="6683" max="6683" width="13.5703125" style="445" customWidth="1"/>
    <col min="6684" max="6684" width="9.140625" style="445"/>
    <col min="6685" max="6685" width="14.5703125" style="445" bestFit="1" customWidth="1"/>
    <col min="6686" max="6912" width="9.140625" style="445"/>
    <col min="6913" max="6930" width="7.42578125" style="445" customWidth="1"/>
    <col min="6931" max="6931" width="13.140625" style="445" customWidth="1"/>
    <col min="6932" max="6932" width="17" style="445" customWidth="1"/>
    <col min="6933" max="6933" width="12.85546875" style="445" customWidth="1"/>
    <col min="6934" max="6934" width="12.7109375" style="445" bestFit="1" customWidth="1"/>
    <col min="6935" max="6936" width="9.140625" style="445"/>
    <col min="6937" max="6937" width="12.7109375" style="445" bestFit="1" customWidth="1"/>
    <col min="6938" max="6938" width="13.140625" style="445" customWidth="1"/>
    <col min="6939" max="6939" width="13.5703125" style="445" customWidth="1"/>
    <col min="6940" max="6940" width="9.140625" style="445"/>
    <col min="6941" max="6941" width="14.5703125" style="445" bestFit="1" customWidth="1"/>
    <col min="6942" max="7168" width="9.140625" style="445"/>
    <col min="7169" max="7186" width="7.42578125" style="445" customWidth="1"/>
    <col min="7187" max="7187" width="13.140625" style="445" customWidth="1"/>
    <col min="7188" max="7188" width="17" style="445" customWidth="1"/>
    <col min="7189" max="7189" width="12.85546875" style="445" customWidth="1"/>
    <col min="7190" max="7190" width="12.7109375" style="445" bestFit="1" customWidth="1"/>
    <col min="7191" max="7192" width="9.140625" style="445"/>
    <col min="7193" max="7193" width="12.7109375" style="445" bestFit="1" customWidth="1"/>
    <col min="7194" max="7194" width="13.140625" style="445" customWidth="1"/>
    <col min="7195" max="7195" width="13.5703125" style="445" customWidth="1"/>
    <col min="7196" max="7196" width="9.140625" style="445"/>
    <col min="7197" max="7197" width="14.5703125" style="445" bestFit="1" customWidth="1"/>
    <col min="7198" max="7424" width="9.140625" style="445"/>
    <col min="7425" max="7442" width="7.42578125" style="445" customWidth="1"/>
    <col min="7443" max="7443" width="13.140625" style="445" customWidth="1"/>
    <col min="7444" max="7444" width="17" style="445" customWidth="1"/>
    <col min="7445" max="7445" width="12.85546875" style="445" customWidth="1"/>
    <col min="7446" max="7446" width="12.7109375" style="445" bestFit="1" customWidth="1"/>
    <col min="7447" max="7448" width="9.140625" style="445"/>
    <col min="7449" max="7449" width="12.7109375" style="445" bestFit="1" customWidth="1"/>
    <col min="7450" max="7450" width="13.140625" style="445" customWidth="1"/>
    <col min="7451" max="7451" width="13.5703125" style="445" customWidth="1"/>
    <col min="7452" max="7452" width="9.140625" style="445"/>
    <col min="7453" max="7453" width="14.5703125" style="445" bestFit="1" customWidth="1"/>
    <col min="7454" max="7680" width="9.140625" style="445"/>
    <col min="7681" max="7698" width="7.42578125" style="445" customWidth="1"/>
    <col min="7699" max="7699" width="13.140625" style="445" customWidth="1"/>
    <col min="7700" max="7700" width="17" style="445" customWidth="1"/>
    <col min="7701" max="7701" width="12.85546875" style="445" customWidth="1"/>
    <col min="7702" max="7702" width="12.7109375" style="445" bestFit="1" customWidth="1"/>
    <col min="7703" max="7704" width="9.140625" style="445"/>
    <col min="7705" max="7705" width="12.7109375" style="445" bestFit="1" customWidth="1"/>
    <col min="7706" max="7706" width="13.140625" style="445" customWidth="1"/>
    <col min="7707" max="7707" width="13.5703125" style="445" customWidth="1"/>
    <col min="7708" max="7708" width="9.140625" style="445"/>
    <col min="7709" max="7709" width="14.5703125" style="445" bestFit="1" customWidth="1"/>
    <col min="7710" max="7936" width="9.140625" style="445"/>
    <col min="7937" max="7954" width="7.42578125" style="445" customWidth="1"/>
    <col min="7955" max="7955" width="13.140625" style="445" customWidth="1"/>
    <col min="7956" max="7956" width="17" style="445" customWidth="1"/>
    <col min="7957" max="7957" width="12.85546875" style="445" customWidth="1"/>
    <col min="7958" max="7958" width="12.7109375" style="445" bestFit="1" customWidth="1"/>
    <col min="7959" max="7960" width="9.140625" style="445"/>
    <col min="7961" max="7961" width="12.7109375" style="445" bestFit="1" customWidth="1"/>
    <col min="7962" max="7962" width="13.140625" style="445" customWidth="1"/>
    <col min="7963" max="7963" width="13.5703125" style="445" customWidth="1"/>
    <col min="7964" max="7964" width="9.140625" style="445"/>
    <col min="7965" max="7965" width="14.5703125" style="445" bestFit="1" customWidth="1"/>
    <col min="7966" max="8192" width="9.140625" style="445"/>
    <col min="8193" max="8210" width="7.42578125" style="445" customWidth="1"/>
    <col min="8211" max="8211" width="13.140625" style="445" customWidth="1"/>
    <col min="8212" max="8212" width="17" style="445" customWidth="1"/>
    <col min="8213" max="8213" width="12.85546875" style="445" customWidth="1"/>
    <col min="8214" max="8214" width="12.7109375" style="445" bestFit="1" customWidth="1"/>
    <col min="8215" max="8216" width="9.140625" style="445"/>
    <col min="8217" max="8217" width="12.7109375" style="445" bestFit="1" customWidth="1"/>
    <col min="8218" max="8218" width="13.140625" style="445" customWidth="1"/>
    <col min="8219" max="8219" width="13.5703125" style="445" customWidth="1"/>
    <col min="8220" max="8220" width="9.140625" style="445"/>
    <col min="8221" max="8221" width="14.5703125" style="445" bestFit="1" customWidth="1"/>
    <col min="8222" max="8448" width="9.140625" style="445"/>
    <col min="8449" max="8466" width="7.42578125" style="445" customWidth="1"/>
    <col min="8467" max="8467" width="13.140625" style="445" customWidth="1"/>
    <col min="8468" max="8468" width="17" style="445" customWidth="1"/>
    <col min="8469" max="8469" width="12.85546875" style="445" customWidth="1"/>
    <col min="8470" max="8470" width="12.7109375" style="445" bestFit="1" customWidth="1"/>
    <col min="8471" max="8472" width="9.140625" style="445"/>
    <col min="8473" max="8473" width="12.7109375" style="445" bestFit="1" customWidth="1"/>
    <col min="8474" max="8474" width="13.140625" style="445" customWidth="1"/>
    <col min="8475" max="8475" width="13.5703125" style="445" customWidth="1"/>
    <col min="8476" max="8476" width="9.140625" style="445"/>
    <col min="8477" max="8477" width="14.5703125" style="445" bestFit="1" customWidth="1"/>
    <col min="8478" max="8704" width="9.140625" style="445"/>
    <col min="8705" max="8722" width="7.42578125" style="445" customWidth="1"/>
    <col min="8723" max="8723" width="13.140625" style="445" customWidth="1"/>
    <col min="8724" max="8724" width="17" style="445" customWidth="1"/>
    <col min="8725" max="8725" width="12.85546875" style="445" customWidth="1"/>
    <col min="8726" max="8726" width="12.7109375" style="445" bestFit="1" customWidth="1"/>
    <col min="8727" max="8728" width="9.140625" style="445"/>
    <col min="8729" max="8729" width="12.7109375" style="445" bestFit="1" customWidth="1"/>
    <col min="8730" max="8730" width="13.140625" style="445" customWidth="1"/>
    <col min="8731" max="8731" width="13.5703125" style="445" customWidth="1"/>
    <col min="8732" max="8732" width="9.140625" style="445"/>
    <col min="8733" max="8733" width="14.5703125" style="445" bestFit="1" customWidth="1"/>
    <col min="8734" max="8960" width="9.140625" style="445"/>
    <col min="8961" max="8978" width="7.42578125" style="445" customWidth="1"/>
    <col min="8979" max="8979" width="13.140625" style="445" customWidth="1"/>
    <col min="8980" max="8980" width="17" style="445" customWidth="1"/>
    <col min="8981" max="8981" width="12.85546875" style="445" customWidth="1"/>
    <col min="8982" max="8982" width="12.7109375" style="445" bestFit="1" customWidth="1"/>
    <col min="8983" max="8984" width="9.140625" style="445"/>
    <col min="8985" max="8985" width="12.7109375" style="445" bestFit="1" customWidth="1"/>
    <col min="8986" max="8986" width="13.140625" style="445" customWidth="1"/>
    <col min="8987" max="8987" width="13.5703125" style="445" customWidth="1"/>
    <col min="8988" max="8988" width="9.140625" style="445"/>
    <col min="8989" max="8989" width="14.5703125" style="445" bestFit="1" customWidth="1"/>
    <col min="8990" max="9216" width="9.140625" style="445"/>
    <col min="9217" max="9234" width="7.42578125" style="445" customWidth="1"/>
    <col min="9235" max="9235" width="13.140625" style="445" customWidth="1"/>
    <col min="9236" max="9236" width="17" style="445" customWidth="1"/>
    <col min="9237" max="9237" width="12.85546875" style="445" customWidth="1"/>
    <col min="9238" max="9238" width="12.7109375" style="445" bestFit="1" customWidth="1"/>
    <col min="9239" max="9240" width="9.140625" style="445"/>
    <col min="9241" max="9241" width="12.7109375" style="445" bestFit="1" customWidth="1"/>
    <col min="9242" max="9242" width="13.140625" style="445" customWidth="1"/>
    <col min="9243" max="9243" width="13.5703125" style="445" customWidth="1"/>
    <col min="9244" max="9244" width="9.140625" style="445"/>
    <col min="9245" max="9245" width="14.5703125" style="445" bestFit="1" customWidth="1"/>
    <col min="9246" max="9472" width="9.140625" style="445"/>
    <col min="9473" max="9490" width="7.42578125" style="445" customWidth="1"/>
    <col min="9491" max="9491" width="13.140625" style="445" customWidth="1"/>
    <col min="9492" max="9492" width="17" style="445" customWidth="1"/>
    <col min="9493" max="9493" width="12.85546875" style="445" customWidth="1"/>
    <col min="9494" max="9494" width="12.7109375" style="445" bestFit="1" customWidth="1"/>
    <col min="9495" max="9496" width="9.140625" style="445"/>
    <col min="9497" max="9497" width="12.7109375" style="445" bestFit="1" customWidth="1"/>
    <col min="9498" max="9498" width="13.140625" style="445" customWidth="1"/>
    <col min="9499" max="9499" width="13.5703125" style="445" customWidth="1"/>
    <col min="9500" max="9500" width="9.140625" style="445"/>
    <col min="9501" max="9501" width="14.5703125" style="445" bestFit="1" customWidth="1"/>
    <col min="9502" max="9728" width="9.140625" style="445"/>
    <col min="9729" max="9746" width="7.42578125" style="445" customWidth="1"/>
    <col min="9747" max="9747" width="13.140625" style="445" customWidth="1"/>
    <col min="9748" max="9748" width="17" style="445" customWidth="1"/>
    <col min="9749" max="9749" width="12.85546875" style="445" customWidth="1"/>
    <col min="9750" max="9750" width="12.7109375" style="445" bestFit="1" customWidth="1"/>
    <col min="9751" max="9752" width="9.140625" style="445"/>
    <col min="9753" max="9753" width="12.7109375" style="445" bestFit="1" customWidth="1"/>
    <col min="9754" max="9754" width="13.140625" style="445" customWidth="1"/>
    <col min="9755" max="9755" width="13.5703125" style="445" customWidth="1"/>
    <col min="9756" max="9756" width="9.140625" style="445"/>
    <col min="9757" max="9757" width="14.5703125" style="445" bestFit="1" customWidth="1"/>
    <col min="9758" max="9984" width="9.140625" style="445"/>
    <col min="9985" max="10002" width="7.42578125" style="445" customWidth="1"/>
    <col min="10003" max="10003" width="13.140625" style="445" customWidth="1"/>
    <col min="10004" max="10004" width="17" style="445" customWidth="1"/>
    <col min="10005" max="10005" width="12.85546875" style="445" customWidth="1"/>
    <col min="10006" max="10006" width="12.7109375" style="445" bestFit="1" customWidth="1"/>
    <col min="10007" max="10008" width="9.140625" style="445"/>
    <col min="10009" max="10009" width="12.7109375" style="445" bestFit="1" customWidth="1"/>
    <col min="10010" max="10010" width="13.140625" style="445" customWidth="1"/>
    <col min="10011" max="10011" width="13.5703125" style="445" customWidth="1"/>
    <col min="10012" max="10012" width="9.140625" style="445"/>
    <col min="10013" max="10013" width="14.5703125" style="445" bestFit="1" customWidth="1"/>
    <col min="10014" max="10240" width="9.140625" style="445"/>
    <col min="10241" max="10258" width="7.42578125" style="445" customWidth="1"/>
    <col min="10259" max="10259" width="13.140625" style="445" customWidth="1"/>
    <col min="10260" max="10260" width="17" style="445" customWidth="1"/>
    <col min="10261" max="10261" width="12.85546875" style="445" customWidth="1"/>
    <col min="10262" max="10262" width="12.7109375" style="445" bestFit="1" customWidth="1"/>
    <col min="10263" max="10264" width="9.140625" style="445"/>
    <col min="10265" max="10265" width="12.7109375" style="445" bestFit="1" customWidth="1"/>
    <col min="10266" max="10266" width="13.140625" style="445" customWidth="1"/>
    <col min="10267" max="10267" width="13.5703125" style="445" customWidth="1"/>
    <col min="10268" max="10268" width="9.140625" style="445"/>
    <col min="10269" max="10269" width="14.5703125" style="445" bestFit="1" customWidth="1"/>
    <col min="10270" max="10496" width="9.140625" style="445"/>
    <col min="10497" max="10514" width="7.42578125" style="445" customWidth="1"/>
    <col min="10515" max="10515" width="13.140625" style="445" customWidth="1"/>
    <col min="10516" max="10516" width="17" style="445" customWidth="1"/>
    <col min="10517" max="10517" width="12.85546875" style="445" customWidth="1"/>
    <col min="10518" max="10518" width="12.7109375" style="445" bestFit="1" customWidth="1"/>
    <col min="10519" max="10520" width="9.140625" style="445"/>
    <col min="10521" max="10521" width="12.7109375" style="445" bestFit="1" customWidth="1"/>
    <col min="10522" max="10522" width="13.140625" style="445" customWidth="1"/>
    <col min="10523" max="10523" width="13.5703125" style="445" customWidth="1"/>
    <col min="10524" max="10524" width="9.140625" style="445"/>
    <col min="10525" max="10525" width="14.5703125" style="445" bestFit="1" customWidth="1"/>
    <col min="10526" max="10752" width="9.140625" style="445"/>
    <col min="10753" max="10770" width="7.42578125" style="445" customWidth="1"/>
    <col min="10771" max="10771" width="13.140625" style="445" customWidth="1"/>
    <col min="10772" max="10772" width="17" style="445" customWidth="1"/>
    <col min="10773" max="10773" width="12.85546875" style="445" customWidth="1"/>
    <col min="10774" max="10774" width="12.7109375" style="445" bestFit="1" customWidth="1"/>
    <col min="10775" max="10776" width="9.140625" style="445"/>
    <col min="10777" max="10777" width="12.7109375" style="445" bestFit="1" customWidth="1"/>
    <col min="10778" max="10778" width="13.140625" style="445" customWidth="1"/>
    <col min="10779" max="10779" width="13.5703125" style="445" customWidth="1"/>
    <col min="10780" max="10780" width="9.140625" style="445"/>
    <col min="10781" max="10781" width="14.5703125" style="445" bestFit="1" customWidth="1"/>
    <col min="10782" max="11008" width="9.140625" style="445"/>
    <col min="11009" max="11026" width="7.42578125" style="445" customWidth="1"/>
    <col min="11027" max="11027" width="13.140625" style="445" customWidth="1"/>
    <col min="11028" max="11028" width="17" style="445" customWidth="1"/>
    <col min="11029" max="11029" width="12.85546875" style="445" customWidth="1"/>
    <col min="11030" max="11030" width="12.7109375" style="445" bestFit="1" customWidth="1"/>
    <col min="11031" max="11032" width="9.140625" style="445"/>
    <col min="11033" max="11033" width="12.7109375" style="445" bestFit="1" customWidth="1"/>
    <col min="11034" max="11034" width="13.140625" style="445" customWidth="1"/>
    <col min="11035" max="11035" width="13.5703125" style="445" customWidth="1"/>
    <col min="11036" max="11036" width="9.140625" style="445"/>
    <col min="11037" max="11037" width="14.5703125" style="445" bestFit="1" customWidth="1"/>
    <col min="11038" max="11264" width="9.140625" style="445"/>
    <col min="11265" max="11282" width="7.42578125" style="445" customWidth="1"/>
    <col min="11283" max="11283" width="13.140625" style="445" customWidth="1"/>
    <col min="11284" max="11284" width="17" style="445" customWidth="1"/>
    <col min="11285" max="11285" width="12.85546875" style="445" customWidth="1"/>
    <col min="11286" max="11286" width="12.7109375" style="445" bestFit="1" customWidth="1"/>
    <col min="11287" max="11288" width="9.140625" style="445"/>
    <col min="11289" max="11289" width="12.7109375" style="445" bestFit="1" customWidth="1"/>
    <col min="11290" max="11290" width="13.140625" style="445" customWidth="1"/>
    <col min="11291" max="11291" width="13.5703125" style="445" customWidth="1"/>
    <col min="11292" max="11292" width="9.140625" style="445"/>
    <col min="11293" max="11293" width="14.5703125" style="445" bestFit="1" customWidth="1"/>
    <col min="11294" max="11520" width="9.140625" style="445"/>
    <col min="11521" max="11538" width="7.42578125" style="445" customWidth="1"/>
    <col min="11539" max="11539" width="13.140625" style="445" customWidth="1"/>
    <col min="11540" max="11540" width="17" style="445" customWidth="1"/>
    <col min="11541" max="11541" width="12.85546875" style="445" customWidth="1"/>
    <col min="11542" max="11542" width="12.7109375" style="445" bestFit="1" customWidth="1"/>
    <col min="11543" max="11544" width="9.140625" style="445"/>
    <col min="11545" max="11545" width="12.7109375" style="445" bestFit="1" customWidth="1"/>
    <col min="11546" max="11546" width="13.140625" style="445" customWidth="1"/>
    <col min="11547" max="11547" width="13.5703125" style="445" customWidth="1"/>
    <col min="11548" max="11548" width="9.140625" style="445"/>
    <col min="11549" max="11549" width="14.5703125" style="445" bestFit="1" customWidth="1"/>
    <col min="11550" max="11776" width="9.140625" style="445"/>
    <col min="11777" max="11794" width="7.42578125" style="445" customWidth="1"/>
    <col min="11795" max="11795" width="13.140625" style="445" customWidth="1"/>
    <col min="11796" max="11796" width="17" style="445" customWidth="1"/>
    <col min="11797" max="11797" width="12.85546875" style="445" customWidth="1"/>
    <col min="11798" max="11798" width="12.7109375" style="445" bestFit="1" customWidth="1"/>
    <col min="11799" max="11800" width="9.140625" style="445"/>
    <col min="11801" max="11801" width="12.7109375" style="445" bestFit="1" customWidth="1"/>
    <col min="11802" max="11802" width="13.140625" style="445" customWidth="1"/>
    <col min="11803" max="11803" width="13.5703125" style="445" customWidth="1"/>
    <col min="11804" max="11804" width="9.140625" style="445"/>
    <col min="11805" max="11805" width="14.5703125" style="445" bestFit="1" customWidth="1"/>
    <col min="11806" max="12032" width="9.140625" style="445"/>
    <col min="12033" max="12050" width="7.42578125" style="445" customWidth="1"/>
    <col min="12051" max="12051" width="13.140625" style="445" customWidth="1"/>
    <col min="12052" max="12052" width="17" style="445" customWidth="1"/>
    <col min="12053" max="12053" width="12.85546875" style="445" customWidth="1"/>
    <col min="12054" max="12054" width="12.7109375" style="445" bestFit="1" customWidth="1"/>
    <col min="12055" max="12056" width="9.140625" style="445"/>
    <col min="12057" max="12057" width="12.7109375" style="445" bestFit="1" customWidth="1"/>
    <col min="12058" max="12058" width="13.140625" style="445" customWidth="1"/>
    <col min="12059" max="12059" width="13.5703125" style="445" customWidth="1"/>
    <col min="12060" max="12060" width="9.140625" style="445"/>
    <col min="12061" max="12061" width="14.5703125" style="445" bestFit="1" customWidth="1"/>
    <col min="12062" max="12288" width="9.140625" style="445"/>
    <col min="12289" max="12306" width="7.42578125" style="445" customWidth="1"/>
    <col min="12307" max="12307" width="13.140625" style="445" customWidth="1"/>
    <col min="12308" max="12308" width="17" style="445" customWidth="1"/>
    <col min="12309" max="12309" width="12.85546875" style="445" customWidth="1"/>
    <col min="12310" max="12310" width="12.7109375" style="445" bestFit="1" customWidth="1"/>
    <col min="12311" max="12312" width="9.140625" style="445"/>
    <col min="12313" max="12313" width="12.7109375" style="445" bestFit="1" customWidth="1"/>
    <col min="12314" max="12314" width="13.140625" style="445" customWidth="1"/>
    <col min="12315" max="12315" width="13.5703125" style="445" customWidth="1"/>
    <col min="12316" max="12316" width="9.140625" style="445"/>
    <col min="12317" max="12317" width="14.5703125" style="445" bestFit="1" customWidth="1"/>
    <col min="12318" max="12544" width="9.140625" style="445"/>
    <col min="12545" max="12562" width="7.42578125" style="445" customWidth="1"/>
    <col min="12563" max="12563" width="13.140625" style="445" customWidth="1"/>
    <col min="12564" max="12564" width="17" style="445" customWidth="1"/>
    <col min="12565" max="12565" width="12.85546875" style="445" customWidth="1"/>
    <col min="12566" max="12566" width="12.7109375" style="445" bestFit="1" customWidth="1"/>
    <col min="12567" max="12568" width="9.140625" style="445"/>
    <col min="12569" max="12569" width="12.7109375" style="445" bestFit="1" customWidth="1"/>
    <col min="12570" max="12570" width="13.140625" style="445" customWidth="1"/>
    <col min="12571" max="12571" width="13.5703125" style="445" customWidth="1"/>
    <col min="12572" max="12572" width="9.140625" style="445"/>
    <col min="12573" max="12573" width="14.5703125" style="445" bestFit="1" customWidth="1"/>
    <col min="12574" max="12800" width="9.140625" style="445"/>
    <col min="12801" max="12818" width="7.42578125" style="445" customWidth="1"/>
    <col min="12819" max="12819" width="13.140625" style="445" customWidth="1"/>
    <col min="12820" max="12820" width="17" style="445" customWidth="1"/>
    <col min="12821" max="12821" width="12.85546875" style="445" customWidth="1"/>
    <col min="12822" max="12822" width="12.7109375" style="445" bestFit="1" customWidth="1"/>
    <col min="12823" max="12824" width="9.140625" style="445"/>
    <col min="12825" max="12825" width="12.7109375" style="445" bestFit="1" customWidth="1"/>
    <col min="12826" max="12826" width="13.140625" style="445" customWidth="1"/>
    <col min="12827" max="12827" width="13.5703125" style="445" customWidth="1"/>
    <col min="12828" max="12828" width="9.140625" style="445"/>
    <col min="12829" max="12829" width="14.5703125" style="445" bestFit="1" customWidth="1"/>
    <col min="12830" max="13056" width="9.140625" style="445"/>
    <col min="13057" max="13074" width="7.42578125" style="445" customWidth="1"/>
    <col min="13075" max="13075" width="13.140625" style="445" customWidth="1"/>
    <col min="13076" max="13076" width="17" style="445" customWidth="1"/>
    <col min="13077" max="13077" width="12.85546875" style="445" customWidth="1"/>
    <col min="13078" max="13078" width="12.7109375" style="445" bestFit="1" customWidth="1"/>
    <col min="13079" max="13080" width="9.140625" style="445"/>
    <col min="13081" max="13081" width="12.7109375" style="445" bestFit="1" customWidth="1"/>
    <col min="13082" max="13082" width="13.140625" style="445" customWidth="1"/>
    <col min="13083" max="13083" width="13.5703125" style="445" customWidth="1"/>
    <col min="13084" max="13084" width="9.140625" style="445"/>
    <col min="13085" max="13085" width="14.5703125" style="445" bestFit="1" customWidth="1"/>
    <col min="13086" max="13312" width="9.140625" style="445"/>
    <col min="13313" max="13330" width="7.42578125" style="445" customWidth="1"/>
    <col min="13331" max="13331" width="13.140625" style="445" customWidth="1"/>
    <col min="13332" max="13332" width="17" style="445" customWidth="1"/>
    <col min="13333" max="13333" width="12.85546875" style="445" customWidth="1"/>
    <col min="13334" max="13334" width="12.7109375" style="445" bestFit="1" customWidth="1"/>
    <col min="13335" max="13336" width="9.140625" style="445"/>
    <col min="13337" max="13337" width="12.7109375" style="445" bestFit="1" customWidth="1"/>
    <col min="13338" max="13338" width="13.140625" style="445" customWidth="1"/>
    <col min="13339" max="13339" width="13.5703125" style="445" customWidth="1"/>
    <col min="13340" max="13340" width="9.140625" style="445"/>
    <col min="13341" max="13341" width="14.5703125" style="445" bestFit="1" customWidth="1"/>
    <col min="13342" max="13568" width="9.140625" style="445"/>
    <col min="13569" max="13586" width="7.42578125" style="445" customWidth="1"/>
    <col min="13587" max="13587" width="13.140625" style="445" customWidth="1"/>
    <col min="13588" max="13588" width="17" style="445" customWidth="1"/>
    <col min="13589" max="13589" width="12.85546875" style="445" customWidth="1"/>
    <col min="13590" max="13590" width="12.7109375" style="445" bestFit="1" customWidth="1"/>
    <col min="13591" max="13592" width="9.140625" style="445"/>
    <col min="13593" max="13593" width="12.7109375" style="445" bestFit="1" customWidth="1"/>
    <col min="13594" max="13594" width="13.140625" style="445" customWidth="1"/>
    <col min="13595" max="13595" width="13.5703125" style="445" customWidth="1"/>
    <col min="13596" max="13596" width="9.140625" style="445"/>
    <col min="13597" max="13597" width="14.5703125" style="445" bestFit="1" customWidth="1"/>
    <col min="13598" max="13824" width="9.140625" style="445"/>
    <col min="13825" max="13842" width="7.42578125" style="445" customWidth="1"/>
    <col min="13843" max="13843" width="13.140625" style="445" customWidth="1"/>
    <col min="13844" max="13844" width="17" style="445" customWidth="1"/>
    <col min="13845" max="13845" width="12.85546875" style="445" customWidth="1"/>
    <col min="13846" max="13846" width="12.7109375" style="445" bestFit="1" customWidth="1"/>
    <col min="13847" max="13848" width="9.140625" style="445"/>
    <col min="13849" max="13849" width="12.7109375" style="445" bestFit="1" customWidth="1"/>
    <col min="13850" max="13850" width="13.140625" style="445" customWidth="1"/>
    <col min="13851" max="13851" width="13.5703125" style="445" customWidth="1"/>
    <col min="13852" max="13852" width="9.140625" style="445"/>
    <col min="13853" max="13853" width="14.5703125" style="445" bestFit="1" customWidth="1"/>
    <col min="13854" max="14080" width="9.140625" style="445"/>
    <col min="14081" max="14098" width="7.42578125" style="445" customWidth="1"/>
    <col min="14099" max="14099" width="13.140625" style="445" customWidth="1"/>
    <col min="14100" max="14100" width="17" style="445" customWidth="1"/>
    <col min="14101" max="14101" width="12.85546875" style="445" customWidth="1"/>
    <col min="14102" max="14102" width="12.7109375" style="445" bestFit="1" customWidth="1"/>
    <col min="14103" max="14104" width="9.140625" style="445"/>
    <col min="14105" max="14105" width="12.7109375" style="445" bestFit="1" customWidth="1"/>
    <col min="14106" max="14106" width="13.140625" style="445" customWidth="1"/>
    <col min="14107" max="14107" width="13.5703125" style="445" customWidth="1"/>
    <col min="14108" max="14108" width="9.140625" style="445"/>
    <col min="14109" max="14109" width="14.5703125" style="445" bestFit="1" customWidth="1"/>
    <col min="14110" max="14336" width="9.140625" style="445"/>
    <col min="14337" max="14354" width="7.42578125" style="445" customWidth="1"/>
    <col min="14355" max="14355" width="13.140625" style="445" customWidth="1"/>
    <col min="14356" max="14356" width="17" style="445" customWidth="1"/>
    <col min="14357" max="14357" width="12.85546875" style="445" customWidth="1"/>
    <col min="14358" max="14358" width="12.7109375" style="445" bestFit="1" customWidth="1"/>
    <col min="14359" max="14360" width="9.140625" style="445"/>
    <col min="14361" max="14361" width="12.7109375" style="445" bestFit="1" customWidth="1"/>
    <col min="14362" max="14362" width="13.140625" style="445" customWidth="1"/>
    <col min="14363" max="14363" width="13.5703125" style="445" customWidth="1"/>
    <col min="14364" max="14364" width="9.140625" style="445"/>
    <col min="14365" max="14365" width="14.5703125" style="445" bestFit="1" customWidth="1"/>
    <col min="14366" max="14592" width="9.140625" style="445"/>
    <col min="14593" max="14610" width="7.42578125" style="445" customWidth="1"/>
    <col min="14611" max="14611" width="13.140625" style="445" customWidth="1"/>
    <col min="14612" max="14612" width="17" style="445" customWidth="1"/>
    <col min="14613" max="14613" width="12.85546875" style="445" customWidth="1"/>
    <col min="14614" max="14614" width="12.7109375" style="445" bestFit="1" customWidth="1"/>
    <col min="14615" max="14616" width="9.140625" style="445"/>
    <col min="14617" max="14617" width="12.7109375" style="445" bestFit="1" customWidth="1"/>
    <col min="14618" max="14618" width="13.140625" style="445" customWidth="1"/>
    <col min="14619" max="14619" width="13.5703125" style="445" customWidth="1"/>
    <col min="14620" max="14620" width="9.140625" style="445"/>
    <col min="14621" max="14621" width="14.5703125" style="445" bestFit="1" customWidth="1"/>
    <col min="14622" max="14848" width="9.140625" style="445"/>
    <col min="14849" max="14866" width="7.42578125" style="445" customWidth="1"/>
    <col min="14867" max="14867" width="13.140625" style="445" customWidth="1"/>
    <col min="14868" max="14868" width="17" style="445" customWidth="1"/>
    <col min="14869" max="14869" width="12.85546875" style="445" customWidth="1"/>
    <col min="14870" max="14870" width="12.7109375" style="445" bestFit="1" customWidth="1"/>
    <col min="14871" max="14872" width="9.140625" style="445"/>
    <col min="14873" max="14873" width="12.7109375" style="445" bestFit="1" customWidth="1"/>
    <col min="14874" max="14874" width="13.140625" style="445" customWidth="1"/>
    <col min="14875" max="14875" width="13.5703125" style="445" customWidth="1"/>
    <col min="14876" max="14876" width="9.140625" style="445"/>
    <col min="14877" max="14877" width="14.5703125" style="445" bestFit="1" customWidth="1"/>
    <col min="14878" max="15104" width="9.140625" style="445"/>
    <col min="15105" max="15122" width="7.42578125" style="445" customWidth="1"/>
    <col min="15123" max="15123" width="13.140625" style="445" customWidth="1"/>
    <col min="15124" max="15124" width="17" style="445" customWidth="1"/>
    <col min="15125" max="15125" width="12.85546875" style="445" customWidth="1"/>
    <col min="15126" max="15126" width="12.7109375" style="445" bestFit="1" customWidth="1"/>
    <col min="15127" max="15128" width="9.140625" style="445"/>
    <col min="15129" max="15129" width="12.7109375" style="445" bestFit="1" customWidth="1"/>
    <col min="15130" max="15130" width="13.140625" style="445" customWidth="1"/>
    <col min="15131" max="15131" width="13.5703125" style="445" customWidth="1"/>
    <col min="15132" max="15132" width="9.140625" style="445"/>
    <col min="15133" max="15133" width="14.5703125" style="445" bestFit="1" customWidth="1"/>
    <col min="15134" max="15360" width="9.140625" style="445"/>
    <col min="15361" max="15378" width="7.42578125" style="445" customWidth="1"/>
    <col min="15379" max="15379" width="13.140625" style="445" customWidth="1"/>
    <col min="15380" max="15380" width="17" style="445" customWidth="1"/>
    <col min="15381" max="15381" width="12.85546875" style="445" customWidth="1"/>
    <col min="15382" max="15382" width="12.7109375" style="445" bestFit="1" customWidth="1"/>
    <col min="15383" max="15384" width="9.140625" style="445"/>
    <col min="15385" max="15385" width="12.7109375" style="445" bestFit="1" customWidth="1"/>
    <col min="15386" max="15386" width="13.140625" style="445" customWidth="1"/>
    <col min="15387" max="15387" width="13.5703125" style="445" customWidth="1"/>
    <col min="15388" max="15388" width="9.140625" style="445"/>
    <col min="15389" max="15389" width="14.5703125" style="445" bestFit="1" customWidth="1"/>
    <col min="15390" max="15616" width="9.140625" style="445"/>
    <col min="15617" max="15634" width="7.42578125" style="445" customWidth="1"/>
    <col min="15635" max="15635" width="13.140625" style="445" customWidth="1"/>
    <col min="15636" max="15636" width="17" style="445" customWidth="1"/>
    <col min="15637" max="15637" width="12.85546875" style="445" customWidth="1"/>
    <col min="15638" max="15638" width="12.7109375" style="445" bestFit="1" customWidth="1"/>
    <col min="15639" max="15640" width="9.140625" style="445"/>
    <col min="15641" max="15641" width="12.7109375" style="445" bestFit="1" customWidth="1"/>
    <col min="15642" max="15642" width="13.140625" style="445" customWidth="1"/>
    <col min="15643" max="15643" width="13.5703125" style="445" customWidth="1"/>
    <col min="15644" max="15644" width="9.140625" style="445"/>
    <col min="15645" max="15645" width="14.5703125" style="445" bestFit="1" customWidth="1"/>
    <col min="15646" max="15872" width="9.140625" style="445"/>
    <col min="15873" max="15890" width="7.42578125" style="445" customWidth="1"/>
    <col min="15891" max="15891" width="13.140625" style="445" customWidth="1"/>
    <col min="15892" max="15892" width="17" style="445" customWidth="1"/>
    <col min="15893" max="15893" width="12.85546875" style="445" customWidth="1"/>
    <col min="15894" max="15894" width="12.7109375" style="445" bestFit="1" customWidth="1"/>
    <col min="15895" max="15896" width="9.140625" style="445"/>
    <col min="15897" max="15897" width="12.7109375" style="445" bestFit="1" customWidth="1"/>
    <col min="15898" max="15898" width="13.140625" style="445" customWidth="1"/>
    <col min="15899" max="15899" width="13.5703125" style="445" customWidth="1"/>
    <col min="15900" max="15900" width="9.140625" style="445"/>
    <col min="15901" max="15901" width="14.5703125" style="445" bestFit="1" customWidth="1"/>
    <col min="15902" max="16128" width="9.140625" style="445"/>
    <col min="16129" max="16146" width="7.42578125" style="445" customWidth="1"/>
    <col min="16147" max="16147" width="13.140625" style="445" customWidth="1"/>
    <col min="16148" max="16148" width="17" style="445" customWidth="1"/>
    <col min="16149" max="16149" width="12.85546875" style="445" customWidth="1"/>
    <col min="16150" max="16150" width="12.7109375" style="445" bestFit="1" customWidth="1"/>
    <col min="16151" max="16152" width="9.140625" style="445"/>
    <col min="16153" max="16153" width="12.7109375" style="445" bestFit="1" customWidth="1"/>
    <col min="16154" max="16154" width="13.140625" style="445" customWidth="1"/>
    <col min="16155" max="16155" width="13.5703125" style="445" customWidth="1"/>
    <col min="16156" max="16156" width="9.140625" style="445"/>
    <col min="16157" max="16157" width="14.5703125" style="445" bestFit="1" customWidth="1"/>
    <col min="16158" max="16384" width="9.140625" style="445"/>
  </cols>
  <sheetData>
    <row r="1" spans="1:18" ht="12.75" customHeight="1" x14ac:dyDescent="0.25">
      <c r="A1" s="499" t="s">
        <v>2774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</row>
    <row r="2" spans="1:18" ht="12.75" customHeight="1" x14ac:dyDescent="0.25">
      <c r="A2" s="499" t="s">
        <v>2775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spans="1:18" ht="33" customHeight="1" x14ac:dyDescent="0.25">
      <c r="A3" s="449"/>
      <c r="B3" s="449" t="s">
        <v>2776</v>
      </c>
      <c r="C3" s="449" t="s">
        <v>2777</v>
      </c>
      <c r="D3" s="449" t="s">
        <v>2778</v>
      </c>
      <c r="E3" s="449" t="s">
        <v>2779</v>
      </c>
      <c r="F3" s="449" t="s">
        <v>2780</v>
      </c>
      <c r="G3" s="449" t="s">
        <v>2781</v>
      </c>
      <c r="H3" s="449" t="s">
        <v>2782</v>
      </c>
      <c r="I3" s="449" t="s">
        <v>2783</v>
      </c>
      <c r="J3" s="449" t="s">
        <v>2784</v>
      </c>
      <c r="K3" s="449" t="s">
        <v>2785</v>
      </c>
      <c r="L3" s="449" t="s">
        <v>2786</v>
      </c>
      <c r="M3" s="449" t="s">
        <v>2787</v>
      </c>
      <c r="N3" s="449" t="s">
        <v>2788</v>
      </c>
      <c r="O3" s="449" t="s">
        <v>2789</v>
      </c>
      <c r="P3" s="449" t="s">
        <v>2790</v>
      </c>
      <c r="Q3" s="449" t="s">
        <v>2791</v>
      </c>
      <c r="R3" s="449" t="s">
        <v>2792</v>
      </c>
    </row>
    <row r="4" spans="1:18" ht="9.75" customHeight="1" x14ac:dyDescent="0.25">
      <c r="A4" s="450" t="s">
        <v>2793</v>
      </c>
      <c r="B4" s="451">
        <v>925</v>
      </c>
      <c r="C4" s="452">
        <v>195</v>
      </c>
      <c r="D4" s="452">
        <v>81</v>
      </c>
      <c r="E4" s="452">
        <v>11</v>
      </c>
      <c r="F4" s="452">
        <v>114</v>
      </c>
      <c r="G4" s="452">
        <v>178</v>
      </c>
      <c r="H4" s="452">
        <v>17</v>
      </c>
      <c r="I4" s="452">
        <v>16</v>
      </c>
      <c r="J4" s="452">
        <v>179</v>
      </c>
      <c r="K4" s="452">
        <v>52</v>
      </c>
      <c r="L4" s="452">
        <v>7</v>
      </c>
      <c r="M4" s="452">
        <v>9</v>
      </c>
      <c r="N4" s="452">
        <v>25</v>
      </c>
      <c r="O4" s="452">
        <v>9</v>
      </c>
      <c r="P4" s="452">
        <v>16</v>
      </c>
      <c r="Q4" s="452">
        <v>0</v>
      </c>
      <c r="R4" s="452">
        <v>0</v>
      </c>
    </row>
    <row r="5" spans="1:18" ht="9.75" customHeight="1" x14ac:dyDescent="0.25">
      <c r="A5" s="450" t="s">
        <v>2794</v>
      </c>
      <c r="B5" s="451">
        <v>925</v>
      </c>
      <c r="C5" s="452">
        <v>117</v>
      </c>
      <c r="D5" s="452">
        <v>65</v>
      </c>
      <c r="E5" s="452">
        <v>7</v>
      </c>
      <c r="F5" s="452">
        <v>52</v>
      </c>
      <c r="G5" s="452">
        <v>109</v>
      </c>
      <c r="H5" s="452">
        <v>8</v>
      </c>
      <c r="I5" s="452">
        <v>8</v>
      </c>
      <c r="J5" s="452">
        <v>109</v>
      </c>
      <c r="K5" s="452">
        <v>26</v>
      </c>
      <c r="L5" s="452">
        <v>1</v>
      </c>
      <c r="M5" s="452">
        <v>0</v>
      </c>
      <c r="N5" s="452">
        <v>20</v>
      </c>
      <c r="O5" s="452">
        <v>1</v>
      </c>
      <c r="P5" s="452">
        <v>7</v>
      </c>
      <c r="Q5" s="452">
        <v>0</v>
      </c>
      <c r="R5" s="452">
        <v>0</v>
      </c>
    </row>
    <row r="6" spans="1:18" ht="9.75" customHeight="1" x14ac:dyDescent="0.25">
      <c r="A6" s="450" t="s">
        <v>2795</v>
      </c>
      <c r="B6" s="451">
        <v>912</v>
      </c>
      <c r="C6" s="452">
        <v>173</v>
      </c>
      <c r="D6" s="452">
        <v>113</v>
      </c>
      <c r="E6" s="452">
        <v>9</v>
      </c>
      <c r="F6" s="452">
        <v>60</v>
      </c>
      <c r="G6" s="452">
        <v>151</v>
      </c>
      <c r="H6" s="452">
        <v>22</v>
      </c>
      <c r="I6" s="452">
        <v>10</v>
      </c>
      <c r="J6" s="452">
        <v>163</v>
      </c>
      <c r="K6" s="452">
        <v>40</v>
      </c>
      <c r="L6" s="452">
        <v>1</v>
      </c>
      <c r="M6" s="452">
        <v>1</v>
      </c>
      <c r="N6" s="452">
        <v>21</v>
      </c>
      <c r="O6" s="452">
        <v>4</v>
      </c>
      <c r="P6" s="452">
        <v>16</v>
      </c>
      <c r="Q6" s="452">
        <v>0</v>
      </c>
      <c r="R6" s="452">
        <v>0</v>
      </c>
    </row>
    <row r="7" spans="1:18" ht="9.75" customHeight="1" x14ac:dyDescent="0.25">
      <c r="A7" s="450" t="s">
        <v>2796</v>
      </c>
      <c r="B7" s="451">
        <v>912</v>
      </c>
      <c r="C7" s="452">
        <v>151</v>
      </c>
      <c r="D7" s="452">
        <v>89</v>
      </c>
      <c r="E7" s="452">
        <v>6</v>
      </c>
      <c r="F7" s="452">
        <v>62</v>
      </c>
      <c r="G7" s="452">
        <v>116</v>
      </c>
      <c r="H7" s="452">
        <v>35</v>
      </c>
      <c r="I7" s="452">
        <v>7</v>
      </c>
      <c r="J7" s="452">
        <v>144</v>
      </c>
      <c r="K7" s="452">
        <v>40</v>
      </c>
      <c r="L7" s="452">
        <v>2</v>
      </c>
      <c r="M7" s="452">
        <v>4</v>
      </c>
      <c r="N7" s="452">
        <v>19</v>
      </c>
      <c r="O7" s="452">
        <v>6</v>
      </c>
      <c r="P7" s="452">
        <v>14</v>
      </c>
      <c r="Q7" s="452">
        <v>0</v>
      </c>
      <c r="R7" s="452">
        <v>0</v>
      </c>
    </row>
    <row r="8" spans="1:18" ht="9.75" customHeight="1" x14ac:dyDescent="0.25">
      <c r="A8" s="450" t="s">
        <v>2797</v>
      </c>
      <c r="B8" s="451">
        <v>912</v>
      </c>
      <c r="C8" s="452">
        <v>171</v>
      </c>
      <c r="D8" s="452">
        <v>78</v>
      </c>
      <c r="E8" s="452">
        <v>10</v>
      </c>
      <c r="F8" s="452">
        <v>93</v>
      </c>
      <c r="G8" s="452">
        <v>156</v>
      </c>
      <c r="H8" s="452">
        <v>15</v>
      </c>
      <c r="I8" s="452">
        <v>13</v>
      </c>
      <c r="J8" s="452">
        <v>158</v>
      </c>
      <c r="K8" s="452">
        <v>50</v>
      </c>
      <c r="L8" s="452">
        <v>2</v>
      </c>
      <c r="M8" s="452">
        <v>16</v>
      </c>
      <c r="N8" s="452">
        <v>25</v>
      </c>
      <c r="O8" s="452">
        <v>9</v>
      </c>
      <c r="P8" s="452">
        <v>13</v>
      </c>
      <c r="Q8" s="452">
        <v>1</v>
      </c>
      <c r="R8" s="452">
        <v>1</v>
      </c>
    </row>
    <row r="9" spans="1:18" ht="9.75" customHeight="1" x14ac:dyDescent="0.25">
      <c r="A9" s="450" t="s">
        <v>2798</v>
      </c>
      <c r="B9" s="451">
        <v>912</v>
      </c>
      <c r="C9" s="452">
        <v>139</v>
      </c>
      <c r="D9" s="452">
        <v>67</v>
      </c>
      <c r="E9" s="452">
        <v>10</v>
      </c>
      <c r="F9" s="452">
        <v>72</v>
      </c>
      <c r="G9" s="452">
        <v>125</v>
      </c>
      <c r="H9" s="452">
        <v>14</v>
      </c>
      <c r="I9" s="452">
        <v>12</v>
      </c>
      <c r="J9" s="452">
        <v>127</v>
      </c>
      <c r="K9" s="452">
        <v>41</v>
      </c>
      <c r="L9" s="452">
        <v>3</v>
      </c>
      <c r="M9" s="452">
        <v>9</v>
      </c>
      <c r="N9" s="452">
        <v>13</v>
      </c>
      <c r="O9" s="452">
        <v>11</v>
      </c>
      <c r="P9" s="452">
        <v>10</v>
      </c>
      <c r="Q9" s="452">
        <v>0</v>
      </c>
      <c r="R9" s="452">
        <v>0</v>
      </c>
    </row>
    <row r="10" spans="1:18" ht="9.75" customHeight="1" x14ac:dyDescent="0.25">
      <c r="A10" s="450" t="s">
        <v>2799</v>
      </c>
      <c r="B10" s="451">
        <v>885</v>
      </c>
      <c r="C10" s="452">
        <v>184</v>
      </c>
      <c r="D10" s="452">
        <v>63</v>
      </c>
      <c r="E10" s="452">
        <v>9</v>
      </c>
      <c r="F10" s="452">
        <v>121</v>
      </c>
      <c r="G10" s="452">
        <v>171</v>
      </c>
      <c r="H10" s="452">
        <v>13</v>
      </c>
      <c r="I10" s="452">
        <v>13</v>
      </c>
      <c r="J10" s="452">
        <v>171</v>
      </c>
      <c r="K10" s="452">
        <v>48</v>
      </c>
      <c r="L10" s="452">
        <v>4</v>
      </c>
      <c r="M10" s="452">
        <v>3</v>
      </c>
      <c r="N10" s="452">
        <v>23</v>
      </c>
      <c r="O10" s="452">
        <v>3</v>
      </c>
      <c r="P10" s="452">
        <v>17</v>
      </c>
      <c r="Q10" s="452">
        <v>2</v>
      </c>
      <c r="R10" s="452">
        <v>0</v>
      </c>
    </row>
    <row r="11" spans="1:18" ht="9.75" customHeight="1" x14ac:dyDescent="0.25">
      <c r="A11" s="450" t="s">
        <v>2800</v>
      </c>
      <c r="B11" s="451">
        <v>885</v>
      </c>
      <c r="C11" s="452">
        <v>166</v>
      </c>
      <c r="D11" s="452">
        <v>71</v>
      </c>
      <c r="E11" s="452">
        <v>16</v>
      </c>
      <c r="F11" s="452">
        <v>95</v>
      </c>
      <c r="G11" s="452">
        <v>144</v>
      </c>
      <c r="H11" s="452">
        <v>22</v>
      </c>
      <c r="I11" s="452">
        <v>20</v>
      </c>
      <c r="J11" s="452">
        <v>146</v>
      </c>
      <c r="K11" s="452">
        <v>36</v>
      </c>
      <c r="L11" s="452">
        <v>4</v>
      </c>
      <c r="M11" s="452">
        <v>5</v>
      </c>
      <c r="N11" s="452">
        <v>24</v>
      </c>
      <c r="O11" s="452">
        <v>6</v>
      </c>
      <c r="P11" s="452">
        <v>8</v>
      </c>
      <c r="Q11" s="452">
        <v>0</v>
      </c>
      <c r="R11" s="452">
        <v>0</v>
      </c>
    </row>
    <row r="12" spans="1:18" ht="9.75" customHeight="1" x14ac:dyDescent="0.25">
      <c r="A12" s="450" t="s">
        <v>2801</v>
      </c>
      <c r="B12" s="451">
        <v>885</v>
      </c>
      <c r="C12" s="452">
        <v>157</v>
      </c>
      <c r="D12" s="452">
        <v>73</v>
      </c>
      <c r="E12" s="452">
        <v>9</v>
      </c>
      <c r="F12" s="452">
        <v>84</v>
      </c>
      <c r="G12" s="452">
        <v>143</v>
      </c>
      <c r="H12" s="452">
        <v>14</v>
      </c>
      <c r="I12" s="452">
        <v>12</v>
      </c>
      <c r="J12" s="452">
        <v>145</v>
      </c>
      <c r="K12" s="452">
        <v>34</v>
      </c>
      <c r="L12" s="452">
        <v>3</v>
      </c>
      <c r="M12" s="452">
        <v>6</v>
      </c>
      <c r="N12" s="452">
        <v>19</v>
      </c>
      <c r="O12" s="452">
        <v>2</v>
      </c>
      <c r="P12" s="452">
        <v>15</v>
      </c>
      <c r="Q12" s="452">
        <v>0</v>
      </c>
      <c r="R12" s="452">
        <v>0</v>
      </c>
    </row>
    <row r="13" spans="1:18" ht="9.75" customHeight="1" x14ac:dyDescent="0.25">
      <c r="A13" s="450" t="s">
        <v>2802</v>
      </c>
      <c r="B13" s="451">
        <v>885</v>
      </c>
      <c r="C13" s="452">
        <v>227</v>
      </c>
      <c r="D13" s="452">
        <v>91</v>
      </c>
      <c r="E13" s="452">
        <v>15</v>
      </c>
      <c r="F13" s="452">
        <v>136</v>
      </c>
      <c r="G13" s="452">
        <v>211</v>
      </c>
      <c r="H13" s="452">
        <v>16</v>
      </c>
      <c r="I13" s="452">
        <v>15</v>
      </c>
      <c r="J13" s="452">
        <v>212</v>
      </c>
      <c r="K13" s="452">
        <v>45</v>
      </c>
      <c r="L13" s="452">
        <v>1</v>
      </c>
      <c r="M13" s="452">
        <v>9</v>
      </c>
      <c r="N13" s="452">
        <v>34</v>
      </c>
      <c r="O13" s="452">
        <v>2</v>
      </c>
      <c r="P13" s="452">
        <v>24</v>
      </c>
      <c r="Q13" s="452">
        <v>0</v>
      </c>
      <c r="R13" s="452">
        <v>1</v>
      </c>
    </row>
    <row r="14" spans="1:18" ht="9.75" customHeight="1" x14ac:dyDescent="0.25">
      <c r="A14" s="450" t="s">
        <v>2803</v>
      </c>
      <c r="B14" s="451">
        <v>885</v>
      </c>
      <c r="C14" s="452">
        <v>223</v>
      </c>
      <c r="D14" s="452">
        <v>78</v>
      </c>
      <c r="E14" s="452">
        <v>21</v>
      </c>
      <c r="F14" s="452">
        <v>145</v>
      </c>
      <c r="G14" s="452">
        <v>189</v>
      </c>
      <c r="H14" s="452">
        <v>34</v>
      </c>
      <c r="I14" s="452">
        <v>24</v>
      </c>
      <c r="J14" s="452">
        <v>199</v>
      </c>
      <c r="K14" s="452">
        <v>60</v>
      </c>
      <c r="L14" s="452">
        <v>3</v>
      </c>
      <c r="M14" s="452">
        <v>7</v>
      </c>
      <c r="N14" s="452">
        <v>22</v>
      </c>
      <c r="O14" s="452">
        <v>9</v>
      </c>
      <c r="P14" s="452">
        <v>11</v>
      </c>
      <c r="Q14" s="452">
        <v>1</v>
      </c>
      <c r="R14" s="452">
        <v>0</v>
      </c>
    </row>
    <row r="15" spans="1:18" ht="9.75" customHeight="1" x14ac:dyDescent="0.25">
      <c r="A15" s="450" t="s">
        <v>2804</v>
      </c>
      <c r="B15" s="451">
        <v>885</v>
      </c>
      <c r="C15" s="452">
        <v>175</v>
      </c>
      <c r="D15" s="452">
        <v>71</v>
      </c>
      <c r="E15" s="452">
        <v>23</v>
      </c>
      <c r="F15" s="452">
        <v>104</v>
      </c>
      <c r="G15" s="452">
        <v>145</v>
      </c>
      <c r="H15" s="452">
        <v>30</v>
      </c>
      <c r="I15" s="452">
        <v>27</v>
      </c>
      <c r="J15" s="452">
        <v>148</v>
      </c>
      <c r="K15" s="452">
        <v>35</v>
      </c>
      <c r="L15" s="452">
        <v>1</v>
      </c>
      <c r="M15" s="452">
        <v>7</v>
      </c>
      <c r="N15" s="452">
        <v>20</v>
      </c>
      <c r="O15" s="452">
        <v>8</v>
      </c>
      <c r="P15" s="452">
        <v>15</v>
      </c>
      <c r="Q15" s="452">
        <v>1</v>
      </c>
      <c r="R15" s="452">
        <v>1</v>
      </c>
    </row>
    <row r="16" spans="1:18" ht="9.75" customHeight="1" x14ac:dyDescent="0.25">
      <c r="A16" s="451" t="s">
        <v>2805</v>
      </c>
      <c r="B16" s="453">
        <f t="shared" ref="B16:R16" si="0">IF(AVERAGE(B12:B14)&lt;&gt;0, ((B15/AVERAGE(B12:B14))-1), IF(B15=0,0,1))</f>
        <v>0</v>
      </c>
      <c r="C16" s="453">
        <f t="shared" si="0"/>
        <v>-0.13509060955518948</v>
      </c>
      <c r="D16" s="453">
        <f t="shared" si="0"/>
        <v>-0.1198347107438017</v>
      </c>
      <c r="E16" s="453">
        <f t="shared" si="0"/>
        <v>0.53333333333333344</v>
      </c>
      <c r="F16" s="453">
        <f t="shared" si="0"/>
        <v>-0.14520547945205486</v>
      </c>
      <c r="G16" s="453">
        <f t="shared" si="0"/>
        <v>-0.19889502762430944</v>
      </c>
      <c r="H16" s="453">
        <f t="shared" si="0"/>
        <v>0.40625</v>
      </c>
      <c r="I16" s="453">
        <f t="shared" si="0"/>
        <v>0.58823529411764697</v>
      </c>
      <c r="J16" s="453">
        <f t="shared" si="0"/>
        <v>-0.20143884892086339</v>
      </c>
      <c r="K16" s="453">
        <f t="shared" si="0"/>
        <v>-0.24460431654676262</v>
      </c>
      <c r="L16" s="453">
        <f t="shared" si="0"/>
        <v>-0.5714285714285714</v>
      </c>
      <c r="M16" s="453">
        <f t="shared" si="0"/>
        <v>-4.5454545454545414E-2</v>
      </c>
      <c r="N16" s="453">
        <f t="shared" si="0"/>
        <v>-0.19999999999999996</v>
      </c>
      <c r="O16" s="453">
        <f t="shared" si="0"/>
        <v>0.84615384615384626</v>
      </c>
      <c r="P16" s="453">
        <f t="shared" si="0"/>
        <v>-0.10000000000000009</v>
      </c>
      <c r="Q16" s="453">
        <f t="shared" si="0"/>
        <v>2</v>
      </c>
      <c r="R16" s="453">
        <f t="shared" si="0"/>
        <v>2</v>
      </c>
    </row>
    <row r="17" spans="1:18" ht="9.75" customHeight="1" x14ac:dyDescent="0.25">
      <c r="A17" s="451" t="s">
        <v>2806</v>
      </c>
      <c r="B17" s="453">
        <f t="shared" ref="B17:R17" si="1">IF(AVERAGE(B4:B14)&lt;&gt;0, ((B15/AVERAGE(B4:B14))-1), IF(B15=0,0,1))</f>
        <v>-1.8945883301420996E-2</v>
      </c>
      <c r="C17" s="453">
        <f t="shared" si="1"/>
        <v>1.1560693641618602E-2</v>
      </c>
      <c r="D17" s="453">
        <f t="shared" si="1"/>
        <v>-0.10126582278481011</v>
      </c>
      <c r="E17" s="453">
        <f t="shared" si="1"/>
        <v>1.0569105691056913</v>
      </c>
      <c r="F17" s="453">
        <f t="shared" si="1"/>
        <v>0.1063829787234043</v>
      </c>
      <c r="G17" s="453">
        <f t="shared" si="1"/>
        <v>-5.7885410513880631E-2</v>
      </c>
      <c r="H17" s="453">
        <f t="shared" si="1"/>
        <v>0.57142857142857162</v>
      </c>
      <c r="I17" s="453">
        <f t="shared" si="1"/>
        <v>0.98</v>
      </c>
      <c r="J17" s="453">
        <f t="shared" si="1"/>
        <v>-7.1306332002281869E-2</v>
      </c>
      <c r="K17" s="453">
        <f t="shared" si="1"/>
        <v>-0.18432203389830504</v>
      </c>
      <c r="L17" s="453">
        <f t="shared" si="1"/>
        <v>-0.64516129032258074</v>
      </c>
      <c r="M17" s="453">
        <f t="shared" si="1"/>
        <v>0.11594202898550732</v>
      </c>
      <c r="N17" s="453">
        <f t="shared" si="1"/>
        <v>-0.10204081632653061</v>
      </c>
      <c r="O17" s="453">
        <f t="shared" si="1"/>
        <v>0.41935483870967727</v>
      </c>
      <c r="P17" s="453">
        <f t="shared" si="1"/>
        <v>9.27152317880795E-2</v>
      </c>
      <c r="Q17" s="453">
        <f t="shared" si="1"/>
        <v>1.75</v>
      </c>
      <c r="R17" s="453">
        <f t="shared" si="1"/>
        <v>4.5</v>
      </c>
    </row>
    <row r="18" spans="1:18" ht="9.75" customHeight="1" x14ac:dyDescent="0.25">
      <c r="A18" s="451" t="s">
        <v>2807</v>
      </c>
      <c r="B18" s="454">
        <f t="shared" ref="B18:R18" si="2">AVERAGE(B12:B14)</f>
        <v>885</v>
      </c>
      <c r="C18" s="454">
        <f t="shared" si="2"/>
        <v>202.33333333333334</v>
      </c>
      <c r="D18" s="454">
        <f t="shared" si="2"/>
        <v>80.666666666666671</v>
      </c>
      <c r="E18" s="454">
        <f t="shared" si="2"/>
        <v>15</v>
      </c>
      <c r="F18" s="454">
        <f t="shared" si="2"/>
        <v>121.66666666666667</v>
      </c>
      <c r="G18" s="454">
        <f t="shared" si="2"/>
        <v>181</v>
      </c>
      <c r="H18" s="454">
        <f t="shared" si="2"/>
        <v>21.333333333333332</v>
      </c>
      <c r="I18" s="454">
        <f t="shared" si="2"/>
        <v>17</v>
      </c>
      <c r="J18" s="454">
        <f t="shared" si="2"/>
        <v>185.33333333333334</v>
      </c>
      <c r="K18" s="454">
        <f t="shared" si="2"/>
        <v>46.333333333333336</v>
      </c>
      <c r="L18" s="454">
        <f t="shared" si="2"/>
        <v>2.3333333333333335</v>
      </c>
      <c r="M18" s="454">
        <f t="shared" si="2"/>
        <v>7.333333333333333</v>
      </c>
      <c r="N18" s="454">
        <f t="shared" si="2"/>
        <v>25</v>
      </c>
      <c r="O18" s="454">
        <f t="shared" si="2"/>
        <v>4.333333333333333</v>
      </c>
      <c r="P18" s="454">
        <f t="shared" si="2"/>
        <v>16.666666666666668</v>
      </c>
      <c r="Q18" s="454">
        <f t="shared" si="2"/>
        <v>0.33333333333333331</v>
      </c>
      <c r="R18" s="454">
        <f t="shared" si="2"/>
        <v>0.33333333333333331</v>
      </c>
    </row>
    <row r="19" spans="1:18" ht="9.75" customHeight="1" x14ac:dyDescent="0.25">
      <c r="A19" s="451" t="s">
        <v>2808</v>
      </c>
      <c r="B19" s="451">
        <f t="shared" ref="B19:R19" si="3">SUM(B4:B15)</f>
        <v>10808</v>
      </c>
      <c r="C19" s="452">
        <f t="shared" si="3"/>
        <v>2078</v>
      </c>
      <c r="D19" s="452">
        <f t="shared" si="3"/>
        <v>940</v>
      </c>
      <c r="E19" s="452">
        <f t="shared" si="3"/>
        <v>146</v>
      </c>
      <c r="F19" s="452">
        <f t="shared" si="3"/>
        <v>1138</v>
      </c>
      <c r="G19" s="452">
        <f t="shared" si="3"/>
        <v>1838</v>
      </c>
      <c r="H19" s="452">
        <f t="shared" si="3"/>
        <v>240</v>
      </c>
      <c r="I19" s="452">
        <f t="shared" si="3"/>
        <v>177</v>
      </c>
      <c r="J19" s="452">
        <f t="shared" si="3"/>
        <v>1901</v>
      </c>
      <c r="K19" s="452">
        <f t="shared" si="3"/>
        <v>507</v>
      </c>
      <c r="L19" s="452">
        <f t="shared" si="3"/>
        <v>32</v>
      </c>
      <c r="M19" s="452">
        <f t="shared" si="3"/>
        <v>76</v>
      </c>
      <c r="N19" s="452">
        <f t="shared" si="3"/>
        <v>265</v>
      </c>
      <c r="O19" s="452">
        <f t="shared" si="3"/>
        <v>70</v>
      </c>
      <c r="P19" s="452">
        <f t="shared" si="3"/>
        <v>166</v>
      </c>
      <c r="Q19" s="452">
        <f t="shared" si="3"/>
        <v>5</v>
      </c>
      <c r="R19" s="452">
        <f t="shared" si="3"/>
        <v>3</v>
      </c>
    </row>
    <row r="20" spans="1:18" ht="33" customHeight="1" x14ac:dyDescent="0.25">
      <c r="A20" s="449"/>
      <c r="B20" s="449" t="s">
        <v>2809</v>
      </c>
      <c r="C20" s="449" t="s">
        <v>2810</v>
      </c>
      <c r="D20" s="449" t="s">
        <v>2811</v>
      </c>
      <c r="E20" s="449" t="s">
        <v>2812</v>
      </c>
      <c r="F20" s="449" t="s">
        <v>2813</v>
      </c>
      <c r="G20" s="449" t="s">
        <v>2814</v>
      </c>
      <c r="H20" s="449" t="s">
        <v>2815</v>
      </c>
      <c r="I20" s="449" t="s">
        <v>2816</v>
      </c>
      <c r="J20" s="449" t="s">
        <v>2817</v>
      </c>
      <c r="K20" s="449" t="s">
        <v>2818</v>
      </c>
      <c r="L20" s="449" t="s">
        <v>2819</v>
      </c>
      <c r="M20" s="449" t="s">
        <v>2820</v>
      </c>
      <c r="N20" s="449" t="s">
        <v>2821</v>
      </c>
      <c r="O20" s="449" t="s">
        <v>2822</v>
      </c>
      <c r="P20" s="449" t="s">
        <v>2823</v>
      </c>
      <c r="Q20" s="449" t="s">
        <v>2824</v>
      </c>
      <c r="R20" s="449" t="s">
        <v>2825</v>
      </c>
    </row>
    <row r="21" spans="1:18" ht="9.75" customHeight="1" x14ac:dyDescent="0.25">
      <c r="A21" s="450" t="s">
        <v>2826</v>
      </c>
      <c r="B21" s="452">
        <v>5</v>
      </c>
      <c r="C21" s="452">
        <v>3</v>
      </c>
      <c r="D21" s="452">
        <v>2</v>
      </c>
      <c r="E21" s="452">
        <v>0</v>
      </c>
      <c r="F21" s="452">
        <v>2</v>
      </c>
      <c r="G21" s="452">
        <v>35</v>
      </c>
      <c r="H21" s="452">
        <v>1</v>
      </c>
      <c r="I21" s="452">
        <v>17</v>
      </c>
      <c r="J21" s="452">
        <v>0</v>
      </c>
      <c r="K21" s="452">
        <v>11</v>
      </c>
      <c r="L21" s="452">
        <v>418</v>
      </c>
      <c r="M21" s="452">
        <v>10</v>
      </c>
      <c r="N21" s="453">
        <f t="shared" ref="N21:N32" si="4">IF(B4=0,0,(K21/B4))</f>
        <v>1.1891891891891892E-2</v>
      </c>
      <c r="O21" s="454">
        <f t="shared" ref="O21:O32" si="5">IF(B4=0,0,(C4/B4))</f>
        <v>0.21081081081081082</v>
      </c>
      <c r="P21" s="454">
        <f t="shared" ref="P21:P32" si="6">IF(K21=0,0,(C4/K21))</f>
        <v>17.727272727272727</v>
      </c>
      <c r="Q21" s="453">
        <f t="shared" ref="Q21:Q32" si="7">IF(C4=0,0,(G4/C4))</f>
        <v>0.9128205128205128</v>
      </c>
      <c r="R21" s="453">
        <f t="shared" ref="R21:R32" si="8">IF(C4=0,0,(I4/C4))</f>
        <v>8.2051282051282051E-2</v>
      </c>
    </row>
    <row r="22" spans="1:18" ht="9.75" customHeight="1" x14ac:dyDescent="0.25">
      <c r="A22" s="450" t="s">
        <v>2827</v>
      </c>
      <c r="B22" s="452">
        <v>4</v>
      </c>
      <c r="C22" s="452">
        <v>4</v>
      </c>
      <c r="D22" s="452">
        <v>1</v>
      </c>
      <c r="E22" s="452">
        <v>0</v>
      </c>
      <c r="F22" s="452">
        <v>1</v>
      </c>
      <c r="G22" s="452">
        <v>20</v>
      </c>
      <c r="H22" s="452">
        <v>1</v>
      </c>
      <c r="I22" s="452">
        <v>9</v>
      </c>
      <c r="J22" s="452">
        <v>0</v>
      </c>
      <c r="K22" s="452">
        <v>8</v>
      </c>
      <c r="L22" s="452">
        <v>409</v>
      </c>
      <c r="M22" s="452">
        <v>8</v>
      </c>
      <c r="N22" s="453">
        <f t="shared" si="4"/>
        <v>8.6486486486486488E-3</v>
      </c>
      <c r="O22" s="454">
        <f t="shared" si="5"/>
        <v>0.1264864864864865</v>
      </c>
      <c r="P22" s="454">
        <f t="shared" si="6"/>
        <v>14.625</v>
      </c>
      <c r="Q22" s="453">
        <f t="shared" si="7"/>
        <v>0.93162393162393164</v>
      </c>
      <c r="R22" s="453">
        <f t="shared" si="8"/>
        <v>6.8376068376068383E-2</v>
      </c>
    </row>
    <row r="23" spans="1:18" ht="9.75" customHeight="1" x14ac:dyDescent="0.25">
      <c r="A23" s="450" t="s">
        <v>2828</v>
      </c>
      <c r="B23" s="452">
        <v>5</v>
      </c>
      <c r="C23" s="452">
        <v>4</v>
      </c>
      <c r="D23" s="452">
        <v>3</v>
      </c>
      <c r="E23" s="452">
        <v>0</v>
      </c>
      <c r="F23" s="452">
        <v>3</v>
      </c>
      <c r="G23" s="452">
        <v>28</v>
      </c>
      <c r="H23" s="452">
        <v>0</v>
      </c>
      <c r="I23" s="452">
        <v>18</v>
      </c>
      <c r="J23" s="452">
        <v>0</v>
      </c>
      <c r="K23" s="452">
        <v>18</v>
      </c>
      <c r="L23" s="452">
        <v>447</v>
      </c>
      <c r="M23" s="452">
        <v>8</v>
      </c>
      <c r="N23" s="453">
        <f t="shared" si="4"/>
        <v>1.9736842105263157E-2</v>
      </c>
      <c r="O23" s="454">
        <f t="shared" si="5"/>
        <v>0.18969298245614036</v>
      </c>
      <c r="P23" s="454">
        <f t="shared" si="6"/>
        <v>9.6111111111111107</v>
      </c>
      <c r="Q23" s="453">
        <f t="shared" si="7"/>
        <v>0.87283236994219648</v>
      </c>
      <c r="R23" s="453">
        <f t="shared" si="8"/>
        <v>5.7803468208092484E-2</v>
      </c>
    </row>
    <row r="24" spans="1:18" ht="9.75" customHeight="1" x14ac:dyDescent="0.25">
      <c r="A24" s="450" t="s">
        <v>2829</v>
      </c>
      <c r="B24" s="452">
        <v>6</v>
      </c>
      <c r="C24" s="452">
        <v>4</v>
      </c>
      <c r="D24" s="452">
        <v>1</v>
      </c>
      <c r="E24" s="452">
        <v>0</v>
      </c>
      <c r="F24" s="452">
        <v>1</v>
      </c>
      <c r="G24" s="452">
        <v>25</v>
      </c>
      <c r="H24" s="452">
        <v>0</v>
      </c>
      <c r="I24" s="452">
        <v>13</v>
      </c>
      <c r="J24" s="452">
        <v>0</v>
      </c>
      <c r="K24" s="452">
        <v>16</v>
      </c>
      <c r="L24" s="452">
        <v>474</v>
      </c>
      <c r="M24" s="452">
        <v>6</v>
      </c>
      <c r="N24" s="453">
        <f t="shared" si="4"/>
        <v>1.7543859649122806E-2</v>
      </c>
      <c r="O24" s="454">
        <f t="shared" si="5"/>
        <v>0.16557017543859648</v>
      </c>
      <c r="P24" s="454">
        <f t="shared" si="6"/>
        <v>9.4375</v>
      </c>
      <c r="Q24" s="453">
        <f t="shared" si="7"/>
        <v>0.76821192052980136</v>
      </c>
      <c r="R24" s="453">
        <f t="shared" si="8"/>
        <v>4.6357615894039736E-2</v>
      </c>
    </row>
    <row r="25" spans="1:18" ht="9.75" customHeight="1" x14ac:dyDescent="0.25">
      <c r="A25" s="450" t="s">
        <v>2830</v>
      </c>
      <c r="B25" s="452">
        <v>5</v>
      </c>
      <c r="C25" s="452">
        <v>5</v>
      </c>
      <c r="D25" s="452">
        <v>1</v>
      </c>
      <c r="E25" s="452">
        <v>0</v>
      </c>
      <c r="F25" s="452">
        <v>1</v>
      </c>
      <c r="G25" s="452">
        <v>19</v>
      </c>
      <c r="H25" s="452">
        <v>1</v>
      </c>
      <c r="I25" s="452">
        <v>19</v>
      </c>
      <c r="J25" s="452">
        <v>0</v>
      </c>
      <c r="K25" s="452">
        <v>15</v>
      </c>
      <c r="L25" s="452">
        <v>452</v>
      </c>
      <c r="M25" s="452">
        <v>13</v>
      </c>
      <c r="N25" s="453">
        <f t="shared" si="4"/>
        <v>1.6447368421052631E-2</v>
      </c>
      <c r="O25" s="454">
        <f t="shared" si="5"/>
        <v>0.1875</v>
      </c>
      <c r="P25" s="454">
        <f t="shared" si="6"/>
        <v>11.4</v>
      </c>
      <c r="Q25" s="453">
        <f t="shared" si="7"/>
        <v>0.91228070175438591</v>
      </c>
      <c r="R25" s="453">
        <f t="shared" si="8"/>
        <v>7.6023391812865493E-2</v>
      </c>
    </row>
    <row r="26" spans="1:18" ht="9.75" customHeight="1" x14ac:dyDescent="0.25">
      <c r="A26" s="450" t="s">
        <v>2831</v>
      </c>
      <c r="B26" s="452">
        <v>3</v>
      </c>
      <c r="C26" s="452">
        <v>3</v>
      </c>
      <c r="D26" s="452">
        <v>3</v>
      </c>
      <c r="E26" s="452">
        <v>1</v>
      </c>
      <c r="F26" s="452">
        <v>2</v>
      </c>
      <c r="G26" s="452">
        <v>17</v>
      </c>
      <c r="H26" s="452">
        <v>0</v>
      </c>
      <c r="I26" s="452">
        <v>13</v>
      </c>
      <c r="J26" s="452">
        <v>0</v>
      </c>
      <c r="K26" s="452">
        <v>12</v>
      </c>
      <c r="L26" s="452">
        <v>480</v>
      </c>
      <c r="M26" s="452">
        <v>10</v>
      </c>
      <c r="N26" s="453">
        <f t="shared" si="4"/>
        <v>1.3157894736842105E-2</v>
      </c>
      <c r="O26" s="454">
        <f t="shared" si="5"/>
        <v>0.15241228070175439</v>
      </c>
      <c r="P26" s="454">
        <f t="shared" si="6"/>
        <v>11.583333333333334</v>
      </c>
      <c r="Q26" s="453">
        <f t="shared" si="7"/>
        <v>0.89928057553956831</v>
      </c>
      <c r="R26" s="453">
        <f t="shared" si="8"/>
        <v>8.6330935251798566E-2</v>
      </c>
    </row>
    <row r="27" spans="1:18" ht="9.75" customHeight="1" x14ac:dyDescent="0.25">
      <c r="A27" s="450" t="s">
        <v>2832</v>
      </c>
      <c r="B27" s="452">
        <v>4</v>
      </c>
      <c r="C27" s="452">
        <v>5</v>
      </c>
      <c r="D27" s="452">
        <v>1</v>
      </c>
      <c r="E27" s="452">
        <v>0</v>
      </c>
      <c r="F27" s="452">
        <v>1</v>
      </c>
      <c r="G27" s="452">
        <v>26</v>
      </c>
      <c r="H27" s="452">
        <v>3</v>
      </c>
      <c r="I27" s="452">
        <v>18</v>
      </c>
      <c r="J27" s="452">
        <v>0</v>
      </c>
      <c r="K27" s="452">
        <v>9</v>
      </c>
      <c r="L27" s="452">
        <v>459</v>
      </c>
      <c r="M27" s="452">
        <v>9</v>
      </c>
      <c r="N27" s="453">
        <f t="shared" si="4"/>
        <v>1.0169491525423728E-2</v>
      </c>
      <c r="O27" s="454">
        <f t="shared" si="5"/>
        <v>0.207909604519774</v>
      </c>
      <c r="P27" s="454">
        <f t="shared" si="6"/>
        <v>20.444444444444443</v>
      </c>
      <c r="Q27" s="453">
        <f t="shared" si="7"/>
        <v>0.92934782608695654</v>
      </c>
      <c r="R27" s="453">
        <f t="shared" si="8"/>
        <v>7.0652173913043473E-2</v>
      </c>
    </row>
    <row r="28" spans="1:18" ht="9.75" customHeight="1" x14ac:dyDescent="0.25">
      <c r="A28" s="450" t="s">
        <v>2833</v>
      </c>
      <c r="B28" s="452">
        <v>7</v>
      </c>
      <c r="C28" s="452">
        <v>5</v>
      </c>
      <c r="D28" s="452">
        <v>0</v>
      </c>
      <c r="E28" s="452">
        <v>0</v>
      </c>
      <c r="F28" s="452">
        <v>0</v>
      </c>
      <c r="G28" s="452">
        <v>24</v>
      </c>
      <c r="H28" s="452">
        <v>0</v>
      </c>
      <c r="I28" s="452">
        <v>20</v>
      </c>
      <c r="J28" s="452">
        <v>0</v>
      </c>
      <c r="K28" s="452">
        <v>16</v>
      </c>
      <c r="L28" s="452">
        <v>500</v>
      </c>
      <c r="M28" s="452">
        <v>15</v>
      </c>
      <c r="N28" s="453">
        <f t="shared" si="4"/>
        <v>1.8079096045197741E-2</v>
      </c>
      <c r="O28" s="454">
        <f t="shared" si="5"/>
        <v>0.18757062146892656</v>
      </c>
      <c r="P28" s="454">
        <f t="shared" si="6"/>
        <v>10.375</v>
      </c>
      <c r="Q28" s="453">
        <f t="shared" si="7"/>
        <v>0.86746987951807231</v>
      </c>
      <c r="R28" s="453">
        <f t="shared" si="8"/>
        <v>0.12048192771084337</v>
      </c>
    </row>
    <row r="29" spans="1:18" ht="9.75" customHeight="1" x14ac:dyDescent="0.25">
      <c r="A29" s="450" t="s">
        <v>2834</v>
      </c>
      <c r="B29" s="452">
        <v>5</v>
      </c>
      <c r="C29" s="452">
        <v>5</v>
      </c>
      <c r="D29" s="452">
        <v>0</v>
      </c>
      <c r="E29" s="452">
        <v>0</v>
      </c>
      <c r="F29" s="452">
        <v>0</v>
      </c>
      <c r="G29" s="452">
        <v>34</v>
      </c>
      <c r="H29" s="452">
        <v>2</v>
      </c>
      <c r="I29" s="452">
        <v>12</v>
      </c>
      <c r="J29" s="452">
        <v>0</v>
      </c>
      <c r="K29" s="452">
        <v>13</v>
      </c>
      <c r="L29" s="452">
        <v>467</v>
      </c>
      <c r="M29" s="452">
        <v>11</v>
      </c>
      <c r="N29" s="453">
        <f t="shared" si="4"/>
        <v>1.4689265536723164E-2</v>
      </c>
      <c r="O29" s="454">
        <f t="shared" si="5"/>
        <v>0.17740112994350282</v>
      </c>
      <c r="P29" s="454">
        <f t="shared" si="6"/>
        <v>12.076923076923077</v>
      </c>
      <c r="Q29" s="453">
        <f t="shared" si="7"/>
        <v>0.91082802547770703</v>
      </c>
      <c r="R29" s="453">
        <f t="shared" si="8"/>
        <v>7.6433121019108277E-2</v>
      </c>
    </row>
    <row r="30" spans="1:18" ht="9.75" customHeight="1" x14ac:dyDescent="0.25">
      <c r="A30" s="450" t="s">
        <v>2835</v>
      </c>
      <c r="B30" s="452">
        <v>9</v>
      </c>
      <c r="C30" s="452">
        <v>6</v>
      </c>
      <c r="D30" s="452">
        <v>0</v>
      </c>
      <c r="E30" s="452">
        <v>0</v>
      </c>
      <c r="F30" s="452">
        <v>0</v>
      </c>
      <c r="G30" s="452">
        <v>37</v>
      </c>
      <c r="H30" s="452">
        <v>1</v>
      </c>
      <c r="I30" s="452">
        <v>30</v>
      </c>
      <c r="J30" s="452">
        <v>0</v>
      </c>
      <c r="K30" s="452">
        <v>14</v>
      </c>
      <c r="L30" s="452">
        <v>449</v>
      </c>
      <c r="M30" s="452">
        <v>13</v>
      </c>
      <c r="N30" s="453">
        <f t="shared" si="4"/>
        <v>1.5819209039548022E-2</v>
      </c>
      <c r="O30" s="454">
        <f t="shared" si="5"/>
        <v>0.25649717514124293</v>
      </c>
      <c r="P30" s="454">
        <f t="shared" si="6"/>
        <v>16.214285714285715</v>
      </c>
      <c r="Q30" s="453">
        <f t="shared" si="7"/>
        <v>0.92951541850220265</v>
      </c>
      <c r="R30" s="453">
        <f t="shared" si="8"/>
        <v>6.6079295154185022E-2</v>
      </c>
    </row>
    <row r="31" spans="1:18" ht="9.75" customHeight="1" x14ac:dyDescent="0.25">
      <c r="A31" s="450" t="s">
        <v>2836</v>
      </c>
      <c r="B31" s="452">
        <v>7</v>
      </c>
      <c r="C31" s="452">
        <v>6</v>
      </c>
      <c r="D31" s="452">
        <v>2</v>
      </c>
      <c r="E31" s="452">
        <v>2</v>
      </c>
      <c r="F31" s="452">
        <v>0</v>
      </c>
      <c r="G31" s="452">
        <v>33</v>
      </c>
      <c r="H31" s="452">
        <v>0</v>
      </c>
      <c r="I31" s="452">
        <v>14</v>
      </c>
      <c r="J31" s="452">
        <v>0</v>
      </c>
      <c r="K31" s="452">
        <v>23</v>
      </c>
      <c r="L31" s="452">
        <v>436</v>
      </c>
      <c r="M31" s="452">
        <v>20</v>
      </c>
      <c r="N31" s="453">
        <f t="shared" si="4"/>
        <v>2.598870056497175E-2</v>
      </c>
      <c r="O31" s="454">
        <f t="shared" si="5"/>
        <v>0.25197740112994349</v>
      </c>
      <c r="P31" s="454">
        <f t="shared" si="6"/>
        <v>9.695652173913043</v>
      </c>
      <c r="Q31" s="453">
        <f t="shared" si="7"/>
        <v>0.84753363228699552</v>
      </c>
      <c r="R31" s="453">
        <f t="shared" si="8"/>
        <v>0.10762331838565023</v>
      </c>
    </row>
    <row r="32" spans="1:18" ht="9.75" customHeight="1" x14ac:dyDescent="0.25">
      <c r="A32" s="450" t="s">
        <v>2837</v>
      </c>
      <c r="B32" s="452">
        <v>5</v>
      </c>
      <c r="C32" s="452">
        <v>8</v>
      </c>
      <c r="D32" s="452">
        <v>2</v>
      </c>
      <c r="E32" s="452">
        <v>0</v>
      </c>
      <c r="F32" s="452">
        <v>2</v>
      </c>
      <c r="G32" s="452">
        <v>26</v>
      </c>
      <c r="H32" s="452">
        <v>0</v>
      </c>
      <c r="I32" s="452">
        <v>14</v>
      </c>
      <c r="J32" s="452">
        <v>0</v>
      </c>
      <c r="K32" s="452">
        <v>19</v>
      </c>
      <c r="L32" s="452">
        <v>394</v>
      </c>
      <c r="M32" s="452">
        <v>19</v>
      </c>
      <c r="N32" s="453">
        <f t="shared" si="4"/>
        <v>2.1468926553672316E-2</v>
      </c>
      <c r="O32" s="454">
        <f t="shared" si="5"/>
        <v>0.19774011299435029</v>
      </c>
      <c r="P32" s="454">
        <f t="shared" si="6"/>
        <v>9.2105263157894743</v>
      </c>
      <c r="Q32" s="453">
        <f t="shared" si="7"/>
        <v>0.82857142857142863</v>
      </c>
      <c r="R32" s="453">
        <f t="shared" si="8"/>
        <v>0.15428571428571428</v>
      </c>
    </row>
    <row r="33" spans="1:18" ht="9.75" customHeight="1" x14ac:dyDescent="0.25">
      <c r="A33" s="451" t="s">
        <v>2805</v>
      </c>
      <c r="B33" s="453">
        <f t="shared" ref="B33:R33" si="9">IF(AVERAGE(B29:B31)&lt;&gt;0, ((B32/AVERAGE(B29:B31))-1), IF(B32=0,0,1))</f>
        <v>-0.2857142857142857</v>
      </c>
      <c r="C33" s="453">
        <f t="shared" si="9"/>
        <v>0.41176470588235281</v>
      </c>
      <c r="D33" s="453">
        <f t="shared" si="9"/>
        <v>2</v>
      </c>
      <c r="E33" s="453">
        <f t="shared" si="9"/>
        <v>-1</v>
      </c>
      <c r="F33" s="453">
        <f t="shared" si="9"/>
        <v>1</v>
      </c>
      <c r="G33" s="453">
        <f t="shared" si="9"/>
        <v>-0.25</v>
      </c>
      <c r="H33" s="453">
        <f t="shared" si="9"/>
        <v>-1</v>
      </c>
      <c r="I33" s="453">
        <f t="shared" si="9"/>
        <v>-0.25</v>
      </c>
      <c r="J33" s="453">
        <f t="shared" si="9"/>
        <v>0</v>
      </c>
      <c r="K33" s="453">
        <f t="shared" si="9"/>
        <v>0.1399999999999999</v>
      </c>
      <c r="L33" s="453">
        <f t="shared" si="9"/>
        <v>-0.12573964497041423</v>
      </c>
      <c r="M33" s="453">
        <f t="shared" si="9"/>
        <v>0.29545454545454541</v>
      </c>
      <c r="N33" s="453">
        <f t="shared" si="9"/>
        <v>0.14000000000000012</v>
      </c>
      <c r="O33" s="453">
        <f t="shared" si="9"/>
        <v>-0.13509060955518937</v>
      </c>
      <c r="P33" s="453">
        <f t="shared" si="9"/>
        <v>-0.27260167738685381</v>
      </c>
      <c r="Q33" s="453">
        <f t="shared" si="9"/>
        <v>-7.5212811008975033E-2</v>
      </c>
      <c r="R33" s="453">
        <f t="shared" si="9"/>
        <v>0.85042390553786418</v>
      </c>
    </row>
    <row r="34" spans="1:18" ht="9.75" customHeight="1" x14ac:dyDescent="0.25">
      <c r="A34" s="451" t="s">
        <v>2806</v>
      </c>
      <c r="B34" s="453">
        <f t="shared" ref="B34:R34" si="10">IF(AVERAGE(B21:B31)&lt;&gt;0, ((B32/AVERAGE(B21:B31))-1), IF(B32=0,0,1))</f>
        <v>-8.3333333333333259E-2</v>
      </c>
      <c r="C34" s="453">
        <f t="shared" si="10"/>
        <v>0.75999999999999979</v>
      </c>
      <c r="D34" s="453">
        <f t="shared" si="10"/>
        <v>0.5714285714285714</v>
      </c>
      <c r="E34" s="453">
        <f t="shared" si="10"/>
        <v>-1</v>
      </c>
      <c r="F34" s="453">
        <f t="shared" si="10"/>
        <v>1</v>
      </c>
      <c r="G34" s="453">
        <f t="shared" si="10"/>
        <v>-4.0268456375838868E-2</v>
      </c>
      <c r="H34" s="453">
        <f t="shared" si="10"/>
        <v>-1</v>
      </c>
      <c r="I34" s="453">
        <f t="shared" si="10"/>
        <v>-0.15846994535519132</v>
      </c>
      <c r="J34" s="453">
        <f t="shared" si="10"/>
        <v>0</v>
      </c>
      <c r="K34" s="453">
        <f t="shared" si="10"/>
        <v>0.34838709677419355</v>
      </c>
      <c r="L34" s="453">
        <f t="shared" si="10"/>
        <v>-0.13163694650370672</v>
      </c>
      <c r="M34" s="453">
        <f t="shared" si="10"/>
        <v>0.69918699186991873</v>
      </c>
      <c r="N34" s="453">
        <f t="shared" si="10"/>
        <v>0.37163896722616352</v>
      </c>
      <c r="O34" s="453">
        <f t="shared" si="10"/>
        <v>2.9005460927856053E-2</v>
      </c>
      <c r="P34" s="453">
        <f t="shared" si="10"/>
        <v>-0.29244067521178729</v>
      </c>
      <c r="Q34" s="453">
        <f t="shared" si="10"/>
        <v>-6.8235176223408134E-2</v>
      </c>
      <c r="R34" s="453">
        <f t="shared" si="10"/>
        <v>0.97753197930088187</v>
      </c>
    </row>
    <row r="35" spans="1:18" ht="9.75" customHeight="1" x14ac:dyDescent="0.25">
      <c r="A35" s="451" t="s">
        <v>2807</v>
      </c>
      <c r="B35" s="454">
        <f t="shared" ref="B35:R35" si="11">AVERAGE(B29:B31)</f>
        <v>7</v>
      </c>
      <c r="C35" s="454">
        <f t="shared" si="11"/>
        <v>5.666666666666667</v>
      </c>
      <c r="D35" s="454">
        <f t="shared" si="11"/>
        <v>0.66666666666666663</v>
      </c>
      <c r="E35" s="454">
        <f t="shared" si="11"/>
        <v>0.66666666666666663</v>
      </c>
      <c r="F35" s="454">
        <f t="shared" si="11"/>
        <v>0</v>
      </c>
      <c r="G35" s="454">
        <f t="shared" si="11"/>
        <v>34.666666666666664</v>
      </c>
      <c r="H35" s="454">
        <f t="shared" si="11"/>
        <v>1</v>
      </c>
      <c r="I35" s="454">
        <f t="shared" si="11"/>
        <v>18.666666666666668</v>
      </c>
      <c r="J35" s="454">
        <f t="shared" si="11"/>
        <v>0</v>
      </c>
      <c r="K35" s="454">
        <f t="shared" si="11"/>
        <v>16.666666666666668</v>
      </c>
      <c r="L35" s="454">
        <f t="shared" si="11"/>
        <v>450.66666666666669</v>
      </c>
      <c r="M35" s="454">
        <f t="shared" si="11"/>
        <v>14.666666666666666</v>
      </c>
      <c r="N35" s="453">
        <f t="shared" si="11"/>
        <v>1.8832391713747645E-2</v>
      </c>
      <c r="O35" s="454">
        <f t="shared" si="11"/>
        <v>0.2286252354048964</v>
      </c>
      <c r="P35" s="454">
        <f t="shared" si="11"/>
        <v>12.662286988373944</v>
      </c>
      <c r="Q35" s="453">
        <f t="shared" si="11"/>
        <v>0.89595902542230166</v>
      </c>
      <c r="R35" s="453">
        <f t="shared" si="11"/>
        <v>8.3378578186314514E-2</v>
      </c>
    </row>
    <row r="36" spans="1:18" ht="9.75" customHeight="1" x14ac:dyDescent="0.25">
      <c r="A36" s="451" t="s">
        <v>2808</v>
      </c>
      <c r="B36" s="452">
        <f t="shared" ref="B36:M36" si="12">SUM(B21:B32)</f>
        <v>65</v>
      </c>
      <c r="C36" s="452">
        <f t="shared" si="12"/>
        <v>58</v>
      </c>
      <c r="D36" s="452">
        <f t="shared" si="12"/>
        <v>16</v>
      </c>
      <c r="E36" s="452">
        <f t="shared" si="12"/>
        <v>3</v>
      </c>
      <c r="F36" s="452">
        <f t="shared" si="12"/>
        <v>13</v>
      </c>
      <c r="G36" s="452">
        <f t="shared" si="12"/>
        <v>324</v>
      </c>
      <c r="H36" s="452">
        <f t="shared" si="12"/>
        <v>9</v>
      </c>
      <c r="I36" s="452">
        <f t="shared" si="12"/>
        <v>197</v>
      </c>
      <c r="J36" s="452">
        <f t="shared" si="12"/>
        <v>0</v>
      </c>
      <c r="K36" s="452">
        <f t="shared" si="12"/>
        <v>174</v>
      </c>
      <c r="L36" s="452">
        <f t="shared" si="12"/>
        <v>5385</v>
      </c>
      <c r="M36" s="452">
        <f t="shared" si="12"/>
        <v>142</v>
      </c>
      <c r="N36" s="451"/>
      <c r="O36" s="451"/>
      <c r="P36" s="451"/>
      <c r="Q36" s="451"/>
      <c r="R36" s="451"/>
    </row>
    <row r="37" spans="1:18" ht="33" customHeight="1" x14ac:dyDescent="0.25">
      <c r="A37" s="449"/>
      <c r="B37" s="449" t="s">
        <v>2838</v>
      </c>
      <c r="C37" s="449" t="s">
        <v>2839</v>
      </c>
      <c r="D37" s="449" t="s">
        <v>2840</v>
      </c>
      <c r="E37" s="449" t="s">
        <v>2841</v>
      </c>
      <c r="F37" s="449" t="s">
        <v>2842</v>
      </c>
      <c r="G37" s="449" t="s">
        <v>2843</v>
      </c>
      <c r="H37" s="449" t="s">
        <v>2844</v>
      </c>
      <c r="I37" s="449" t="s">
        <v>2845</v>
      </c>
      <c r="J37" s="449" t="s">
        <v>2846</v>
      </c>
      <c r="K37" s="449" t="s">
        <v>2847</v>
      </c>
      <c r="L37" s="449" t="s">
        <v>2848</v>
      </c>
      <c r="M37" s="449" t="s">
        <v>2849</v>
      </c>
      <c r="N37" s="449" t="s">
        <v>2850</v>
      </c>
      <c r="O37" s="449" t="s">
        <v>2851</v>
      </c>
      <c r="P37" s="449" t="s">
        <v>2852</v>
      </c>
      <c r="Q37" s="449" t="s">
        <v>2853</v>
      </c>
      <c r="R37" s="449" t="s">
        <v>2854</v>
      </c>
    </row>
    <row r="38" spans="1:18" ht="9.75" customHeight="1" x14ac:dyDescent="0.25">
      <c r="A38" s="450" t="s">
        <v>2826</v>
      </c>
      <c r="B38" s="453">
        <f t="shared" ref="B38:B49" si="13">IF(C4=0,0,(K4/C4))</f>
        <v>0.26666666666666666</v>
      </c>
      <c r="C38" s="453">
        <f t="shared" ref="C38:C49" si="14">IF(C4=0,0,(L4/C4))</f>
        <v>3.5897435897435895E-2</v>
      </c>
      <c r="D38" s="452">
        <v>4</v>
      </c>
      <c r="E38" s="452">
        <v>187</v>
      </c>
      <c r="F38" s="452">
        <v>3</v>
      </c>
      <c r="G38" s="453">
        <f t="shared" ref="G38:G49" si="15">IF(B4=0,0,(E38/B4))</f>
        <v>0.20216216216216215</v>
      </c>
      <c r="H38" s="452">
        <v>3</v>
      </c>
      <c r="I38" s="452">
        <v>0</v>
      </c>
      <c r="J38" s="451" t="str">
        <f t="shared" ref="J38:J49" si="16">IF(I38=0, H38&amp;":0", SUBSTITUTE(TEXT(H38/I38,"?/?"),"/",":"))</f>
        <v>3:0</v>
      </c>
      <c r="K38" s="452">
        <v>0</v>
      </c>
      <c r="L38" s="453">
        <f t="shared" ref="L38:L49" si="17">IF(B4=0,0,(K38/B4))</f>
        <v>0</v>
      </c>
      <c r="M38" s="452">
        <v>0</v>
      </c>
      <c r="N38" s="452">
        <v>0</v>
      </c>
      <c r="O38" s="452">
        <v>0</v>
      </c>
      <c r="P38" s="455">
        <v>0</v>
      </c>
      <c r="Q38" s="455">
        <v>0</v>
      </c>
      <c r="R38" s="452">
        <v>0</v>
      </c>
    </row>
    <row r="39" spans="1:18" ht="9.75" customHeight="1" x14ac:dyDescent="0.25">
      <c r="A39" s="450" t="s">
        <v>2827</v>
      </c>
      <c r="B39" s="453">
        <f t="shared" si="13"/>
        <v>0.22222222222222221</v>
      </c>
      <c r="C39" s="453">
        <f t="shared" si="14"/>
        <v>8.5470085470085479E-3</v>
      </c>
      <c r="D39" s="452">
        <v>1</v>
      </c>
      <c r="E39" s="452">
        <v>178</v>
      </c>
      <c r="F39" s="452">
        <v>1</v>
      </c>
      <c r="G39" s="453">
        <f t="shared" si="15"/>
        <v>0.19243243243243244</v>
      </c>
      <c r="H39" s="452">
        <v>1</v>
      </c>
      <c r="I39" s="452">
        <v>0</v>
      </c>
      <c r="J39" s="451" t="str">
        <f t="shared" si="16"/>
        <v>1:0</v>
      </c>
      <c r="K39" s="452">
        <v>0</v>
      </c>
      <c r="L39" s="453">
        <f t="shared" si="17"/>
        <v>0</v>
      </c>
      <c r="M39" s="452">
        <v>0</v>
      </c>
      <c r="N39" s="452">
        <v>0</v>
      </c>
      <c r="O39" s="452">
        <v>0</v>
      </c>
      <c r="P39" s="455">
        <v>0</v>
      </c>
      <c r="Q39" s="455">
        <v>0</v>
      </c>
      <c r="R39" s="452">
        <v>0</v>
      </c>
    </row>
    <row r="40" spans="1:18" ht="9.75" customHeight="1" x14ac:dyDescent="0.25">
      <c r="A40" s="450" t="s">
        <v>2828</v>
      </c>
      <c r="B40" s="453">
        <f t="shared" si="13"/>
        <v>0.23121387283236994</v>
      </c>
      <c r="C40" s="453">
        <f t="shared" si="14"/>
        <v>5.7803468208092483E-3</v>
      </c>
      <c r="D40" s="452">
        <v>5</v>
      </c>
      <c r="E40" s="452">
        <v>211</v>
      </c>
      <c r="F40" s="452">
        <v>1</v>
      </c>
      <c r="G40" s="453">
        <f t="shared" si="15"/>
        <v>0.23135964912280702</v>
      </c>
      <c r="H40" s="452">
        <v>0</v>
      </c>
      <c r="I40" s="452">
        <v>0</v>
      </c>
      <c r="J40" s="451" t="str">
        <f t="shared" si="16"/>
        <v>0:0</v>
      </c>
      <c r="K40" s="452">
        <v>0</v>
      </c>
      <c r="L40" s="453">
        <f t="shared" si="17"/>
        <v>0</v>
      </c>
      <c r="M40" s="452">
        <v>0</v>
      </c>
      <c r="N40" s="452">
        <v>1</v>
      </c>
      <c r="O40" s="452">
        <v>0</v>
      </c>
      <c r="P40" s="455">
        <v>0</v>
      </c>
      <c r="Q40" s="455">
        <v>0</v>
      </c>
      <c r="R40" s="452">
        <v>0</v>
      </c>
    </row>
    <row r="41" spans="1:18" ht="9.75" customHeight="1" x14ac:dyDescent="0.25">
      <c r="A41" s="450" t="s">
        <v>2829</v>
      </c>
      <c r="B41" s="453">
        <f t="shared" si="13"/>
        <v>0.26490066225165565</v>
      </c>
      <c r="C41" s="453">
        <f t="shared" si="14"/>
        <v>1.3245033112582781E-2</v>
      </c>
      <c r="D41" s="452">
        <v>7</v>
      </c>
      <c r="E41" s="452">
        <v>234</v>
      </c>
      <c r="F41" s="452">
        <v>2</v>
      </c>
      <c r="G41" s="453">
        <f t="shared" si="15"/>
        <v>0.25657894736842107</v>
      </c>
      <c r="H41" s="452">
        <v>3</v>
      </c>
      <c r="I41" s="452">
        <v>0</v>
      </c>
      <c r="J41" s="451" t="str">
        <f t="shared" si="16"/>
        <v>3:0</v>
      </c>
      <c r="K41" s="452">
        <v>0</v>
      </c>
      <c r="L41" s="453">
        <f t="shared" si="17"/>
        <v>0</v>
      </c>
      <c r="M41" s="452">
        <v>0</v>
      </c>
      <c r="N41" s="452">
        <v>1</v>
      </c>
      <c r="O41" s="452">
        <v>0</v>
      </c>
      <c r="P41" s="455">
        <v>0</v>
      </c>
      <c r="Q41" s="455">
        <v>0</v>
      </c>
      <c r="R41" s="452">
        <v>0</v>
      </c>
    </row>
    <row r="42" spans="1:18" ht="9.75" customHeight="1" x14ac:dyDescent="0.25">
      <c r="A42" s="450" t="s">
        <v>2830</v>
      </c>
      <c r="B42" s="453">
        <f t="shared" si="13"/>
        <v>0.29239766081871343</v>
      </c>
      <c r="C42" s="453">
        <f t="shared" si="14"/>
        <v>1.1695906432748537E-2</v>
      </c>
      <c r="D42" s="452">
        <v>3</v>
      </c>
      <c r="E42" s="452">
        <v>226</v>
      </c>
      <c r="F42" s="452">
        <v>2</v>
      </c>
      <c r="G42" s="453">
        <f t="shared" si="15"/>
        <v>0.24780701754385964</v>
      </c>
      <c r="H42" s="452">
        <v>0</v>
      </c>
      <c r="I42" s="452">
        <v>0</v>
      </c>
      <c r="J42" s="451" t="str">
        <f t="shared" si="16"/>
        <v>0:0</v>
      </c>
      <c r="K42" s="452">
        <v>0</v>
      </c>
      <c r="L42" s="453">
        <f t="shared" si="17"/>
        <v>0</v>
      </c>
      <c r="M42" s="452">
        <v>0</v>
      </c>
      <c r="N42" s="452">
        <v>1</v>
      </c>
      <c r="O42" s="452">
        <v>0</v>
      </c>
      <c r="P42" s="455">
        <v>0</v>
      </c>
      <c r="Q42" s="455">
        <v>0</v>
      </c>
      <c r="R42" s="452">
        <v>0</v>
      </c>
    </row>
    <row r="43" spans="1:18" ht="9.75" customHeight="1" x14ac:dyDescent="0.25">
      <c r="A43" s="450" t="s">
        <v>2831</v>
      </c>
      <c r="B43" s="453">
        <f t="shared" si="13"/>
        <v>0.29496402877697842</v>
      </c>
      <c r="C43" s="453">
        <f t="shared" si="14"/>
        <v>2.1582733812949641E-2</v>
      </c>
      <c r="D43" s="452">
        <v>3</v>
      </c>
      <c r="E43" s="452">
        <v>253</v>
      </c>
      <c r="F43" s="452">
        <v>3</v>
      </c>
      <c r="G43" s="453">
        <f t="shared" si="15"/>
        <v>0.27741228070175439</v>
      </c>
      <c r="H43" s="452">
        <v>0</v>
      </c>
      <c r="I43" s="452">
        <v>0</v>
      </c>
      <c r="J43" s="451" t="str">
        <f t="shared" si="16"/>
        <v>0:0</v>
      </c>
      <c r="K43" s="452">
        <v>1</v>
      </c>
      <c r="L43" s="453">
        <f t="shared" si="17"/>
        <v>1.0964912280701754E-3</v>
      </c>
      <c r="M43" s="452">
        <v>0</v>
      </c>
      <c r="N43" s="452">
        <v>1</v>
      </c>
      <c r="O43" s="452">
        <v>0</v>
      </c>
      <c r="P43" s="455">
        <v>0</v>
      </c>
      <c r="Q43" s="455">
        <v>0</v>
      </c>
      <c r="R43" s="452">
        <v>0</v>
      </c>
    </row>
    <row r="44" spans="1:18" ht="9.75" customHeight="1" x14ac:dyDescent="0.25">
      <c r="A44" s="450" t="s">
        <v>2832</v>
      </c>
      <c r="B44" s="453">
        <f t="shared" si="13"/>
        <v>0.2608695652173913</v>
      </c>
      <c r="C44" s="453">
        <f t="shared" si="14"/>
        <v>2.1739130434782608E-2</v>
      </c>
      <c r="D44" s="452">
        <v>2</v>
      </c>
      <c r="E44" s="452">
        <v>228</v>
      </c>
      <c r="F44" s="452">
        <v>2</v>
      </c>
      <c r="G44" s="453">
        <f t="shared" si="15"/>
        <v>0.25762711864406779</v>
      </c>
      <c r="H44" s="452">
        <v>1</v>
      </c>
      <c r="I44" s="452">
        <v>0</v>
      </c>
      <c r="J44" s="451" t="str">
        <f t="shared" si="16"/>
        <v>1:0</v>
      </c>
      <c r="K44" s="452">
        <v>0</v>
      </c>
      <c r="L44" s="453">
        <f t="shared" si="17"/>
        <v>0</v>
      </c>
      <c r="M44" s="452">
        <v>0</v>
      </c>
      <c r="N44" s="452">
        <v>0</v>
      </c>
      <c r="O44" s="452">
        <v>0</v>
      </c>
      <c r="P44" s="455">
        <v>0</v>
      </c>
      <c r="Q44" s="455">
        <v>0</v>
      </c>
      <c r="R44" s="452">
        <v>0</v>
      </c>
    </row>
    <row r="45" spans="1:18" ht="9.75" customHeight="1" x14ac:dyDescent="0.25">
      <c r="A45" s="450" t="s">
        <v>2833</v>
      </c>
      <c r="B45" s="453">
        <f t="shared" si="13"/>
        <v>0.21686746987951808</v>
      </c>
      <c r="C45" s="453">
        <f t="shared" si="14"/>
        <v>2.4096385542168676E-2</v>
      </c>
      <c r="D45" s="452">
        <v>4</v>
      </c>
      <c r="E45" s="452">
        <v>248</v>
      </c>
      <c r="F45" s="452">
        <v>3</v>
      </c>
      <c r="G45" s="453">
        <f t="shared" si="15"/>
        <v>0.28022598870056498</v>
      </c>
      <c r="H45" s="452">
        <v>1</v>
      </c>
      <c r="I45" s="452">
        <v>0</v>
      </c>
      <c r="J45" s="451" t="str">
        <f t="shared" si="16"/>
        <v>1:0</v>
      </c>
      <c r="K45" s="452">
        <v>0</v>
      </c>
      <c r="L45" s="453">
        <f t="shared" si="17"/>
        <v>0</v>
      </c>
      <c r="M45" s="452">
        <v>0</v>
      </c>
      <c r="N45" s="452">
        <v>1</v>
      </c>
      <c r="O45" s="452">
        <v>0</v>
      </c>
      <c r="P45" s="455">
        <v>0</v>
      </c>
      <c r="Q45" s="455">
        <v>0</v>
      </c>
      <c r="R45" s="452">
        <v>0</v>
      </c>
    </row>
    <row r="46" spans="1:18" ht="9.75" customHeight="1" x14ac:dyDescent="0.25">
      <c r="A46" s="450" t="s">
        <v>2834</v>
      </c>
      <c r="B46" s="453">
        <f t="shared" si="13"/>
        <v>0.21656050955414013</v>
      </c>
      <c r="C46" s="453">
        <f t="shared" si="14"/>
        <v>1.9108280254777069E-2</v>
      </c>
      <c r="D46" s="452">
        <v>2</v>
      </c>
      <c r="E46" s="452">
        <v>246</v>
      </c>
      <c r="F46" s="452">
        <v>2</v>
      </c>
      <c r="G46" s="453">
        <f t="shared" si="15"/>
        <v>0.27796610169491526</v>
      </c>
      <c r="H46" s="452">
        <v>1</v>
      </c>
      <c r="I46" s="452">
        <v>0</v>
      </c>
      <c r="J46" s="451" t="str">
        <f t="shared" si="16"/>
        <v>1:0</v>
      </c>
      <c r="K46" s="452">
        <v>0</v>
      </c>
      <c r="L46" s="453">
        <f t="shared" si="17"/>
        <v>0</v>
      </c>
      <c r="M46" s="452">
        <v>0</v>
      </c>
      <c r="N46" s="452">
        <v>0</v>
      </c>
      <c r="O46" s="452">
        <v>0</v>
      </c>
      <c r="P46" s="455">
        <v>0</v>
      </c>
      <c r="Q46" s="455">
        <v>0</v>
      </c>
      <c r="R46" s="452">
        <v>0</v>
      </c>
    </row>
    <row r="47" spans="1:18" ht="9.75" customHeight="1" x14ac:dyDescent="0.25">
      <c r="A47" s="450" t="s">
        <v>2835</v>
      </c>
      <c r="B47" s="453">
        <f t="shared" si="13"/>
        <v>0.19823788546255505</v>
      </c>
      <c r="C47" s="453">
        <f t="shared" si="14"/>
        <v>4.4052863436123352E-3</v>
      </c>
      <c r="D47" s="452">
        <v>1</v>
      </c>
      <c r="E47" s="452">
        <v>238</v>
      </c>
      <c r="F47" s="452">
        <v>1</v>
      </c>
      <c r="G47" s="453">
        <f t="shared" si="15"/>
        <v>0.26892655367231638</v>
      </c>
      <c r="H47" s="452">
        <v>0</v>
      </c>
      <c r="I47" s="452">
        <v>0</v>
      </c>
      <c r="J47" s="451" t="str">
        <f t="shared" si="16"/>
        <v>0:0</v>
      </c>
      <c r="K47" s="452">
        <v>0</v>
      </c>
      <c r="L47" s="453">
        <f t="shared" si="17"/>
        <v>0</v>
      </c>
      <c r="M47" s="452">
        <v>0</v>
      </c>
      <c r="N47" s="452">
        <v>0</v>
      </c>
      <c r="O47" s="452">
        <v>0</v>
      </c>
      <c r="P47" s="455">
        <v>0</v>
      </c>
      <c r="Q47" s="455">
        <v>0</v>
      </c>
      <c r="R47" s="452">
        <v>0</v>
      </c>
    </row>
    <row r="48" spans="1:18" ht="9.75" customHeight="1" x14ac:dyDescent="0.25">
      <c r="A48" s="450" t="s">
        <v>2836</v>
      </c>
      <c r="B48" s="453">
        <f t="shared" si="13"/>
        <v>0.26905829596412556</v>
      </c>
      <c r="C48" s="453">
        <f t="shared" si="14"/>
        <v>1.3452914798206279E-2</v>
      </c>
      <c r="D48" s="452">
        <v>3</v>
      </c>
      <c r="E48" s="452">
        <v>222</v>
      </c>
      <c r="F48" s="452">
        <v>3</v>
      </c>
      <c r="G48" s="453">
        <f t="shared" si="15"/>
        <v>0.25084745762711863</v>
      </c>
      <c r="H48" s="452">
        <v>1</v>
      </c>
      <c r="I48" s="452">
        <v>0</v>
      </c>
      <c r="J48" s="451" t="str">
        <f t="shared" si="16"/>
        <v>1:0</v>
      </c>
      <c r="K48" s="452">
        <v>1</v>
      </c>
      <c r="L48" s="453">
        <f t="shared" si="17"/>
        <v>1.1299435028248588E-3</v>
      </c>
      <c r="M48" s="452">
        <v>0</v>
      </c>
      <c r="N48" s="452">
        <v>0</v>
      </c>
      <c r="O48" s="452">
        <v>0</v>
      </c>
      <c r="P48" s="455">
        <v>0</v>
      </c>
      <c r="Q48" s="455">
        <v>0</v>
      </c>
      <c r="R48" s="452">
        <v>1</v>
      </c>
    </row>
    <row r="49" spans="1:29" ht="9.75" customHeight="1" x14ac:dyDescent="0.25">
      <c r="A49" s="450" t="s">
        <v>2837</v>
      </c>
      <c r="B49" s="453">
        <f t="shared" si="13"/>
        <v>0.2</v>
      </c>
      <c r="C49" s="453">
        <f t="shared" si="14"/>
        <v>5.7142857142857143E-3</v>
      </c>
      <c r="D49" s="452">
        <v>1</v>
      </c>
      <c r="E49" s="452">
        <v>201</v>
      </c>
      <c r="F49" s="452">
        <v>1</v>
      </c>
      <c r="G49" s="453">
        <f t="shared" si="15"/>
        <v>0.22711864406779661</v>
      </c>
      <c r="H49" s="452">
        <v>0</v>
      </c>
      <c r="I49" s="452">
        <v>0</v>
      </c>
      <c r="J49" s="451" t="str">
        <f t="shared" si="16"/>
        <v>0:0</v>
      </c>
      <c r="K49" s="452">
        <v>0</v>
      </c>
      <c r="L49" s="453">
        <f t="shared" si="17"/>
        <v>0</v>
      </c>
      <c r="M49" s="452">
        <v>0</v>
      </c>
      <c r="N49" s="452">
        <v>0</v>
      </c>
      <c r="O49" s="452">
        <v>0</v>
      </c>
      <c r="P49" s="455">
        <v>0</v>
      </c>
      <c r="Q49" s="455">
        <v>0</v>
      </c>
      <c r="R49" s="452">
        <v>0</v>
      </c>
    </row>
    <row r="50" spans="1:29" ht="9.75" customHeight="1" x14ac:dyDescent="0.25">
      <c r="A50" s="451" t="s">
        <v>2805</v>
      </c>
      <c r="B50" s="453">
        <f t="shared" ref="B50:I50" si="18">IF(AVERAGE(B46:B48)&lt;&gt;0, ((B49/AVERAGE(B46:B48))-1), IF(B49=0,0,1))</f>
        <v>-0.12262319296832402</v>
      </c>
      <c r="C50" s="453">
        <f t="shared" si="18"/>
        <v>-0.5362594302947139</v>
      </c>
      <c r="D50" s="453">
        <f t="shared" si="18"/>
        <v>-0.5</v>
      </c>
      <c r="E50" s="453">
        <f t="shared" si="18"/>
        <v>-0.14589235127478761</v>
      </c>
      <c r="F50" s="453">
        <f t="shared" si="18"/>
        <v>-0.5</v>
      </c>
      <c r="G50" s="453">
        <f t="shared" si="18"/>
        <v>-0.1458923512747875</v>
      </c>
      <c r="H50" s="453">
        <f t="shared" si="18"/>
        <v>-1</v>
      </c>
      <c r="I50" s="453">
        <f t="shared" si="18"/>
        <v>0</v>
      </c>
      <c r="J50" s="453"/>
      <c r="K50" s="453">
        <f t="shared" ref="K50:R50" si="19">IF(AVERAGE(K46:K48)&lt;&gt;0, ((K49/AVERAGE(K46:K48))-1), IF(K49=0,0,1))</f>
        <v>-1</v>
      </c>
      <c r="L50" s="453">
        <f t="shared" si="19"/>
        <v>-1</v>
      </c>
      <c r="M50" s="453">
        <f t="shared" si="19"/>
        <v>0</v>
      </c>
      <c r="N50" s="453">
        <f t="shared" si="19"/>
        <v>0</v>
      </c>
      <c r="O50" s="453">
        <f t="shared" si="19"/>
        <v>0</v>
      </c>
      <c r="P50" s="453">
        <f t="shared" si="19"/>
        <v>0</v>
      </c>
      <c r="Q50" s="453">
        <f t="shared" si="19"/>
        <v>0</v>
      </c>
      <c r="R50" s="453">
        <f t="shared" si="19"/>
        <v>-1</v>
      </c>
    </row>
    <row r="51" spans="1:29" ht="9.75" customHeight="1" x14ac:dyDescent="0.25">
      <c r="A51" s="451" t="s">
        <v>2806</v>
      </c>
      <c r="B51" s="453">
        <f t="shared" ref="B51:I51" si="20">IF(AVERAGE(B38:B48)&lt;&gt;0, ((B49/AVERAGE(B38:B48))-1), IF(B49=0,0,1))</f>
        <v>-0.19530610040764496</v>
      </c>
      <c r="C51" s="453">
        <f t="shared" si="20"/>
        <v>-0.64991934769755977</v>
      </c>
      <c r="D51" s="453">
        <f t="shared" si="20"/>
        <v>-0.68571428571428572</v>
      </c>
      <c r="E51" s="453">
        <f t="shared" si="20"/>
        <v>-0.10522055847834877</v>
      </c>
      <c r="F51" s="453">
        <f t="shared" si="20"/>
        <v>-0.52173913043478259</v>
      </c>
      <c r="G51" s="453">
        <f t="shared" si="20"/>
        <v>-8.9321817538663528E-2</v>
      </c>
      <c r="H51" s="453">
        <f t="shared" si="20"/>
        <v>-1</v>
      </c>
      <c r="I51" s="453">
        <f t="shared" si="20"/>
        <v>0</v>
      </c>
      <c r="J51" s="453"/>
      <c r="K51" s="453">
        <f t="shared" ref="K51:R51" si="21">IF(AVERAGE(K38:K48)&lt;&gt;0, ((K49/AVERAGE(K38:K48))-1), IF(K49=0,0,1))</f>
        <v>-1</v>
      </c>
      <c r="L51" s="453">
        <f t="shared" si="21"/>
        <v>-1</v>
      </c>
      <c r="M51" s="453">
        <f t="shared" si="21"/>
        <v>0</v>
      </c>
      <c r="N51" s="453">
        <f t="shared" si="21"/>
        <v>-1</v>
      </c>
      <c r="O51" s="453">
        <f t="shared" si="21"/>
        <v>0</v>
      </c>
      <c r="P51" s="453">
        <f t="shared" si="21"/>
        <v>0</v>
      </c>
      <c r="Q51" s="453">
        <f t="shared" si="21"/>
        <v>0</v>
      </c>
      <c r="R51" s="453">
        <f t="shared" si="21"/>
        <v>-1</v>
      </c>
    </row>
    <row r="52" spans="1:29" ht="9.75" customHeight="1" x14ac:dyDescent="0.25">
      <c r="A52" s="451" t="s">
        <v>2807</v>
      </c>
      <c r="B52" s="453">
        <f t="shared" ref="B52:I52" si="22">AVERAGE(B46:B48)</f>
        <v>0.22795223032694026</v>
      </c>
      <c r="C52" s="453">
        <f t="shared" si="22"/>
        <v>1.2322160465531895E-2</v>
      </c>
      <c r="D52" s="454">
        <f t="shared" si="22"/>
        <v>2</v>
      </c>
      <c r="E52" s="454">
        <f t="shared" si="22"/>
        <v>235.33333333333334</v>
      </c>
      <c r="F52" s="454">
        <f t="shared" si="22"/>
        <v>2</v>
      </c>
      <c r="G52" s="453">
        <f t="shared" si="22"/>
        <v>0.26591337099811674</v>
      </c>
      <c r="H52" s="454">
        <f t="shared" si="22"/>
        <v>0.66666666666666663</v>
      </c>
      <c r="I52" s="454">
        <f t="shared" si="22"/>
        <v>0</v>
      </c>
      <c r="J52" s="451"/>
      <c r="K52" s="454">
        <f t="shared" ref="K52:R52" si="23">AVERAGE(K46:K48)</f>
        <v>0.33333333333333331</v>
      </c>
      <c r="L52" s="453">
        <f t="shared" si="23"/>
        <v>3.7664783427495291E-4</v>
      </c>
      <c r="M52" s="454">
        <f t="shared" si="23"/>
        <v>0</v>
      </c>
      <c r="N52" s="454">
        <f t="shared" si="23"/>
        <v>0</v>
      </c>
      <c r="O52" s="454">
        <f t="shared" si="23"/>
        <v>0</v>
      </c>
      <c r="P52" s="455">
        <f t="shared" si="23"/>
        <v>0</v>
      </c>
      <c r="Q52" s="455">
        <f t="shared" si="23"/>
        <v>0</v>
      </c>
      <c r="R52" s="454">
        <f t="shared" si="23"/>
        <v>0.33333333333333331</v>
      </c>
    </row>
    <row r="53" spans="1:29" ht="9.75" customHeight="1" x14ac:dyDescent="0.25">
      <c r="A53" s="451" t="s">
        <v>2808</v>
      </c>
      <c r="B53" s="451"/>
      <c r="C53" s="451"/>
      <c r="D53" s="452">
        <f>SUM(D38:D49)</f>
        <v>36</v>
      </c>
      <c r="E53" s="452">
        <f>SUM(E38:E49)</f>
        <v>2672</v>
      </c>
      <c r="F53" s="452">
        <f>SUM(F38:F49)</f>
        <v>24</v>
      </c>
      <c r="G53" s="451"/>
      <c r="H53" s="452">
        <f>SUM(H38:H49)</f>
        <v>11</v>
      </c>
      <c r="I53" s="452">
        <f>SUM(I38:I49)</f>
        <v>0</v>
      </c>
      <c r="J53" s="451"/>
      <c r="K53" s="452">
        <f>SUM(K38:K49)</f>
        <v>2</v>
      </c>
      <c r="L53" s="451"/>
      <c r="M53" s="452">
        <f t="shared" ref="M53:R53" si="24">SUM(M38:M49)</f>
        <v>0</v>
      </c>
      <c r="N53" s="452">
        <f t="shared" si="24"/>
        <v>5</v>
      </c>
      <c r="O53" s="452">
        <f t="shared" si="24"/>
        <v>0</v>
      </c>
      <c r="P53" s="455">
        <f t="shared" si="24"/>
        <v>0</v>
      </c>
      <c r="Q53" s="455">
        <f t="shared" si="24"/>
        <v>0</v>
      </c>
      <c r="R53" s="452">
        <f t="shared" si="24"/>
        <v>1</v>
      </c>
    </row>
    <row r="54" spans="1:29" ht="9.75" customHeight="1" x14ac:dyDescent="0.25">
      <c r="A54" s="456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</row>
    <row r="55" spans="1:29" ht="12.75" customHeight="1" x14ac:dyDescent="0.25">
      <c r="A55" s="456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</row>
    <row r="56" spans="1:29" ht="12.75" customHeight="1" x14ac:dyDescent="0.25">
      <c r="A56" s="456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</row>
    <row r="57" spans="1:29" ht="33" customHeight="1" x14ac:dyDescent="0.25">
      <c r="A57" s="449"/>
      <c r="B57" s="449" t="s">
        <v>2855</v>
      </c>
      <c r="C57" s="449" t="s">
        <v>2856</v>
      </c>
      <c r="D57" s="449" t="s">
        <v>2857</v>
      </c>
      <c r="E57" s="449" t="s">
        <v>2858</v>
      </c>
      <c r="F57" s="449" t="s">
        <v>2859</v>
      </c>
      <c r="G57" s="449" t="s">
        <v>2860</v>
      </c>
      <c r="H57" s="449" t="s">
        <v>2861</v>
      </c>
      <c r="I57" s="449" t="s">
        <v>2862</v>
      </c>
      <c r="J57" s="449" t="s">
        <v>2863</v>
      </c>
      <c r="K57" s="449" t="s">
        <v>2864</v>
      </c>
      <c r="L57" s="449" t="s">
        <v>2865</v>
      </c>
      <c r="M57" s="449" t="s">
        <v>2866</v>
      </c>
      <c r="N57" s="449" t="s">
        <v>2867</v>
      </c>
      <c r="O57" s="449" t="s">
        <v>2868</v>
      </c>
      <c r="P57" s="449" t="s">
        <v>2869</v>
      </c>
      <c r="Q57" s="449" t="s">
        <v>2870</v>
      </c>
      <c r="R57" s="449" t="s">
        <v>2871</v>
      </c>
      <c r="S57" s="446"/>
      <c r="T57" s="446" t="s">
        <v>2772</v>
      </c>
      <c r="U57" s="446" t="s">
        <v>2773</v>
      </c>
      <c r="V57" s="445" t="s">
        <v>2741</v>
      </c>
      <c r="Y57" s="445" t="s">
        <v>2770</v>
      </c>
      <c r="Z57" s="445" t="s">
        <v>165</v>
      </c>
      <c r="AA57" s="445" t="s">
        <v>29</v>
      </c>
      <c r="AC57" s="445" t="s">
        <v>0</v>
      </c>
    </row>
    <row r="58" spans="1:29" ht="12.95" customHeight="1" x14ac:dyDescent="0.25">
      <c r="A58" s="450" t="s">
        <v>2826</v>
      </c>
      <c r="B58" s="453">
        <f t="shared" ref="B58:B69" si="25">IF(B4=0,0,(R38/B4))</f>
        <v>0</v>
      </c>
      <c r="C58" s="452">
        <v>0</v>
      </c>
      <c r="D58" s="455">
        <v>0</v>
      </c>
      <c r="E58" s="455">
        <f t="shared" ref="E58:E69" si="26">IF(R38=0,0,(D58/R38))</f>
        <v>0</v>
      </c>
      <c r="F58" s="455">
        <v>17747.21</v>
      </c>
      <c r="G58" s="455">
        <f t="shared" ref="G58:G69" si="27">(B4*0)</f>
        <v>0</v>
      </c>
      <c r="H58" s="455">
        <f t="shared" ref="H58:H69" si="28">(F58+G58)</f>
        <v>17747.21</v>
      </c>
      <c r="I58" s="455">
        <f t="shared" ref="I58:I69" si="29">IF(B4=0,0,(H58/B4))</f>
        <v>19.186172972972972</v>
      </c>
      <c r="J58" s="455">
        <f t="shared" ref="J58:J69" si="30">IF(K21=0,0,(F58/K21))</f>
        <v>1613.3827272727272</v>
      </c>
      <c r="K58" s="455">
        <v>1.57</v>
      </c>
      <c r="L58" s="455">
        <f t="shared" ref="L58:L69" si="31">(H58-K58)</f>
        <v>17745.64</v>
      </c>
      <c r="M58" s="455">
        <f t="shared" ref="M58:M69" si="32">IF(B4=0,0,((H58-K58)/B4))</f>
        <v>19.184475675675674</v>
      </c>
      <c r="N58" s="455">
        <f t="shared" ref="N58:N69" si="33">IF(B4=0,0,((H58-D58)/B4))</f>
        <v>19.186172972972972</v>
      </c>
      <c r="O58" s="455">
        <v>195.83</v>
      </c>
      <c r="P58" s="455">
        <f t="shared" ref="P58:P69" si="34">IF(B4=0,0,(O58/B4))</f>
        <v>0.21170810810810811</v>
      </c>
      <c r="Q58" s="455">
        <v>17551.38</v>
      </c>
      <c r="R58" s="455">
        <f t="shared" ref="R58:R69" si="35">IF(B4=0,0,(Q58/B4))</f>
        <v>18.974464864864867</v>
      </c>
      <c r="S58" s="457" t="s">
        <v>2826</v>
      </c>
      <c r="T58" s="447">
        <f>H58</f>
        <v>17747.21</v>
      </c>
      <c r="U58" s="447">
        <f>-K58</f>
        <v>-1.57</v>
      </c>
      <c r="V58" s="448">
        <f>T58+U58</f>
        <v>17745.64</v>
      </c>
      <c r="W58" s="448"/>
      <c r="X58" s="448"/>
      <c r="Y58" s="458">
        <f>D58</f>
        <v>0</v>
      </c>
      <c r="Z58" s="458">
        <f>C75</f>
        <v>2208.4299999999998</v>
      </c>
      <c r="AA58" s="448">
        <f>T58-Y58-Z58</f>
        <v>15538.779999999999</v>
      </c>
      <c r="AB58" s="448"/>
    </row>
    <row r="59" spans="1:29" ht="12.95" customHeight="1" x14ac:dyDescent="0.25">
      <c r="A59" s="450" t="s">
        <v>2827</v>
      </c>
      <c r="B59" s="453">
        <f t="shared" si="25"/>
        <v>0</v>
      </c>
      <c r="C59" s="452">
        <v>0</v>
      </c>
      <c r="D59" s="455">
        <v>0</v>
      </c>
      <c r="E59" s="455">
        <f t="shared" si="26"/>
        <v>0</v>
      </c>
      <c r="F59" s="455">
        <v>3691.12</v>
      </c>
      <c r="G59" s="455">
        <f t="shared" si="27"/>
        <v>0</v>
      </c>
      <c r="H59" s="455">
        <f t="shared" si="28"/>
        <v>3691.12</v>
      </c>
      <c r="I59" s="455">
        <f t="shared" si="29"/>
        <v>3.9903999999999997</v>
      </c>
      <c r="J59" s="455">
        <f t="shared" si="30"/>
        <v>461.39</v>
      </c>
      <c r="K59" s="455">
        <v>944.94</v>
      </c>
      <c r="L59" s="455">
        <f t="shared" si="31"/>
        <v>2746.18</v>
      </c>
      <c r="M59" s="455">
        <f t="shared" si="32"/>
        <v>2.968843243243243</v>
      </c>
      <c r="N59" s="455">
        <f t="shared" si="33"/>
        <v>3.9903999999999997</v>
      </c>
      <c r="O59" s="455">
        <v>67.430000000000007</v>
      </c>
      <c r="P59" s="455">
        <f t="shared" si="34"/>
        <v>7.2897297297297312E-2</v>
      </c>
      <c r="Q59" s="455">
        <v>3623.69</v>
      </c>
      <c r="R59" s="455">
        <f t="shared" si="35"/>
        <v>3.917502702702703</v>
      </c>
      <c r="S59" s="457" t="s">
        <v>2827</v>
      </c>
      <c r="T59" s="447">
        <f t="shared" ref="T59:T69" si="36">H59</f>
        <v>3691.12</v>
      </c>
      <c r="U59" s="447">
        <f t="shared" ref="U59:U69" si="37">-K59</f>
        <v>-944.94</v>
      </c>
      <c r="V59" s="448">
        <f t="shared" ref="V59:V69" si="38">T59+U59</f>
        <v>2746.18</v>
      </c>
      <c r="W59" s="448"/>
      <c r="X59" s="448"/>
      <c r="Y59" s="458">
        <f t="shared" ref="Y59:Y69" si="39">D59</f>
        <v>0</v>
      </c>
      <c r="Z59" s="458">
        <f t="shared" ref="Z59:Z69" si="40">C76</f>
        <v>1110.24</v>
      </c>
      <c r="AA59" s="448">
        <f t="shared" ref="AA59:AA69" si="41">T59-Y59-Z59</f>
        <v>2580.88</v>
      </c>
      <c r="AB59" s="448"/>
    </row>
    <row r="60" spans="1:29" ht="12.95" customHeight="1" x14ac:dyDescent="0.25">
      <c r="A60" s="450" t="s">
        <v>2828</v>
      </c>
      <c r="B60" s="453">
        <f t="shared" si="25"/>
        <v>0</v>
      </c>
      <c r="C60" s="452">
        <v>9</v>
      </c>
      <c r="D60" s="455">
        <v>20377.12</v>
      </c>
      <c r="E60" s="455">
        <f t="shared" si="26"/>
        <v>0</v>
      </c>
      <c r="F60" s="455">
        <v>27712.35</v>
      </c>
      <c r="G60" s="455">
        <f t="shared" si="27"/>
        <v>0</v>
      </c>
      <c r="H60" s="455">
        <f t="shared" si="28"/>
        <v>27712.35</v>
      </c>
      <c r="I60" s="455">
        <f t="shared" si="29"/>
        <v>30.386348684210525</v>
      </c>
      <c r="J60" s="455">
        <f t="shared" si="30"/>
        <v>1539.5749999999998</v>
      </c>
      <c r="K60" s="455">
        <v>9246.61</v>
      </c>
      <c r="L60" s="455">
        <f t="shared" si="31"/>
        <v>18465.739999999998</v>
      </c>
      <c r="M60" s="455">
        <f t="shared" si="32"/>
        <v>20.247521929824558</v>
      </c>
      <c r="N60" s="455">
        <f t="shared" si="33"/>
        <v>8.0430153508771927</v>
      </c>
      <c r="O60" s="455">
        <v>53.81</v>
      </c>
      <c r="P60" s="455">
        <f t="shared" si="34"/>
        <v>5.9002192982456146E-2</v>
      </c>
      <c r="Q60" s="455">
        <v>27658.54</v>
      </c>
      <c r="R60" s="455">
        <f t="shared" si="35"/>
        <v>30.32734649122807</v>
      </c>
      <c r="S60" s="457" t="s">
        <v>2828</v>
      </c>
      <c r="T60" s="447">
        <f t="shared" si="36"/>
        <v>27712.35</v>
      </c>
      <c r="U60" s="447">
        <f t="shared" si="37"/>
        <v>-9246.61</v>
      </c>
      <c r="V60" s="448">
        <f t="shared" si="38"/>
        <v>18465.739999999998</v>
      </c>
      <c r="W60" s="448"/>
      <c r="X60" s="448"/>
      <c r="Y60" s="458">
        <f t="shared" si="39"/>
        <v>20377.12</v>
      </c>
      <c r="Z60" s="458">
        <f t="shared" si="40"/>
        <v>1586.58</v>
      </c>
      <c r="AA60" s="448">
        <f t="shared" si="41"/>
        <v>5748.65</v>
      </c>
      <c r="AB60" s="448"/>
    </row>
    <row r="61" spans="1:29" ht="12.95" customHeight="1" x14ac:dyDescent="0.25">
      <c r="A61" s="450" t="s">
        <v>2829</v>
      </c>
      <c r="B61" s="453">
        <f t="shared" si="25"/>
        <v>0</v>
      </c>
      <c r="C61" s="452">
        <v>1</v>
      </c>
      <c r="D61" s="455">
        <v>705.15</v>
      </c>
      <c r="E61" s="455">
        <f t="shared" si="26"/>
        <v>0</v>
      </c>
      <c r="F61" s="455">
        <v>13919.19</v>
      </c>
      <c r="G61" s="455">
        <f t="shared" si="27"/>
        <v>0</v>
      </c>
      <c r="H61" s="455">
        <f t="shared" si="28"/>
        <v>13919.19</v>
      </c>
      <c r="I61" s="455">
        <f t="shared" si="29"/>
        <v>15.262269736842105</v>
      </c>
      <c r="J61" s="455">
        <f t="shared" si="30"/>
        <v>869.94937500000003</v>
      </c>
      <c r="K61" s="455">
        <v>0</v>
      </c>
      <c r="L61" s="455">
        <f t="shared" si="31"/>
        <v>13919.19</v>
      </c>
      <c r="M61" s="455">
        <f t="shared" si="32"/>
        <v>15.262269736842105</v>
      </c>
      <c r="N61" s="455">
        <f t="shared" si="33"/>
        <v>14.489078947368421</v>
      </c>
      <c r="O61" s="455">
        <v>427.09</v>
      </c>
      <c r="P61" s="455">
        <f t="shared" si="34"/>
        <v>0.46830043859649118</v>
      </c>
      <c r="Q61" s="455">
        <v>13492.1</v>
      </c>
      <c r="R61" s="455">
        <f t="shared" si="35"/>
        <v>14.793969298245614</v>
      </c>
      <c r="S61" s="457" t="s">
        <v>2829</v>
      </c>
      <c r="T61" s="447">
        <f t="shared" si="36"/>
        <v>13919.19</v>
      </c>
      <c r="U61" s="447">
        <f t="shared" si="37"/>
        <v>0</v>
      </c>
      <c r="V61" s="448">
        <f t="shared" si="38"/>
        <v>13919.19</v>
      </c>
      <c r="W61" s="448"/>
      <c r="X61" s="448"/>
      <c r="Y61" s="458">
        <f t="shared" si="39"/>
        <v>705.15</v>
      </c>
      <c r="Z61" s="458">
        <f t="shared" si="40"/>
        <v>2496.6</v>
      </c>
      <c r="AA61" s="448">
        <f t="shared" si="41"/>
        <v>10717.44</v>
      </c>
      <c r="AB61" s="448"/>
    </row>
    <row r="62" spans="1:29" ht="12.95" customHeight="1" x14ac:dyDescent="0.25">
      <c r="A62" s="450" t="s">
        <v>2830</v>
      </c>
      <c r="B62" s="453">
        <f t="shared" si="25"/>
        <v>0</v>
      </c>
      <c r="C62" s="452">
        <v>10</v>
      </c>
      <c r="D62" s="455">
        <v>7988.27</v>
      </c>
      <c r="E62" s="455">
        <f t="shared" si="26"/>
        <v>0</v>
      </c>
      <c r="F62" s="455">
        <v>18314.560000000001</v>
      </c>
      <c r="G62" s="455">
        <f t="shared" si="27"/>
        <v>0</v>
      </c>
      <c r="H62" s="455">
        <f t="shared" si="28"/>
        <v>18314.560000000001</v>
      </c>
      <c r="I62" s="455">
        <f t="shared" si="29"/>
        <v>20.081754385964913</v>
      </c>
      <c r="J62" s="455">
        <f t="shared" si="30"/>
        <v>1220.9706666666668</v>
      </c>
      <c r="K62" s="455">
        <v>13298.2</v>
      </c>
      <c r="L62" s="455">
        <f t="shared" si="31"/>
        <v>5016.3600000000006</v>
      </c>
      <c r="M62" s="455">
        <f t="shared" si="32"/>
        <v>5.5003947368421056</v>
      </c>
      <c r="N62" s="455">
        <f t="shared" si="33"/>
        <v>11.322686403508772</v>
      </c>
      <c r="O62" s="455">
        <v>268.05</v>
      </c>
      <c r="P62" s="455">
        <f t="shared" si="34"/>
        <v>0.29391447368421053</v>
      </c>
      <c r="Q62" s="455">
        <v>18046.509999999998</v>
      </c>
      <c r="R62" s="455">
        <f t="shared" si="35"/>
        <v>19.787839912280699</v>
      </c>
      <c r="S62" s="457" t="s">
        <v>2830</v>
      </c>
      <c r="T62" s="447">
        <f t="shared" si="36"/>
        <v>18314.560000000001</v>
      </c>
      <c r="U62" s="447">
        <f t="shared" si="37"/>
        <v>-13298.2</v>
      </c>
      <c r="V62" s="448">
        <f t="shared" si="38"/>
        <v>5016.3600000000006</v>
      </c>
      <c r="W62" s="448"/>
      <c r="X62" s="448"/>
      <c r="Y62" s="458">
        <f t="shared" si="39"/>
        <v>7988.27</v>
      </c>
      <c r="Z62" s="458">
        <f t="shared" si="40"/>
        <v>2251.96</v>
      </c>
      <c r="AA62" s="448">
        <f t="shared" si="41"/>
        <v>8074.3300000000008</v>
      </c>
      <c r="AB62" s="448"/>
    </row>
    <row r="63" spans="1:29" ht="12.95" customHeight="1" x14ac:dyDescent="0.25">
      <c r="A63" s="450" t="s">
        <v>2831</v>
      </c>
      <c r="B63" s="453">
        <f t="shared" si="25"/>
        <v>0</v>
      </c>
      <c r="C63" s="452">
        <v>3</v>
      </c>
      <c r="D63" s="455">
        <v>2058.27</v>
      </c>
      <c r="E63" s="455">
        <f t="shared" si="26"/>
        <v>0</v>
      </c>
      <c r="F63" s="455">
        <v>13640.06</v>
      </c>
      <c r="G63" s="455">
        <f t="shared" si="27"/>
        <v>0</v>
      </c>
      <c r="H63" s="455">
        <f t="shared" si="28"/>
        <v>13640.06</v>
      </c>
      <c r="I63" s="455">
        <f t="shared" si="29"/>
        <v>14.956206140350877</v>
      </c>
      <c r="J63" s="455">
        <f t="shared" si="30"/>
        <v>1136.6716666666666</v>
      </c>
      <c r="K63" s="455">
        <v>0</v>
      </c>
      <c r="L63" s="455">
        <f t="shared" si="31"/>
        <v>13640.06</v>
      </c>
      <c r="M63" s="455">
        <f t="shared" si="32"/>
        <v>14.956206140350877</v>
      </c>
      <c r="N63" s="455">
        <f t="shared" si="33"/>
        <v>12.699331140350877</v>
      </c>
      <c r="O63" s="455">
        <v>1226.03</v>
      </c>
      <c r="P63" s="455">
        <f t="shared" si="34"/>
        <v>1.3443311403508771</v>
      </c>
      <c r="Q63" s="455">
        <v>12414.03</v>
      </c>
      <c r="R63" s="455">
        <f t="shared" si="35"/>
        <v>13.611875000000001</v>
      </c>
      <c r="S63" s="457" t="s">
        <v>2831</v>
      </c>
      <c r="T63" s="447">
        <f t="shared" si="36"/>
        <v>13640.06</v>
      </c>
      <c r="U63" s="447">
        <f t="shared" si="37"/>
        <v>0</v>
      </c>
      <c r="V63" s="448">
        <f t="shared" si="38"/>
        <v>13640.06</v>
      </c>
      <c r="W63" s="448"/>
      <c r="X63" s="448"/>
      <c r="Y63" s="458">
        <f t="shared" si="39"/>
        <v>2058.27</v>
      </c>
      <c r="Z63" s="458">
        <f t="shared" si="40"/>
        <v>1683.68</v>
      </c>
      <c r="AA63" s="448">
        <f t="shared" si="41"/>
        <v>9898.1099999999988</v>
      </c>
      <c r="AB63" s="448"/>
    </row>
    <row r="64" spans="1:29" ht="12.95" customHeight="1" x14ac:dyDescent="0.25">
      <c r="A64" s="450" t="s">
        <v>2832</v>
      </c>
      <c r="B64" s="453">
        <f t="shared" si="25"/>
        <v>0</v>
      </c>
      <c r="C64" s="452">
        <v>12</v>
      </c>
      <c r="D64" s="455">
        <v>7554.22</v>
      </c>
      <c r="E64" s="455">
        <f t="shared" si="26"/>
        <v>0</v>
      </c>
      <c r="F64" s="455">
        <v>17255.400000000001</v>
      </c>
      <c r="G64" s="455">
        <f t="shared" si="27"/>
        <v>0</v>
      </c>
      <c r="H64" s="455">
        <f t="shared" si="28"/>
        <v>17255.400000000001</v>
      </c>
      <c r="I64" s="455">
        <f t="shared" si="29"/>
        <v>19.497627118644068</v>
      </c>
      <c r="J64" s="455">
        <f t="shared" si="30"/>
        <v>1917.2666666666669</v>
      </c>
      <c r="K64" s="455">
        <v>3946.38</v>
      </c>
      <c r="L64" s="455">
        <f t="shared" si="31"/>
        <v>13309.02</v>
      </c>
      <c r="M64" s="455">
        <f t="shared" si="32"/>
        <v>15.038440677966102</v>
      </c>
      <c r="N64" s="455">
        <f t="shared" si="33"/>
        <v>10.961785310734463</v>
      </c>
      <c r="O64" s="455">
        <v>1728.73</v>
      </c>
      <c r="P64" s="455">
        <f t="shared" si="34"/>
        <v>1.9533672316384181</v>
      </c>
      <c r="Q64" s="455">
        <v>15526.67</v>
      </c>
      <c r="R64" s="455">
        <f t="shared" si="35"/>
        <v>17.544259887005651</v>
      </c>
      <c r="S64" s="457" t="s">
        <v>2832</v>
      </c>
      <c r="T64" s="447">
        <f t="shared" si="36"/>
        <v>17255.400000000001</v>
      </c>
      <c r="U64" s="447">
        <f t="shared" si="37"/>
        <v>-3946.38</v>
      </c>
      <c r="V64" s="448">
        <f t="shared" si="38"/>
        <v>13309.02</v>
      </c>
      <c r="W64" s="448"/>
      <c r="X64" s="448"/>
      <c r="Y64" s="458">
        <f t="shared" si="39"/>
        <v>7554.22</v>
      </c>
      <c r="Z64" s="458">
        <f t="shared" si="40"/>
        <v>2503.79</v>
      </c>
      <c r="AA64" s="448">
        <f t="shared" si="41"/>
        <v>7197.39</v>
      </c>
      <c r="AB64" s="448"/>
    </row>
    <row r="65" spans="1:34" ht="12.95" customHeight="1" x14ac:dyDescent="0.25">
      <c r="A65" s="450" t="s">
        <v>2833</v>
      </c>
      <c r="B65" s="453">
        <f t="shared" si="25"/>
        <v>0</v>
      </c>
      <c r="C65" s="452">
        <v>15</v>
      </c>
      <c r="D65" s="455">
        <v>15755.82</v>
      </c>
      <c r="E65" s="455">
        <f t="shared" si="26"/>
        <v>0</v>
      </c>
      <c r="F65" s="455">
        <v>32854.080000000002</v>
      </c>
      <c r="G65" s="455">
        <f t="shared" si="27"/>
        <v>0</v>
      </c>
      <c r="H65" s="455">
        <f t="shared" si="28"/>
        <v>32854.080000000002</v>
      </c>
      <c r="I65" s="455">
        <f t="shared" si="29"/>
        <v>37.123254237288137</v>
      </c>
      <c r="J65" s="455">
        <f t="shared" si="30"/>
        <v>2053.38</v>
      </c>
      <c r="K65" s="455">
        <v>305.3</v>
      </c>
      <c r="L65" s="455">
        <f t="shared" si="31"/>
        <v>32548.780000000002</v>
      </c>
      <c r="M65" s="455">
        <f t="shared" si="32"/>
        <v>36.778282485875707</v>
      </c>
      <c r="N65" s="455">
        <f t="shared" si="33"/>
        <v>19.320067796610171</v>
      </c>
      <c r="O65" s="455">
        <v>3672.88</v>
      </c>
      <c r="P65" s="455">
        <f t="shared" si="34"/>
        <v>4.1501468926553677</v>
      </c>
      <c r="Q65" s="455">
        <v>29181.200000000001</v>
      </c>
      <c r="R65" s="455">
        <f t="shared" si="35"/>
        <v>32.973107344632773</v>
      </c>
      <c r="S65" s="457" t="s">
        <v>2833</v>
      </c>
      <c r="T65" s="447">
        <f t="shared" si="36"/>
        <v>32854.080000000002</v>
      </c>
      <c r="U65" s="447">
        <f t="shared" si="37"/>
        <v>-305.3</v>
      </c>
      <c r="V65" s="448">
        <f t="shared" si="38"/>
        <v>32548.780000000002</v>
      </c>
      <c r="W65" s="448"/>
      <c r="X65" s="448"/>
      <c r="Y65" s="458">
        <f t="shared" si="39"/>
        <v>15755.82</v>
      </c>
      <c r="Z65" s="458">
        <f t="shared" si="40"/>
        <v>3082.92</v>
      </c>
      <c r="AA65" s="448">
        <f t="shared" si="41"/>
        <v>14015.340000000002</v>
      </c>
      <c r="AB65" s="448"/>
    </row>
    <row r="66" spans="1:34" ht="12.95" customHeight="1" x14ac:dyDescent="0.25">
      <c r="A66" s="450" t="s">
        <v>2834</v>
      </c>
      <c r="B66" s="453">
        <f t="shared" si="25"/>
        <v>0</v>
      </c>
      <c r="C66" s="452">
        <v>7</v>
      </c>
      <c r="D66" s="455">
        <v>13254.03</v>
      </c>
      <c r="E66" s="455">
        <f t="shared" si="26"/>
        <v>0</v>
      </c>
      <c r="F66" s="455">
        <v>21517.18</v>
      </c>
      <c r="G66" s="455">
        <f t="shared" si="27"/>
        <v>0</v>
      </c>
      <c r="H66" s="455">
        <f t="shared" si="28"/>
        <v>21517.18</v>
      </c>
      <c r="I66" s="455">
        <f t="shared" si="29"/>
        <v>24.313197740112994</v>
      </c>
      <c r="J66" s="455">
        <f t="shared" si="30"/>
        <v>1655.1676923076923</v>
      </c>
      <c r="K66" s="455">
        <v>3375.11</v>
      </c>
      <c r="L66" s="455">
        <f t="shared" si="31"/>
        <v>18142.07</v>
      </c>
      <c r="M66" s="455">
        <f t="shared" si="32"/>
        <v>20.499514124293785</v>
      </c>
      <c r="N66" s="455">
        <f t="shared" si="33"/>
        <v>9.3368926553672313</v>
      </c>
      <c r="O66" s="455">
        <v>2414.75</v>
      </c>
      <c r="P66" s="455">
        <f t="shared" si="34"/>
        <v>2.7285310734463275</v>
      </c>
      <c r="Q66" s="455">
        <v>19102.43</v>
      </c>
      <c r="R66" s="455">
        <f t="shared" si="35"/>
        <v>21.584666666666667</v>
      </c>
      <c r="S66" s="457" t="s">
        <v>2834</v>
      </c>
      <c r="T66" s="447">
        <f t="shared" si="36"/>
        <v>21517.18</v>
      </c>
      <c r="U66" s="447">
        <f t="shared" si="37"/>
        <v>-3375.11</v>
      </c>
      <c r="V66" s="448">
        <f t="shared" si="38"/>
        <v>18142.07</v>
      </c>
      <c r="W66" s="448"/>
      <c r="X66" s="448"/>
      <c r="Y66" s="458">
        <f t="shared" si="39"/>
        <v>13254.03</v>
      </c>
      <c r="Z66" s="458">
        <f t="shared" si="40"/>
        <v>1465.67</v>
      </c>
      <c r="AA66" s="448">
        <f t="shared" si="41"/>
        <v>6797.48</v>
      </c>
      <c r="AB66" s="448"/>
    </row>
    <row r="67" spans="1:34" ht="12.95" customHeight="1" x14ac:dyDescent="0.25">
      <c r="A67" s="450" t="s">
        <v>2835</v>
      </c>
      <c r="B67" s="453">
        <f t="shared" si="25"/>
        <v>0</v>
      </c>
      <c r="C67" s="452">
        <v>8</v>
      </c>
      <c r="D67" s="455">
        <v>11799.89</v>
      </c>
      <c r="E67" s="455">
        <f t="shared" si="26"/>
        <v>0</v>
      </c>
      <c r="F67" s="455">
        <v>25392.04</v>
      </c>
      <c r="G67" s="455">
        <f t="shared" si="27"/>
        <v>0</v>
      </c>
      <c r="H67" s="455">
        <f t="shared" si="28"/>
        <v>25392.04</v>
      </c>
      <c r="I67" s="455">
        <f t="shared" si="29"/>
        <v>28.691570621468927</v>
      </c>
      <c r="J67" s="455">
        <f t="shared" si="30"/>
        <v>1813.717142857143</v>
      </c>
      <c r="K67" s="455">
        <v>18.39</v>
      </c>
      <c r="L67" s="455">
        <f t="shared" si="31"/>
        <v>25373.65</v>
      </c>
      <c r="M67" s="455">
        <f t="shared" si="32"/>
        <v>28.670790960451978</v>
      </c>
      <c r="N67" s="455">
        <f t="shared" si="33"/>
        <v>15.358361581920905</v>
      </c>
      <c r="O67" s="455">
        <v>1515.71</v>
      </c>
      <c r="P67" s="455">
        <f t="shared" si="34"/>
        <v>1.7126666666666668</v>
      </c>
      <c r="Q67" s="455">
        <v>23876.33</v>
      </c>
      <c r="R67" s="455">
        <f t="shared" si="35"/>
        <v>26.978903954802263</v>
      </c>
      <c r="S67" s="457" t="s">
        <v>2835</v>
      </c>
      <c r="T67" s="447">
        <f t="shared" si="36"/>
        <v>25392.04</v>
      </c>
      <c r="U67" s="447">
        <f t="shared" si="37"/>
        <v>-18.39</v>
      </c>
      <c r="V67" s="448">
        <f t="shared" si="38"/>
        <v>25373.65</v>
      </c>
      <c r="W67" s="448"/>
      <c r="X67" s="448"/>
      <c r="Y67" s="458">
        <f t="shared" si="39"/>
        <v>11799.89</v>
      </c>
      <c r="Z67" s="458">
        <f t="shared" si="40"/>
        <v>1848.99</v>
      </c>
      <c r="AA67" s="448">
        <f t="shared" si="41"/>
        <v>11743.160000000002</v>
      </c>
      <c r="AB67" s="448"/>
    </row>
    <row r="68" spans="1:34" ht="12.95" customHeight="1" x14ac:dyDescent="0.25">
      <c r="A68" s="450" t="s">
        <v>2836</v>
      </c>
      <c r="B68" s="453">
        <f t="shared" si="25"/>
        <v>1.1299435028248588E-3</v>
      </c>
      <c r="C68" s="452">
        <v>9</v>
      </c>
      <c r="D68" s="455">
        <v>29890.58</v>
      </c>
      <c r="E68" s="455">
        <f t="shared" si="26"/>
        <v>29890.58</v>
      </c>
      <c r="F68" s="455">
        <v>48718.51</v>
      </c>
      <c r="G68" s="455">
        <f t="shared" si="27"/>
        <v>0</v>
      </c>
      <c r="H68" s="455">
        <f t="shared" si="28"/>
        <v>48718.51</v>
      </c>
      <c r="I68" s="455">
        <f t="shared" si="29"/>
        <v>55.049163841807911</v>
      </c>
      <c r="J68" s="455">
        <f t="shared" si="30"/>
        <v>2118.1960869565219</v>
      </c>
      <c r="K68" s="455">
        <v>723.03</v>
      </c>
      <c r="L68" s="455">
        <f t="shared" si="31"/>
        <v>47995.48</v>
      </c>
      <c r="M68" s="455">
        <f t="shared" si="32"/>
        <v>54.232180790960456</v>
      </c>
      <c r="N68" s="455">
        <f t="shared" si="33"/>
        <v>21.274497175141242</v>
      </c>
      <c r="O68" s="455">
        <v>9787.3799999999992</v>
      </c>
      <c r="P68" s="455">
        <f t="shared" si="34"/>
        <v>11.059186440677966</v>
      </c>
      <c r="Q68" s="455">
        <v>38931.129999999997</v>
      </c>
      <c r="R68" s="455">
        <f t="shared" si="35"/>
        <v>43.989977401129941</v>
      </c>
      <c r="S68" s="457" t="s">
        <v>2836</v>
      </c>
      <c r="T68" s="447">
        <f t="shared" si="36"/>
        <v>48718.51</v>
      </c>
      <c r="U68" s="447">
        <f t="shared" si="37"/>
        <v>-723.03</v>
      </c>
      <c r="V68" s="448">
        <f t="shared" si="38"/>
        <v>47995.48</v>
      </c>
      <c r="W68" s="448"/>
      <c r="X68" s="448"/>
      <c r="Y68" s="458">
        <f t="shared" si="39"/>
        <v>29890.58</v>
      </c>
      <c r="Z68" s="458">
        <f t="shared" si="40"/>
        <v>2568.58</v>
      </c>
      <c r="AA68" s="448">
        <f t="shared" si="41"/>
        <v>16259.35</v>
      </c>
      <c r="AB68" s="448"/>
    </row>
    <row r="69" spans="1:34" ht="12.95" customHeight="1" x14ac:dyDescent="0.25">
      <c r="A69" s="450" t="s">
        <v>2837</v>
      </c>
      <c r="B69" s="453">
        <f t="shared" si="25"/>
        <v>0</v>
      </c>
      <c r="C69" s="452">
        <v>6</v>
      </c>
      <c r="D69" s="455">
        <v>14358.12</v>
      </c>
      <c r="E69" s="455">
        <f t="shared" si="26"/>
        <v>0</v>
      </c>
      <c r="F69" s="455">
        <v>35480.74</v>
      </c>
      <c r="G69" s="455">
        <f t="shared" si="27"/>
        <v>0</v>
      </c>
      <c r="H69" s="455">
        <f t="shared" si="28"/>
        <v>35480.74</v>
      </c>
      <c r="I69" s="455">
        <f t="shared" si="29"/>
        <v>40.09123163841808</v>
      </c>
      <c r="J69" s="455">
        <f t="shared" si="30"/>
        <v>1867.4073684210525</v>
      </c>
      <c r="K69" s="455">
        <v>0</v>
      </c>
      <c r="L69" s="455">
        <f t="shared" si="31"/>
        <v>35480.74</v>
      </c>
      <c r="M69" s="455">
        <f t="shared" si="32"/>
        <v>40.09123163841808</v>
      </c>
      <c r="N69" s="455">
        <f t="shared" si="33"/>
        <v>23.867367231638411</v>
      </c>
      <c r="O69" s="455">
        <v>9311.34</v>
      </c>
      <c r="P69" s="455">
        <f t="shared" si="34"/>
        <v>10.52128813559322</v>
      </c>
      <c r="Q69" s="455">
        <v>26169.4</v>
      </c>
      <c r="R69" s="455">
        <f t="shared" si="35"/>
        <v>29.569943502824859</v>
      </c>
      <c r="S69" s="457" t="s">
        <v>2837</v>
      </c>
      <c r="T69" s="447">
        <f t="shared" si="36"/>
        <v>35480.74</v>
      </c>
      <c r="U69" s="447">
        <f t="shared" si="37"/>
        <v>0</v>
      </c>
      <c r="V69" s="448">
        <f t="shared" si="38"/>
        <v>35480.74</v>
      </c>
      <c r="W69" s="448"/>
      <c r="X69" s="448"/>
      <c r="Y69" s="458">
        <f t="shared" si="39"/>
        <v>14358.12</v>
      </c>
      <c r="Z69" s="458">
        <f t="shared" si="40"/>
        <v>1170.5</v>
      </c>
      <c r="AA69" s="448">
        <f t="shared" si="41"/>
        <v>19952.119999999995</v>
      </c>
      <c r="AB69" s="448"/>
    </row>
    <row r="70" spans="1:34" ht="12.95" customHeight="1" x14ac:dyDescent="0.25">
      <c r="A70" s="453" t="s">
        <v>2805</v>
      </c>
      <c r="B70" s="453">
        <f t="shared" ref="B70:R70" si="42">IF(AVERAGE(B66:B68)&lt;&gt;0, ((B69/AVERAGE(B66:B68))-1), IF(B69=0,0,1))</f>
        <v>-1</v>
      </c>
      <c r="C70" s="453">
        <f t="shared" si="42"/>
        <v>-0.25</v>
      </c>
      <c r="D70" s="453">
        <f t="shared" si="42"/>
        <v>-0.2160387299911728</v>
      </c>
      <c r="E70" s="453">
        <f t="shared" si="42"/>
        <v>-1</v>
      </c>
      <c r="F70" s="453">
        <f t="shared" si="42"/>
        <v>0.11308947728864815</v>
      </c>
      <c r="G70" s="453">
        <f t="shared" si="42"/>
        <v>0</v>
      </c>
      <c r="H70" s="453">
        <f t="shared" si="42"/>
        <v>0.11308947728864815</v>
      </c>
      <c r="I70" s="453">
        <f t="shared" si="42"/>
        <v>0.11308947728864838</v>
      </c>
      <c r="J70" s="453">
        <f t="shared" si="42"/>
        <v>2.7100346948352172E-3</v>
      </c>
      <c r="K70" s="453">
        <f t="shared" si="42"/>
        <v>-1</v>
      </c>
      <c r="L70" s="453">
        <f t="shared" si="42"/>
        <v>0.16316057488045166</v>
      </c>
      <c r="M70" s="453">
        <f t="shared" si="42"/>
        <v>0.16316057488045166</v>
      </c>
      <c r="N70" s="453">
        <f t="shared" si="42"/>
        <v>0.55759166614843481</v>
      </c>
      <c r="O70" s="453">
        <f t="shared" si="42"/>
        <v>1.0363278766919573</v>
      </c>
      <c r="P70" s="453">
        <f t="shared" si="42"/>
        <v>1.0363278766919577</v>
      </c>
      <c r="Q70" s="453">
        <f t="shared" si="42"/>
        <v>-4.1529661436488174E-2</v>
      </c>
      <c r="R70" s="453">
        <f t="shared" si="42"/>
        <v>-4.1529661436488285E-2</v>
      </c>
      <c r="S70" s="446"/>
      <c r="T70" s="447"/>
      <c r="U70" s="447"/>
      <c r="V70" s="448"/>
      <c r="W70" s="448"/>
      <c r="X70" s="448"/>
      <c r="Y70" s="448"/>
      <c r="Z70" s="448"/>
      <c r="AA70" s="448"/>
      <c r="AB70" s="448"/>
    </row>
    <row r="71" spans="1:34" ht="12.95" customHeight="1" x14ac:dyDescent="0.25">
      <c r="A71" s="453" t="s">
        <v>2806</v>
      </c>
      <c r="B71" s="453">
        <f t="shared" ref="B71:R71" si="43">IF(AVERAGE(B58:B68)&lt;&gt;0, ((B69/AVERAGE(B58:B68))-1), IF(B69=0,0,1))</f>
        <v>-1</v>
      </c>
      <c r="C71" s="453">
        <f t="shared" si="43"/>
        <v>-0.10810810810810811</v>
      </c>
      <c r="D71" s="453">
        <f t="shared" si="43"/>
        <v>0.44390640805936177</v>
      </c>
      <c r="E71" s="453">
        <f t="shared" si="43"/>
        <v>-1</v>
      </c>
      <c r="F71" s="453">
        <f t="shared" si="43"/>
        <v>0.62105575762257859</v>
      </c>
      <c r="G71" s="453">
        <f t="shared" si="43"/>
        <v>0</v>
      </c>
      <c r="H71" s="453">
        <f t="shared" si="43"/>
        <v>0.62105575762257859</v>
      </c>
      <c r="I71" s="453">
        <f t="shared" si="43"/>
        <v>0.64223910475703838</v>
      </c>
      <c r="J71" s="453">
        <f t="shared" si="43"/>
        <v>0.25255476358615425</v>
      </c>
      <c r="K71" s="453">
        <f t="shared" si="43"/>
        <v>-1</v>
      </c>
      <c r="L71" s="453">
        <f t="shared" si="43"/>
        <v>0.86828188524800831</v>
      </c>
      <c r="M71" s="453">
        <f t="shared" si="43"/>
        <v>0.88996995046182903</v>
      </c>
      <c r="N71" s="453">
        <f t="shared" si="43"/>
        <v>0.79844446024414184</v>
      </c>
      <c r="O71" s="453">
        <f t="shared" si="43"/>
        <v>3.7956843647416925</v>
      </c>
      <c r="P71" s="453">
        <f t="shared" si="43"/>
        <v>3.8114209490661564</v>
      </c>
      <c r="Q71" s="453">
        <f t="shared" si="43"/>
        <v>0.31202433355707582</v>
      </c>
      <c r="R71" s="453">
        <f t="shared" si="43"/>
        <v>0.3304326400997728</v>
      </c>
      <c r="S71" s="446"/>
      <c r="T71" s="447">
        <f>SUM(T58:T70)</f>
        <v>276242.44</v>
      </c>
      <c r="U71" s="447">
        <f>SUM(U58:U70)</f>
        <v>-31859.53</v>
      </c>
      <c r="V71" s="447">
        <f>SUM(V58:V70)</f>
        <v>244382.91</v>
      </c>
      <c r="W71" s="447">
        <f t="shared" ref="W71:AH71" si="44">SUM(W58:W70)</f>
        <v>0</v>
      </c>
      <c r="X71" s="447">
        <f t="shared" si="44"/>
        <v>0</v>
      </c>
      <c r="Y71" s="447">
        <f t="shared" si="44"/>
        <v>123741.47</v>
      </c>
      <c r="Z71" s="447">
        <f t="shared" si="44"/>
        <v>23977.940000000002</v>
      </c>
      <c r="AA71" s="447">
        <f t="shared" si="44"/>
        <v>128523.03</v>
      </c>
      <c r="AB71" s="447">
        <f>Y71+Z71+AA71-T71</f>
        <v>0</v>
      </c>
      <c r="AC71" s="447">
        <v>300000</v>
      </c>
      <c r="AD71" s="447"/>
      <c r="AE71" s="447"/>
      <c r="AF71" s="447"/>
      <c r="AG71" s="447"/>
      <c r="AH71" s="447">
        <f t="shared" si="44"/>
        <v>0</v>
      </c>
    </row>
    <row r="72" spans="1:34" ht="12.95" customHeight="1" x14ac:dyDescent="0.25">
      <c r="A72" s="451" t="s">
        <v>2807</v>
      </c>
      <c r="B72" s="453">
        <f t="shared" ref="B72:R72" si="45">AVERAGE(B66:B68)</f>
        <v>3.7664783427495291E-4</v>
      </c>
      <c r="C72" s="454">
        <f t="shared" si="45"/>
        <v>8</v>
      </c>
      <c r="D72" s="455">
        <f t="shared" si="45"/>
        <v>18314.833333333332</v>
      </c>
      <c r="E72" s="455">
        <f t="shared" si="45"/>
        <v>9963.5266666666666</v>
      </c>
      <c r="F72" s="455">
        <f t="shared" si="45"/>
        <v>31875.910000000003</v>
      </c>
      <c r="G72" s="455">
        <f t="shared" si="45"/>
        <v>0</v>
      </c>
      <c r="H72" s="455">
        <f t="shared" si="45"/>
        <v>31875.910000000003</v>
      </c>
      <c r="I72" s="455">
        <f t="shared" si="45"/>
        <v>36.017977401129947</v>
      </c>
      <c r="J72" s="455">
        <f t="shared" si="45"/>
        <v>1862.3603073737856</v>
      </c>
      <c r="K72" s="455">
        <f t="shared" si="45"/>
        <v>1372.1766666666665</v>
      </c>
      <c r="L72" s="455">
        <f t="shared" si="45"/>
        <v>30503.733333333337</v>
      </c>
      <c r="M72" s="455">
        <f t="shared" si="45"/>
        <v>34.467495291902075</v>
      </c>
      <c r="N72" s="455">
        <f t="shared" si="45"/>
        <v>15.323250470809791</v>
      </c>
      <c r="O72" s="455">
        <f t="shared" si="45"/>
        <v>4572.6133333333337</v>
      </c>
      <c r="P72" s="455">
        <f t="shared" si="45"/>
        <v>5.1667947269303198</v>
      </c>
      <c r="Q72" s="455">
        <f t="shared" si="45"/>
        <v>27303.296666666665</v>
      </c>
      <c r="R72" s="455">
        <f t="shared" si="45"/>
        <v>30.851182674199624</v>
      </c>
      <c r="S72" s="446"/>
      <c r="T72" s="447"/>
      <c r="U72" s="447"/>
      <c r="V72" s="448"/>
      <c r="W72" s="448"/>
      <c r="X72" s="448"/>
      <c r="Y72" s="448"/>
      <c r="Z72" s="448"/>
      <c r="AA72" s="448"/>
      <c r="AB72" s="448"/>
    </row>
    <row r="73" spans="1:34" ht="12.95" customHeight="1" x14ac:dyDescent="0.25">
      <c r="A73" s="451" t="s">
        <v>2808</v>
      </c>
      <c r="B73" s="451"/>
      <c r="C73" s="452">
        <f>SUM(C58:C69)</f>
        <v>80</v>
      </c>
      <c r="D73" s="455">
        <f>SUM(D58:D69)</f>
        <v>123741.47</v>
      </c>
      <c r="E73" s="451"/>
      <c r="F73" s="455">
        <f>SUM(F58:F69)</f>
        <v>276242.44</v>
      </c>
      <c r="G73" s="455">
        <f>SUM(G58:G69)</f>
        <v>0</v>
      </c>
      <c r="H73" s="455">
        <f>SUM(H58:H69)</f>
        <v>276242.44</v>
      </c>
      <c r="I73" s="451"/>
      <c r="J73" s="451"/>
      <c r="K73" s="455">
        <f>SUM(K58:K69)</f>
        <v>31859.53</v>
      </c>
      <c r="L73" s="455">
        <f>SUM(L58:L69)</f>
        <v>244382.91</v>
      </c>
      <c r="M73" s="451"/>
      <c r="N73" s="451"/>
      <c r="O73" s="455">
        <f>SUM(O58:O69)</f>
        <v>30669.030000000002</v>
      </c>
      <c r="P73" s="451"/>
      <c r="Q73" s="455">
        <f>SUM(Q58:Q69)</f>
        <v>245573.41</v>
      </c>
      <c r="R73" s="451"/>
      <c r="T73" s="448"/>
      <c r="U73" s="448"/>
      <c r="V73" s="448"/>
      <c r="W73" s="448"/>
      <c r="X73" s="448"/>
      <c r="Y73" s="448"/>
      <c r="Z73" s="448"/>
      <c r="AA73" s="448"/>
      <c r="AB73" s="448"/>
    </row>
    <row r="74" spans="1:34" ht="33" customHeight="1" x14ac:dyDescent="0.25">
      <c r="A74" s="449"/>
      <c r="B74" s="449" t="s">
        <v>2872</v>
      </c>
      <c r="C74" s="449" t="s">
        <v>2873</v>
      </c>
      <c r="D74" s="449" t="s">
        <v>2874</v>
      </c>
      <c r="E74" s="449" t="s">
        <v>2875</v>
      </c>
      <c r="F74" s="449" t="s">
        <v>2876</v>
      </c>
      <c r="G74" s="449" t="s">
        <v>2877</v>
      </c>
      <c r="H74" s="449" t="s">
        <v>2878</v>
      </c>
      <c r="I74" s="449" t="s">
        <v>2879</v>
      </c>
      <c r="J74" s="449" t="s">
        <v>2880</v>
      </c>
      <c r="K74" s="449" t="s">
        <v>2881</v>
      </c>
      <c r="L74" s="449" t="s">
        <v>2882</v>
      </c>
      <c r="M74" s="449" t="s">
        <v>2883</v>
      </c>
      <c r="N74" s="449" t="s">
        <v>2884</v>
      </c>
      <c r="O74" s="449" t="s">
        <v>2885</v>
      </c>
      <c r="P74" s="449" t="s">
        <v>2886</v>
      </c>
      <c r="Q74" s="449" t="s">
        <v>2887</v>
      </c>
      <c r="R74" s="449" t="s">
        <v>2888</v>
      </c>
      <c r="T74" s="448"/>
      <c r="U74" s="448"/>
      <c r="V74" s="448"/>
      <c r="W74" s="448"/>
      <c r="X74" s="448"/>
      <c r="Y74" s="448"/>
      <c r="Z74" s="448"/>
      <c r="AA74" s="448"/>
      <c r="AB74" s="448"/>
    </row>
    <row r="75" spans="1:34" ht="9.75" customHeight="1" x14ac:dyDescent="0.25">
      <c r="A75" s="450" t="s">
        <v>2826</v>
      </c>
      <c r="B75" s="455">
        <v>26.21</v>
      </c>
      <c r="C75" s="455">
        <v>2208.4299999999998</v>
      </c>
      <c r="D75" s="455">
        <f t="shared" ref="D75:D86" si="46">IF(B4=0,0,(C75/B4))</f>
        <v>2.3874918918918917</v>
      </c>
      <c r="E75" s="455">
        <v>2133.83</v>
      </c>
      <c r="F75" s="455">
        <v>74.599999999999994</v>
      </c>
      <c r="G75" s="455">
        <f t="shared" ref="G75:G86" si="47">IF(B4=0,0,(F75/B4))</f>
        <v>8.0648648648648638E-2</v>
      </c>
      <c r="H75" s="455">
        <v>368.54</v>
      </c>
      <c r="I75" s="455">
        <v>566.21</v>
      </c>
      <c r="J75" s="455">
        <v>564.77</v>
      </c>
      <c r="K75" s="455">
        <v>0</v>
      </c>
      <c r="L75" s="455">
        <v>1661.34</v>
      </c>
      <c r="M75" s="455">
        <f t="shared" ref="M75:M86" si="48">IF(K38=0,0,(K75/K38))</f>
        <v>0</v>
      </c>
      <c r="N75" s="455">
        <v>1297.2</v>
      </c>
      <c r="O75" s="455">
        <v>1292.83</v>
      </c>
      <c r="P75" s="455">
        <v>16236.87</v>
      </c>
      <c r="Q75" s="455">
        <v>14469.09</v>
      </c>
      <c r="R75" s="455">
        <v>3060.61</v>
      </c>
      <c r="T75" s="448"/>
      <c r="U75" s="448"/>
      <c r="V75" s="448"/>
      <c r="W75" s="448"/>
      <c r="X75" s="448"/>
      <c r="Y75" s="448"/>
      <c r="Z75" s="448"/>
      <c r="AA75" s="448"/>
      <c r="AB75" s="448"/>
    </row>
    <row r="76" spans="1:34" ht="9.75" customHeight="1" x14ac:dyDescent="0.25">
      <c r="A76" s="450" t="s">
        <v>2827</v>
      </c>
      <c r="B76" s="455">
        <v>0</v>
      </c>
      <c r="C76" s="455">
        <v>1110.24</v>
      </c>
      <c r="D76" s="455">
        <f t="shared" si="46"/>
        <v>1.2002594594594596</v>
      </c>
      <c r="E76" s="455">
        <v>1099.1099999999999</v>
      </c>
      <c r="F76" s="455">
        <v>11.13</v>
      </c>
      <c r="G76" s="455">
        <f t="shared" si="47"/>
        <v>1.2032432432432433E-2</v>
      </c>
      <c r="H76" s="455">
        <v>323.43</v>
      </c>
      <c r="I76" s="455">
        <v>69.25</v>
      </c>
      <c r="J76" s="455">
        <v>362.63</v>
      </c>
      <c r="K76" s="455">
        <v>0</v>
      </c>
      <c r="L76" s="455">
        <v>25.4</v>
      </c>
      <c r="M76" s="455">
        <f t="shared" si="48"/>
        <v>0</v>
      </c>
      <c r="N76" s="455">
        <v>273.41000000000003</v>
      </c>
      <c r="O76" s="455">
        <v>273.41000000000003</v>
      </c>
      <c r="P76" s="455">
        <v>3350.28</v>
      </c>
      <c r="Q76" s="455">
        <v>2374.5100000000002</v>
      </c>
      <c r="R76" s="455">
        <v>1249.18</v>
      </c>
      <c r="T76" s="448"/>
      <c r="U76" s="448"/>
      <c r="V76" s="448"/>
      <c r="W76" s="448"/>
      <c r="X76" s="448"/>
      <c r="Y76" s="448"/>
      <c r="Z76" s="448"/>
      <c r="AA76" s="448"/>
      <c r="AB76" s="448"/>
    </row>
    <row r="77" spans="1:34" ht="9.75" customHeight="1" x14ac:dyDescent="0.25">
      <c r="A77" s="450" t="s">
        <v>2828</v>
      </c>
      <c r="B77" s="455">
        <v>56.04</v>
      </c>
      <c r="C77" s="455">
        <v>1586.58</v>
      </c>
      <c r="D77" s="455">
        <f t="shared" si="46"/>
        <v>1.7396710526315788</v>
      </c>
      <c r="E77" s="455">
        <v>1583.36</v>
      </c>
      <c r="F77" s="455">
        <v>3.22</v>
      </c>
      <c r="G77" s="455">
        <f t="shared" si="47"/>
        <v>3.530701754385965E-3</v>
      </c>
      <c r="H77" s="455">
        <v>275.58999999999997</v>
      </c>
      <c r="I77" s="455">
        <v>30.78</v>
      </c>
      <c r="J77" s="455">
        <v>642.29999999999995</v>
      </c>
      <c r="K77" s="455">
        <v>0</v>
      </c>
      <c r="L77" s="455">
        <v>436.13</v>
      </c>
      <c r="M77" s="455">
        <f t="shared" si="48"/>
        <v>0</v>
      </c>
      <c r="N77" s="455">
        <v>579.6</v>
      </c>
      <c r="O77" s="455">
        <v>561.24</v>
      </c>
      <c r="P77" s="455">
        <v>26992.799999999999</v>
      </c>
      <c r="Q77" s="455">
        <v>23545.05</v>
      </c>
      <c r="R77" s="455">
        <v>4008.99</v>
      </c>
      <c r="T77" s="448"/>
      <c r="U77" s="448"/>
      <c r="V77" s="448"/>
      <c r="W77" s="448"/>
      <c r="X77" s="448"/>
      <c r="Y77" s="448"/>
      <c r="Z77" s="448"/>
      <c r="AA77" s="448"/>
      <c r="AB77" s="448"/>
    </row>
    <row r="78" spans="1:34" ht="9.75" customHeight="1" x14ac:dyDescent="0.25">
      <c r="A78" s="450" t="s">
        <v>2829</v>
      </c>
      <c r="B78" s="455">
        <v>64.13</v>
      </c>
      <c r="C78" s="455">
        <v>2496.6</v>
      </c>
      <c r="D78" s="455">
        <f t="shared" si="46"/>
        <v>2.7374999999999998</v>
      </c>
      <c r="E78" s="455">
        <v>2096.6999999999998</v>
      </c>
      <c r="F78" s="455">
        <v>399.9</v>
      </c>
      <c r="G78" s="455">
        <f t="shared" si="47"/>
        <v>0.43848684210526312</v>
      </c>
      <c r="H78" s="455">
        <v>786.45</v>
      </c>
      <c r="I78" s="455">
        <v>675.26</v>
      </c>
      <c r="J78" s="455">
        <v>404.32</v>
      </c>
      <c r="K78" s="455">
        <v>0</v>
      </c>
      <c r="L78" s="455">
        <v>12.08</v>
      </c>
      <c r="M78" s="455">
        <f t="shared" si="48"/>
        <v>0</v>
      </c>
      <c r="N78" s="455">
        <v>923.67</v>
      </c>
      <c r="O78" s="455">
        <v>907.81</v>
      </c>
      <c r="P78" s="455">
        <v>12271.61</v>
      </c>
      <c r="Q78" s="455">
        <v>10951.72</v>
      </c>
      <c r="R78" s="455">
        <v>2227.6999999999998</v>
      </c>
      <c r="T78" s="448"/>
      <c r="U78" s="448"/>
      <c r="V78" s="448"/>
      <c r="W78" s="448"/>
      <c r="X78" s="448"/>
      <c r="Y78" s="448"/>
      <c r="Z78" s="448"/>
      <c r="AA78" s="448"/>
      <c r="AB78" s="448"/>
    </row>
    <row r="79" spans="1:34" ht="9.75" customHeight="1" x14ac:dyDescent="0.25">
      <c r="A79" s="450" t="s">
        <v>2830</v>
      </c>
      <c r="B79" s="455">
        <v>103.52</v>
      </c>
      <c r="C79" s="455">
        <v>2251.96</v>
      </c>
      <c r="D79" s="455">
        <f t="shared" si="46"/>
        <v>2.4692543859649123</v>
      </c>
      <c r="E79" s="455">
        <v>2243.59</v>
      </c>
      <c r="F79" s="455">
        <v>8.3699999999999992</v>
      </c>
      <c r="G79" s="455">
        <f t="shared" si="47"/>
        <v>9.1776315789473678E-3</v>
      </c>
      <c r="H79" s="455">
        <v>244.27</v>
      </c>
      <c r="I79" s="455">
        <v>462.31</v>
      </c>
      <c r="J79" s="455">
        <v>598.08000000000004</v>
      </c>
      <c r="K79" s="455">
        <v>0</v>
      </c>
      <c r="L79" s="455">
        <v>1107.56</v>
      </c>
      <c r="M79" s="455">
        <f t="shared" si="48"/>
        <v>0</v>
      </c>
      <c r="N79" s="455">
        <v>752.19</v>
      </c>
      <c r="O79" s="455">
        <v>745.52</v>
      </c>
      <c r="P79" s="455">
        <v>17284.599999999999</v>
      </c>
      <c r="Q79" s="455">
        <v>15104.68</v>
      </c>
      <c r="R79" s="455">
        <v>2925.44</v>
      </c>
      <c r="T79" s="448"/>
      <c r="U79" s="448"/>
      <c r="V79" s="448"/>
      <c r="W79" s="448"/>
      <c r="X79" s="448"/>
      <c r="Y79" s="448"/>
      <c r="Z79" s="448"/>
      <c r="AA79" s="448"/>
      <c r="AB79" s="448"/>
    </row>
    <row r="80" spans="1:34" ht="9.75" customHeight="1" x14ac:dyDescent="0.25">
      <c r="A80" s="450" t="s">
        <v>2831</v>
      </c>
      <c r="B80" s="455">
        <v>287.76</v>
      </c>
      <c r="C80" s="455">
        <v>1683.68</v>
      </c>
      <c r="D80" s="455">
        <f t="shared" si="46"/>
        <v>1.846140350877193</v>
      </c>
      <c r="E80" s="455">
        <v>1670.58</v>
      </c>
      <c r="F80" s="455">
        <v>13.1</v>
      </c>
      <c r="G80" s="455">
        <f t="shared" si="47"/>
        <v>1.4364035087719298E-2</v>
      </c>
      <c r="H80" s="455">
        <v>279.7</v>
      </c>
      <c r="I80" s="455">
        <v>15.39</v>
      </c>
      <c r="J80" s="455">
        <v>482.47</v>
      </c>
      <c r="K80" s="455">
        <v>27.21</v>
      </c>
      <c r="L80" s="455">
        <v>775.29</v>
      </c>
      <c r="M80" s="455">
        <f t="shared" si="48"/>
        <v>27.21</v>
      </c>
      <c r="N80" s="455">
        <v>722.11</v>
      </c>
      <c r="O80" s="455">
        <v>703.85</v>
      </c>
      <c r="P80" s="455">
        <v>11674.89</v>
      </c>
      <c r="Q80" s="455">
        <v>10150.18</v>
      </c>
      <c r="R80" s="455">
        <v>2228.56</v>
      </c>
      <c r="T80" s="448"/>
      <c r="U80" s="448"/>
      <c r="V80" s="448"/>
      <c r="W80" s="448"/>
      <c r="X80" s="448"/>
      <c r="Y80" s="448"/>
      <c r="Z80" s="448"/>
      <c r="AA80" s="448"/>
      <c r="AB80" s="448"/>
    </row>
    <row r="81" spans="1:18" ht="9.75" customHeight="1" x14ac:dyDescent="0.25">
      <c r="A81" s="450" t="s">
        <v>2832</v>
      </c>
      <c r="B81" s="455">
        <v>50.98</v>
      </c>
      <c r="C81" s="455">
        <v>2503.79</v>
      </c>
      <c r="D81" s="455">
        <f t="shared" si="46"/>
        <v>2.8291412429378529</v>
      </c>
      <c r="E81" s="455">
        <v>2328.7199999999998</v>
      </c>
      <c r="F81" s="455">
        <v>175.07</v>
      </c>
      <c r="G81" s="455">
        <f t="shared" si="47"/>
        <v>0.19781920903954803</v>
      </c>
      <c r="H81" s="455">
        <v>593.21</v>
      </c>
      <c r="I81" s="455">
        <v>331.02</v>
      </c>
      <c r="J81" s="455">
        <v>908.56</v>
      </c>
      <c r="K81" s="455">
        <v>0</v>
      </c>
      <c r="L81" s="455">
        <v>25.4</v>
      </c>
      <c r="M81" s="455">
        <f t="shared" si="48"/>
        <v>0</v>
      </c>
      <c r="N81" s="455">
        <v>803.88</v>
      </c>
      <c r="O81" s="455">
        <v>799.2</v>
      </c>
      <c r="P81" s="455">
        <v>14727.47</v>
      </c>
      <c r="Q81" s="455">
        <v>12628.54</v>
      </c>
      <c r="R81" s="455">
        <v>2898.13</v>
      </c>
    </row>
    <row r="82" spans="1:18" ht="9.75" customHeight="1" x14ac:dyDescent="0.25">
      <c r="A82" s="450" t="s">
        <v>2833</v>
      </c>
      <c r="B82" s="455">
        <v>1273.67</v>
      </c>
      <c r="C82" s="455">
        <v>3082.92</v>
      </c>
      <c r="D82" s="455">
        <f t="shared" si="46"/>
        <v>3.4835254237288136</v>
      </c>
      <c r="E82" s="455">
        <v>1798.87</v>
      </c>
      <c r="F82" s="455">
        <v>1284.05</v>
      </c>
      <c r="G82" s="455">
        <f t="shared" si="47"/>
        <v>1.4509039548022598</v>
      </c>
      <c r="H82" s="455">
        <v>395.38</v>
      </c>
      <c r="I82" s="455">
        <v>506.57</v>
      </c>
      <c r="J82" s="455">
        <v>359.73</v>
      </c>
      <c r="K82" s="455">
        <v>0</v>
      </c>
      <c r="L82" s="455">
        <v>0</v>
      </c>
      <c r="M82" s="455">
        <f t="shared" si="48"/>
        <v>0</v>
      </c>
      <c r="N82" s="455">
        <v>529.14</v>
      </c>
      <c r="O82" s="455">
        <v>508.9</v>
      </c>
      <c r="P82" s="455">
        <v>28653.45</v>
      </c>
      <c r="Q82" s="455">
        <v>25167.919999999998</v>
      </c>
      <c r="R82" s="455">
        <v>3994.43</v>
      </c>
    </row>
    <row r="83" spans="1:18" ht="9.75" customHeight="1" x14ac:dyDescent="0.25">
      <c r="A83" s="450" t="s">
        <v>2834</v>
      </c>
      <c r="B83" s="455">
        <v>116.59</v>
      </c>
      <c r="C83" s="455">
        <v>1465.67</v>
      </c>
      <c r="D83" s="455">
        <f t="shared" si="46"/>
        <v>1.6561242937853109</v>
      </c>
      <c r="E83" s="455">
        <v>1285.31</v>
      </c>
      <c r="F83" s="455">
        <v>180.36</v>
      </c>
      <c r="G83" s="455">
        <f t="shared" si="47"/>
        <v>0.20379661016949155</v>
      </c>
      <c r="H83" s="455">
        <v>450.93</v>
      </c>
      <c r="I83" s="455">
        <v>167.22</v>
      </c>
      <c r="J83" s="455">
        <v>325.62</v>
      </c>
      <c r="K83" s="455">
        <v>0</v>
      </c>
      <c r="L83" s="455">
        <v>0</v>
      </c>
      <c r="M83" s="455">
        <f t="shared" si="48"/>
        <v>0</v>
      </c>
      <c r="N83" s="455">
        <v>447.86</v>
      </c>
      <c r="O83" s="455">
        <v>441.13</v>
      </c>
      <c r="P83" s="455">
        <v>18650.84</v>
      </c>
      <c r="Q83" s="455">
        <v>16320.26</v>
      </c>
      <c r="R83" s="455">
        <v>2771.71</v>
      </c>
    </row>
    <row r="84" spans="1:18" ht="9.75" customHeight="1" x14ac:dyDescent="0.25">
      <c r="A84" s="450" t="s">
        <v>2835</v>
      </c>
      <c r="B84" s="455">
        <v>139.68</v>
      </c>
      <c r="C84" s="455">
        <v>1848.99</v>
      </c>
      <c r="D84" s="455">
        <f t="shared" si="46"/>
        <v>2.0892542372881358</v>
      </c>
      <c r="E84" s="455">
        <v>1823.4</v>
      </c>
      <c r="F84" s="455">
        <v>25.59</v>
      </c>
      <c r="G84" s="455">
        <f t="shared" si="47"/>
        <v>2.8915254237288135E-2</v>
      </c>
      <c r="H84" s="455">
        <v>523.22</v>
      </c>
      <c r="I84" s="455">
        <v>66.53</v>
      </c>
      <c r="J84" s="455">
        <v>475.68</v>
      </c>
      <c r="K84" s="455">
        <v>0</v>
      </c>
      <c r="L84" s="455">
        <v>0</v>
      </c>
      <c r="M84" s="455">
        <f t="shared" si="48"/>
        <v>0</v>
      </c>
      <c r="N84" s="455">
        <v>1222.44</v>
      </c>
      <c r="O84" s="455">
        <v>1207.4000000000001</v>
      </c>
      <c r="P84" s="455">
        <v>22659.32</v>
      </c>
      <c r="Q84" s="455">
        <v>20024.98</v>
      </c>
      <c r="R84" s="455">
        <v>3841.74</v>
      </c>
    </row>
    <row r="85" spans="1:18" ht="9.75" customHeight="1" x14ac:dyDescent="0.25">
      <c r="A85" s="450" t="s">
        <v>2836</v>
      </c>
      <c r="B85" s="455">
        <v>156.38</v>
      </c>
      <c r="C85" s="455">
        <v>2568.58</v>
      </c>
      <c r="D85" s="455">
        <f t="shared" si="46"/>
        <v>2.9023502824858758</v>
      </c>
      <c r="E85" s="455">
        <v>2517.1999999999998</v>
      </c>
      <c r="F85" s="455">
        <v>51.38</v>
      </c>
      <c r="G85" s="455">
        <f t="shared" si="47"/>
        <v>5.8056497175141247E-2</v>
      </c>
      <c r="H85" s="455">
        <v>460.21</v>
      </c>
      <c r="I85" s="455">
        <v>221.25</v>
      </c>
      <c r="J85" s="455">
        <v>874.87</v>
      </c>
      <c r="K85" s="455">
        <v>223.72</v>
      </c>
      <c r="L85" s="455">
        <v>0</v>
      </c>
      <c r="M85" s="455">
        <f t="shared" si="48"/>
        <v>223.72</v>
      </c>
      <c r="N85" s="455">
        <v>940.95</v>
      </c>
      <c r="O85" s="455">
        <v>922.75</v>
      </c>
      <c r="P85" s="455">
        <v>37629.919999999998</v>
      </c>
      <c r="Q85" s="455">
        <v>33166.44</v>
      </c>
      <c r="R85" s="455">
        <v>5386.23</v>
      </c>
    </row>
    <row r="86" spans="1:18" ht="9.75" customHeight="1" x14ac:dyDescent="0.25">
      <c r="A86" s="450" t="s">
        <v>2837</v>
      </c>
      <c r="B86" s="455">
        <v>117.07</v>
      </c>
      <c r="C86" s="455">
        <v>1170.5</v>
      </c>
      <c r="D86" s="455">
        <f t="shared" si="46"/>
        <v>1.3225988700564972</v>
      </c>
      <c r="E86" s="455">
        <v>1144.9100000000001</v>
      </c>
      <c r="F86" s="455">
        <v>25.59</v>
      </c>
      <c r="G86" s="455">
        <f t="shared" si="47"/>
        <v>2.8915254237288135E-2</v>
      </c>
      <c r="H86" s="455">
        <v>173.23</v>
      </c>
      <c r="I86" s="455">
        <v>43.89</v>
      </c>
      <c r="J86" s="455">
        <v>506.92</v>
      </c>
      <c r="K86" s="455">
        <v>0</v>
      </c>
      <c r="L86" s="455">
        <v>1217.1199999999999</v>
      </c>
      <c r="M86" s="455">
        <f t="shared" si="48"/>
        <v>0</v>
      </c>
      <c r="N86" s="455">
        <v>774.69</v>
      </c>
      <c r="O86" s="455">
        <v>767.96</v>
      </c>
      <c r="P86" s="455">
        <v>25368.97</v>
      </c>
      <c r="Q86" s="455">
        <v>22695.43</v>
      </c>
      <c r="R86" s="455">
        <v>3441.5</v>
      </c>
    </row>
    <row r="87" spans="1:18" ht="9.75" customHeight="1" x14ac:dyDescent="0.25">
      <c r="A87" s="453" t="s">
        <v>2805</v>
      </c>
      <c r="B87" s="453">
        <f t="shared" ref="B87:R87" si="49">IF(AVERAGE(B83:B85)&lt;&gt;0, ((B86/AVERAGE(B83:B85))-1), IF(B86=0,0,1))</f>
        <v>-0.14889131225009078</v>
      </c>
      <c r="C87" s="453">
        <f t="shared" si="49"/>
        <v>-0.40313500724090801</v>
      </c>
      <c r="D87" s="453">
        <f t="shared" si="49"/>
        <v>-0.40313500724090812</v>
      </c>
      <c r="E87" s="453">
        <f t="shared" si="49"/>
        <v>-0.38948010188573934</v>
      </c>
      <c r="F87" s="453">
        <f t="shared" si="49"/>
        <v>-0.70166712004041509</v>
      </c>
      <c r="G87" s="453">
        <f t="shared" si="49"/>
        <v>-0.70166712004041498</v>
      </c>
      <c r="H87" s="453">
        <f t="shared" si="49"/>
        <v>-0.63768509997490175</v>
      </c>
      <c r="I87" s="453">
        <f t="shared" si="49"/>
        <v>-0.71061538461538465</v>
      </c>
      <c r="J87" s="453">
        <f t="shared" si="49"/>
        <v>-9.2717325808241435E-2</v>
      </c>
      <c r="K87" s="453">
        <f t="shared" si="49"/>
        <v>-1</v>
      </c>
      <c r="L87" s="453">
        <f t="shared" si="49"/>
        <v>1</v>
      </c>
      <c r="M87" s="453">
        <f t="shared" si="49"/>
        <v>-1</v>
      </c>
      <c r="N87" s="453">
        <f t="shared" si="49"/>
        <v>-0.10997797989468638</v>
      </c>
      <c r="O87" s="453">
        <f t="shared" si="49"/>
        <v>-0.10399489748296564</v>
      </c>
      <c r="P87" s="453">
        <f t="shared" si="49"/>
        <v>-3.5890133377113331E-2</v>
      </c>
      <c r="Q87" s="453">
        <f t="shared" si="49"/>
        <v>-2.0505762484808177E-2</v>
      </c>
      <c r="R87" s="453">
        <f t="shared" si="49"/>
        <v>-0.13960205605482812</v>
      </c>
    </row>
    <row r="88" spans="1:18" ht="9.75" customHeight="1" x14ac:dyDescent="0.25">
      <c r="A88" s="453" t="s">
        <v>2806</v>
      </c>
      <c r="B88" s="453">
        <f t="shared" ref="B88:R88" si="50">IF(AVERAGE(B75:B85)&lt;&gt;0, ((B86/AVERAGE(B75:B85))-1), IF(B86=0,0,1))</f>
        <v>-0.43393729999648345</v>
      </c>
      <c r="C88" s="453">
        <f t="shared" si="50"/>
        <v>-0.43546930299937214</v>
      </c>
      <c r="D88" s="453">
        <f t="shared" si="50"/>
        <v>-0.42588088234994326</v>
      </c>
      <c r="E88" s="453">
        <f t="shared" si="50"/>
        <v>-0.38806608336852</v>
      </c>
      <c r="F88" s="453">
        <f t="shared" si="50"/>
        <v>-0.87358820174512863</v>
      </c>
      <c r="G88" s="453">
        <f t="shared" si="50"/>
        <v>-0.87265734678103524</v>
      </c>
      <c r="H88" s="453">
        <f t="shared" si="50"/>
        <v>-0.59464829299734312</v>
      </c>
      <c r="I88" s="453">
        <f t="shared" si="50"/>
        <v>-0.84485135565060632</v>
      </c>
      <c r="J88" s="453">
        <f t="shared" si="50"/>
        <v>-7.0496396917501647E-2</v>
      </c>
      <c r="K88" s="453">
        <f t="shared" si="50"/>
        <v>-1</v>
      </c>
      <c r="L88" s="453">
        <f t="shared" si="50"/>
        <v>2.3113177681044714</v>
      </c>
      <c r="M88" s="453">
        <f t="shared" si="50"/>
        <v>-1</v>
      </c>
      <c r="N88" s="453">
        <f t="shared" si="50"/>
        <v>3.4312830808540529E-3</v>
      </c>
      <c r="O88" s="453">
        <f t="shared" si="50"/>
        <v>9.985605042539536E-3</v>
      </c>
      <c r="P88" s="453">
        <f t="shared" si="50"/>
        <v>0.32801574057836502</v>
      </c>
      <c r="Q88" s="453">
        <f t="shared" si="50"/>
        <v>0.35750492228608977</v>
      </c>
      <c r="R88" s="453">
        <f t="shared" si="50"/>
        <v>9.4348753148061126E-2</v>
      </c>
    </row>
    <row r="89" spans="1:18" ht="9.75" customHeight="1" x14ac:dyDescent="0.25">
      <c r="A89" s="451" t="s">
        <v>2807</v>
      </c>
      <c r="B89" s="455">
        <f t="shared" ref="B89:R89" si="51">AVERAGE(B83:B85)</f>
        <v>137.54999999999998</v>
      </c>
      <c r="C89" s="455">
        <f t="shared" si="51"/>
        <v>1961.08</v>
      </c>
      <c r="D89" s="455">
        <f t="shared" si="51"/>
        <v>2.2159096045197741</v>
      </c>
      <c r="E89" s="455">
        <f t="shared" si="51"/>
        <v>1875.3033333333333</v>
      </c>
      <c r="F89" s="455">
        <f t="shared" si="51"/>
        <v>85.776666666666685</v>
      </c>
      <c r="G89" s="455">
        <f t="shared" si="51"/>
        <v>9.6922787193973639E-2</v>
      </c>
      <c r="H89" s="455">
        <f t="shared" si="51"/>
        <v>478.12000000000006</v>
      </c>
      <c r="I89" s="455">
        <f t="shared" si="51"/>
        <v>151.66666666666666</v>
      </c>
      <c r="J89" s="455">
        <f t="shared" si="51"/>
        <v>558.72333333333336</v>
      </c>
      <c r="K89" s="455">
        <f t="shared" si="51"/>
        <v>74.573333333333338</v>
      </c>
      <c r="L89" s="455">
        <f t="shared" si="51"/>
        <v>0</v>
      </c>
      <c r="M89" s="455">
        <f t="shared" si="51"/>
        <v>74.573333333333338</v>
      </c>
      <c r="N89" s="455">
        <f t="shared" si="51"/>
        <v>870.41666666666663</v>
      </c>
      <c r="O89" s="455">
        <f t="shared" si="51"/>
        <v>857.09333333333336</v>
      </c>
      <c r="P89" s="455">
        <f t="shared" si="51"/>
        <v>26313.360000000001</v>
      </c>
      <c r="Q89" s="455">
        <f t="shared" si="51"/>
        <v>23170.559999999998</v>
      </c>
      <c r="R89" s="455">
        <f t="shared" si="51"/>
        <v>3999.8933333333334</v>
      </c>
    </row>
    <row r="90" spans="1:18" ht="9.75" customHeight="1" x14ac:dyDescent="0.25">
      <c r="A90" s="451" t="s">
        <v>2808</v>
      </c>
      <c r="B90" s="455">
        <f>SUM(B75:B86)</f>
        <v>2392.0300000000002</v>
      </c>
      <c r="C90" s="455">
        <f>SUM(C75:C86)</f>
        <v>23977.940000000002</v>
      </c>
      <c r="D90" s="451"/>
      <c r="E90" s="455">
        <f>SUM(E75:E86)</f>
        <v>21725.579999999998</v>
      </c>
      <c r="F90" s="455">
        <f>SUM(F75:F86)</f>
        <v>2252.3600000000006</v>
      </c>
      <c r="G90" s="451"/>
      <c r="H90" s="455">
        <f>SUM(H75:H86)</f>
        <v>4874.16</v>
      </c>
      <c r="I90" s="455">
        <f>SUM(I75:I86)</f>
        <v>3155.6800000000003</v>
      </c>
      <c r="J90" s="455">
        <f>SUM(J75:J86)</f>
        <v>6505.95</v>
      </c>
      <c r="K90" s="455">
        <f>SUM(K75:K86)</f>
        <v>250.93</v>
      </c>
      <c r="L90" s="455">
        <f>SUM(L75:L86)</f>
        <v>5260.32</v>
      </c>
      <c r="M90" s="451"/>
      <c r="N90" s="455">
        <f>SUM(N75:N86)</f>
        <v>9267.1400000000012</v>
      </c>
      <c r="O90" s="455">
        <f>SUM(O75:O86)</f>
        <v>9132</v>
      </c>
      <c r="P90" s="455">
        <f>SUM(P75:P86)</f>
        <v>235501.02</v>
      </c>
      <c r="Q90" s="455">
        <f>SUM(Q75:Q86)</f>
        <v>206598.8</v>
      </c>
      <c r="R90" s="455">
        <f>SUM(R75:R86)</f>
        <v>38034.22</v>
      </c>
    </row>
    <row r="91" spans="1:18" ht="33" customHeight="1" x14ac:dyDescent="0.25">
      <c r="A91" s="449"/>
      <c r="B91" s="449" t="s">
        <v>2889</v>
      </c>
      <c r="C91" s="449" t="s">
        <v>2890</v>
      </c>
      <c r="D91" s="449" t="s">
        <v>2891</v>
      </c>
      <c r="E91" s="449" t="s">
        <v>2892</v>
      </c>
      <c r="F91" s="449" t="s">
        <v>2893</v>
      </c>
      <c r="G91" s="449" t="s">
        <v>2894</v>
      </c>
      <c r="H91" s="449" t="s">
        <v>2895</v>
      </c>
      <c r="I91" s="449" t="s">
        <v>2896</v>
      </c>
      <c r="J91" s="449" t="s">
        <v>2897</v>
      </c>
      <c r="K91" s="449" t="s">
        <v>2898</v>
      </c>
      <c r="L91" s="449" t="s">
        <v>2899</v>
      </c>
      <c r="M91" s="449" t="s">
        <v>2900</v>
      </c>
      <c r="N91" s="449" t="s">
        <v>2901</v>
      </c>
      <c r="O91" s="449" t="s">
        <v>2902</v>
      </c>
      <c r="P91" s="449" t="s">
        <v>2903</v>
      </c>
      <c r="Q91" s="449" t="s">
        <v>2904</v>
      </c>
      <c r="R91" s="449" t="s">
        <v>2905</v>
      </c>
    </row>
    <row r="92" spans="1:18" ht="9.75" customHeight="1" x14ac:dyDescent="0.25">
      <c r="A92" s="450" t="s">
        <v>2826</v>
      </c>
      <c r="B92" s="455">
        <f t="shared" ref="B92:B103" si="52">(P75+O75)</f>
        <v>17529.7</v>
      </c>
      <c r="C92" s="455">
        <v>168.55</v>
      </c>
      <c r="D92" s="455">
        <v>48.96</v>
      </c>
      <c r="E92" s="455">
        <v>217.51</v>
      </c>
      <c r="F92" s="455">
        <v>7329.26</v>
      </c>
      <c r="G92" s="455">
        <f t="shared" ref="G92:G103" si="53">IF(B4=0,0,(F92/B4))</f>
        <v>7.9235243243243243</v>
      </c>
      <c r="H92" s="455">
        <v>1617.62</v>
      </c>
      <c r="I92" s="455">
        <f t="shared" ref="I92:I103" si="54">IF(B4=0,0,(H92/B4))</f>
        <v>1.7487783783783784</v>
      </c>
      <c r="J92" s="455">
        <v>0</v>
      </c>
      <c r="K92" s="455">
        <f t="shared" ref="K92:K103" si="55">IF(B4=0,0,(J92/B4))</f>
        <v>0</v>
      </c>
      <c r="L92" s="455">
        <v>0</v>
      </c>
      <c r="M92" s="455">
        <v>266.5</v>
      </c>
      <c r="N92" s="455">
        <v>16.05</v>
      </c>
      <c r="O92" s="455">
        <v>1661.34</v>
      </c>
      <c r="P92" s="455">
        <f t="shared" ref="P92:P103" si="56">IF(B4=0,0,(O92/B4))</f>
        <v>1.7960432432432432</v>
      </c>
      <c r="Q92" s="455">
        <v>0</v>
      </c>
      <c r="R92" s="455">
        <v>1661.34</v>
      </c>
    </row>
    <row r="93" spans="1:18" ht="9.75" customHeight="1" x14ac:dyDescent="0.25">
      <c r="A93" s="450" t="s">
        <v>2827</v>
      </c>
      <c r="B93" s="455">
        <f t="shared" si="52"/>
        <v>3623.69</v>
      </c>
      <c r="C93" s="455">
        <v>44.39</v>
      </c>
      <c r="D93" s="455">
        <v>23.04</v>
      </c>
      <c r="E93" s="455">
        <v>67.430000000000007</v>
      </c>
      <c r="F93" s="455">
        <v>17.36</v>
      </c>
      <c r="G93" s="455">
        <f t="shared" si="53"/>
        <v>1.8767567567567568E-2</v>
      </c>
      <c r="H93" s="455">
        <v>443.11</v>
      </c>
      <c r="I93" s="455">
        <f t="shared" si="54"/>
        <v>0.47903783783783788</v>
      </c>
      <c r="J93" s="455">
        <v>0</v>
      </c>
      <c r="K93" s="455">
        <f t="shared" si="55"/>
        <v>0</v>
      </c>
      <c r="L93" s="455">
        <v>0</v>
      </c>
      <c r="M93" s="455">
        <v>180.7</v>
      </c>
      <c r="N93" s="455">
        <v>26.04</v>
      </c>
      <c r="O93" s="455">
        <v>25.4</v>
      </c>
      <c r="P93" s="455">
        <f t="shared" si="56"/>
        <v>2.7459459459459459E-2</v>
      </c>
      <c r="Q93" s="455">
        <v>0</v>
      </c>
      <c r="R93" s="455">
        <v>0</v>
      </c>
    </row>
    <row r="94" spans="1:18" ht="9.75" customHeight="1" x14ac:dyDescent="0.25">
      <c r="A94" s="450" t="s">
        <v>2828</v>
      </c>
      <c r="B94" s="455">
        <f t="shared" si="52"/>
        <v>27554.04</v>
      </c>
      <c r="C94" s="455">
        <v>94.95</v>
      </c>
      <c r="D94" s="455">
        <v>63.36</v>
      </c>
      <c r="E94" s="455">
        <v>158.31</v>
      </c>
      <c r="F94" s="455">
        <v>298.91000000000003</v>
      </c>
      <c r="G94" s="455">
        <f t="shared" si="53"/>
        <v>0.32775219298245617</v>
      </c>
      <c r="H94" s="455">
        <v>751.85</v>
      </c>
      <c r="I94" s="455">
        <f t="shared" si="54"/>
        <v>0.82439692982456148</v>
      </c>
      <c r="J94" s="455">
        <v>0</v>
      </c>
      <c r="K94" s="455">
        <f t="shared" si="55"/>
        <v>0</v>
      </c>
      <c r="L94" s="455">
        <v>0</v>
      </c>
      <c r="M94" s="455">
        <v>113</v>
      </c>
      <c r="N94" s="455">
        <v>21.29</v>
      </c>
      <c r="O94" s="455">
        <v>436.13</v>
      </c>
      <c r="P94" s="455">
        <f t="shared" si="56"/>
        <v>0.4782127192982456</v>
      </c>
      <c r="Q94" s="455">
        <v>0</v>
      </c>
      <c r="R94" s="455">
        <v>432.1</v>
      </c>
    </row>
    <row r="95" spans="1:18" ht="9.75" customHeight="1" x14ac:dyDescent="0.25">
      <c r="A95" s="450" t="s">
        <v>2829</v>
      </c>
      <c r="B95" s="455">
        <f t="shared" si="52"/>
        <v>13179.42</v>
      </c>
      <c r="C95" s="455">
        <v>638.97</v>
      </c>
      <c r="D95" s="455">
        <v>100.8</v>
      </c>
      <c r="E95" s="455">
        <v>739.77</v>
      </c>
      <c r="F95" s="455">
        <v>7297.05</v>
      </c>
      <c r="G95" s="455">
        <f t="shared" si="53"/>
        <v>8.0011513157894747</v>
      </c>
      <c r="H95" s="455">
        <v>652.54999999999995</v>
      </c>
      <c r="I95" s="455">
        <f t="shared" si="54"/>
        <v>0.71551535087719298</v>
      </c>
      <c r="J95" s="455">
        <v>0</v>
      </c>
      <c r="K95" s="455">
        <f t="shared" si="55"/>
        <v>0</v>
      </c>
      <c r="L95" s="455">
        <v>0</v>
      </c>
      <c r="M95" s="455">
        <v>152.06</v>
      </c>
      <c r="N95" s="455">
        <v>22.48</v>
      </c>
      <c r="O95" s="455">
        <v>12.08</v>
      </c>
      <c r="P95" s="455">
        <f t="shared" si="56"/>
        <v>1.324561403508772E-2</v>
      </c>
      <c r="Q95" s="455">
        <v>0</v>
      </c>
      <c r="R95" s="455">
        <v>0</v>
      </c>
    </row>
    <row r="96" spans="1:18" ht="9.75" customHeight="1" x14ac:dyDescent="0.25">
      <c r="A96" s="450" t="s">
        <v>2830</v>
      </c>
      <c r="B96" s="455">
        <f t="shared" si="52"/>
        <v>18030.12</v>
      </c>
      <c r="C96" s="455">
        <v>241.24</v>
      </c>
      <c r="D96" s="455">
        <v>43.2</v>
      </c>
      <c r="E96" s="455">
        <v>284.44</v>
      </c>
      <c r="F96" s="455">
        <v>764.12</v>
      </c>
      <c r="G96" s="455">
        <f t="shared" si="53"/>
        <v>0.83785087719298246</v>
      </c>
      <c r="H96" s="455">
        <v>695.32</v>
      </c>
      <c r="I96" s="455">
        <f t="shared" si="54"/>
        <v>0.76241228070175449</v>
      </c>
      <c r="J96" s="455">
        <v>107.2</v>
      </c>
      <c r="K96" s="455">
        <f t="shared" si="55"/>
        <v>0.11754385964912281</v>
      </c>
      <c r="L96" s="455">
        <v>3.83</v>
      </c>
      <c r="M96" s="455">
        <v>350.23</v>
      </c>
      <c r="N96" s="455">
        <v>28.51</v>
      </c>
      <c r="O96" s="455">
        <v>1107.56</v>
      </c>
      <c r="P96" s="455">
        <f t="shared" si="56"/>
        <v>1.2144298245614034</v>
      </c>
      <c r="Q96" s="455">
        <v>0</v>
      </c>
      <c r="R96" s="455">
        <v>1107.56</v>
      </c>
    </row>
    <row r="97" spans="1:18" ht="9.75" customHeight="1" x14ac:dyDescent="0.25">
      <c r="A97" s="450" t="s">
        <v>2831</v>
      </c>
      <c r="B97" s="455">
        <f t="shared" si="52"/>
        <v>12378.74</v>
      </c>
      <c r="C97" s="455">
        <v>1221</v>
      </c>
      <c r="D97" s="455">
        <v>40.32</v>
      </c>
      <c r="E97" s="455">
        <v>1261.32</v>
      </c>
      <c r="F97" s="455">
        <v>5683.13</v>
      </c>
      <c r="G97" s="455">
        <f t="shared" si="53"/>
        <v>6.2315021929824566</v>
      </c>
      <c r="H97" s="455">
        <v>582.30999999999995</v>
      </c>
      <c r="I97" s="455">
        <f t="shared" si="54"/>
        <v>0.63849780701754377</v>
      </c>
      <c r="J97" s="455">
        <v>0</v>
      </c>
      <c r="K97" s="455">
        <f t="shared" si="55"/>
        <v>0</v>
      </c>
      <c r="L97" s="455">
        <v>0</v>
      </c>
      <c r="M97" s="455">
        <v>101.51</v>
      </c>
      <c r="N97" s="455">
        <v>12.78</v>
      </c>
      <c r="O97" s="455">
        <v>802.5</v>
      </c>
      <c r="P97" s="455">
        <f t="shared" si="56"/>
        <v>0.87993421052631582</v>
      </c>
      <c r="Q97" s="455">
        <v>0</v>
      </c>
      <c r="R97" s="455">
        <v>802.5</v>
      </c>
    </row>
    <row r="98" spans="1:18" ht="9.75" customHeight="1" x14ac:dyDescent="0.25">
      <c r="A98" s="450" t="s">
        <v>2832</v>
      </c>
      <c r="B98" s="455">
        <f t="shared" si="52"/>
        <v>15526.67</v>
      </c>
      <c r="C98" s="455">
        <v>1691.29</v>
      </c>
      <c r="D98" s="455">
        <v>37.44</v>
      </c>
      <c r="E98" s="455">
        <v>1728.73</v>
      </c>
      <c r="F98" s="455">
        <v>1349.23</v>
      </c>
      <c r="G98" s="455">
        <f t="shared" si="53"/>
        <v>1.5245536723163842</v>
      </c>
      <c r="H98" s="455">
        <v>640.33000000000004</v>
      </c>
      <c r="I98" s="455">
        <f t="shared" si="54"/>
        <v>0.72353672316384188</v>
      </c>
      <c r="J98" s="455">
        <v>93.42</v>
      </c>
      <c r="K98" s="455">
        <f t="shared" si="55"/>
        <v>0.10555932203389831</v>
      </c>
      <c r="L98" s="455">
        <v>0</v>
      </c>
      <c r="M98" s="455">
        <v>106.13</v>
      </c>
      <c r="N98" s="455">
        <v>23.9</v>
      </c>
      <c r="O98" s="455">
        <v>25.4</v>
      </c>
      <c r="P98" s="455">
        <f t="shared" si="56"/>
        <v>2.870056497175141E-2</v>
      </c>
      <c r="Q98" s="455">
        <v>0</v>
      </c>
      <c r="R98" s="455">
        <v>0</v>
      </c>
    </row>
    <row r="99" spans="1:18" ht="9.75" customHeight="1" x14ac:dyDescent="0.25">
      <c r="A99" s="450" t="s">
        <v>2833</v>
      </c>
      <c r="B99" s="455">
        <f t="shared" si="52"/>
        <v>29162.350000000002</v>
      </c>
      <c r="C99" s="455">
        <v>3628.37</v>
      </c>
      <c r="D99" s="455">
        <v>63.36</v>
      </c>
      <c r="E99" s="455">
        <v>3691.73</v>
      </c>
      <c r="F99" s="455">
        <v>8003.49</v>
      </c>
      <c r="G99" s="455">
        <f t="shared" si="53"/>
        <v>9.0434915254237289</v>
      </c>
      <c r="H99" s="455">
        <v>547.66999999999996</v>
      </c>
      <c r="I99" s="455">
        <f t="shared" si="54"/>
        <v>0.61883615819209037</v>
      </c>
      <c r="J99" s="455">
        <v>0</v>
      </c>
      <c r="K99" s="455">
        <f t="shared" si="55"/>
        <v>0</v>
      </c>
      <c r="L99" s="455">
        <v>0</v>
      </c>
      <c r="M99" s="455">
        <v>272.52999999999997</v>
      </c>
      <c r="N99" s="455">
        <v>23.12</v>
      </c>
      <c r="O99" s="455">
        <v>0</v>
      </c>
      <c r="P99" s="455">
        <f t="shared" si="56"/>
        <v>0</v>
      </c>
      <c r="Q99" s="455">
        <v>0</v>
      </c>
      <c r="R99" s="455">
        <v>0</v>
      </c>
    </row>
    <row r="100" spans="1:18" ht="9.75" customHeight="1" x14ac:dyDescent="0.25">
      <c r="A100" s="450" t="s">
        <v>2834</v>
      </c>
      <c r="B100" s="455">
        <f t="shared" si="52"/>
        <v>19091.97</v>
      </c>
      <c r="C100" s="455">
        <v>2384.89</v>
      </c>
      <c r="D100" s="455">
        <v>40.32</v>
      </c>
      <c r="E100" s="455">
        <v>2425.21</v>
      </c>
      <c r="F100" s="455">
        <v>1738.65</v>
      </c>
      <c r="G100" s="455">
        <f t="shared" si="53"/>
        <v>1.9645762711864407</v>
      </c>
      <c r="H100" s="455">
        <v>780.9</v>
      </c>
      <c r="I100" s="455">
        <f t="shared" si="54"/>
        <v>0.88237288135593217</v>
      </c>
      <c r="J100" s="455">
        <v>0</v>
      </c>
      <c r="K100" s="455">
        <f t="shared" si="55"/>
        <v>0</v>
      </c>
      <c r="L100" s="455">
        <v>0</v>
      </c>
      <c r="M100" s="455">
        <v>278.79000000000002</v>
      </c>
      <c r="N100" s="455">
        <v>23.9</v>
      </c>
      <c r="O100" s="455">
        <v>0</v>
      </c>
      <c r="P100" s="455">
        <f t="shared" si="56"/>
        <v>0</v>
      </c>
      <c r="Q100" s="455">
        <v>0</v>
      </c>
      <c r="R100" s="455">
        <v>0</v>
      </c>
    </row>
    <row r="101" spans="1:18" ht="9.75" customHeight="1" x14ac:dyDescent="0.25">
      <c r="A101" s="450" t="s">
        <v>2835</v>
      </c>
      <c r="B101" s="455">
        <f t="shared" si="52"/>
        <v>23866.720000000001</v>
      </c>
      <c r="C101" s="455">
        <v>1479.24</v>
      </c>
      <c r="D101" s="455">
        <v>46.08</v>
      </c>
      <c r="E101" s="455">
        <v>1525.32</v>
      </c>
      <c r="F101" s="455">
        <v>323.60000000000002</v>
      </c>
      <c r="G101" s="455">
        <f t="shared" si="53"/>
        <v>0.36564971751412434</v>
      </c>
      <c r="H101" s="455">
        <v>2376.0500000000002</v>
      </c>
      <c r="I101" s="455">
        <f t="shared" si="54"/>
        <v>2.684802259887006</v>
      </c>
      <c r="J101" s="455">
        <v>0</v>
      </c>
      <c r="K101" s="455">
        <f t="shared" si="55"/>
        <v>0</v>
      </c>
      <c r="L101" s="455">
        <v>3.67</v>
      </c>
      <c r="M101" s="455">
        <v>597.32000000000005</v>
      </c>
      <c r="N101" s="455">
        <v>28.68</v>
      </c>
      <c r="O101" s="455">
        <v>0</v>
      </c>
      <c r="P101" s="455">
        <f t="shared" si="56"/>
        <v>0</v>
      </c>
      <c r="Q101" s="455">
        <v>0</v>
      </c>
      <c r="R101" s="455">
        <v>0</v>
      </c>
    </row>
    <row r="102" spans="1:18" ht="9.75" customHeight="1" x14ac:dyDescent="0.25">
      <c r="A102" s="450" t="s">
        <v>2836</v>
      </c>
      <c r="B102" s="455">
        <f t="shared" si="52"/>
        <v>38552.67</v>
      </c>
      <c r="C102" s="455">
        <v>10067.92</v>
      </c>
      <c r="D102" s="455">
        <v>97.92</v>
      </c>
      <c r="E102" s="455">
        <v>10165.84</v>
      </c>
      <c r="F102" s="455">
        <v>6914</v>
      </c>
      <c r="G102" s="455">
        <f t="shared" si="53"/>
        <v>7.8124293785310739</v>
      </c>
      <c r="H102" s="455">
        <v>2497.4899999999998</v>
      </c>
      <c r="I102" s="455">
        <f t="shared" si="54"/>
        <v>2.8220225988700562</v>
      </c>
      <c r="J102" s="455">
        <v>3716.44</v>
      </c>
      <c r="K102" s="455">
        <f t="shared" si="55"/>
        <v>4.1993672316384183</v>
      </c>
      <c r="L102" s="455">
        <v>0</v>
      </c>
      <c r="M102" s="455">
        <v>299.98</v>
      </c>
      <c r="N102" s="455">
        <v>26.32</v>
      </c>
      <c r="O102" s="455">
        <v>223.72</v>
      </c>
      <c r="P102" s="455">
        <f t="shared" si="56"/>
        <v>0.25279096045197741</v>
      </c>
      <c r="Q102" s="455">
        <v>223.72</v>
      </c>
      <c r="R102" s="455">
        <v>217.59</v>
      </c>
    </row>
    <row r="103" spans="1:18" ht="9.75" customHeight="1" x14ac:dyDescent="0.25">
      <c r="A103" s="450" t="s">
        <v>2837</v>
      </c>
      <c r="B103" s="455">
        <f t="shared" si="52"/>
        <v>26136.93</v>
      </c>
      <c r="C103" s="455">
        <v>9253.67</v>
      </c>
      <c r="D103" s="455">
        <v>90.14</v>
      </c>
      <c r="E103" s="455">
        <v>9343.81</v>
      </c>
      <c r="F103" s="455">
        <v>11508.55</v>
      </c>
      <c r="G103" s="455">
        <f t="shared" si="53"/>
        <v>13.004011299435028</v>
      </c>
      <c r="H103" s="455">
        <v>2337.87</v>
      </c>
      <c r="I103" s="455">
        <f t="shared" si="54"/>
        <v>2.6416610169491523</v>
      </c>
      <c r="J103" s="455">
        <v>3716.44</v>
      </c>
      <c r="K103" s="455">
        <f t="shared" si="55"/>
        <v>4.1993672316384183</v>
      </c>
      <c r="L103" s="455">
        <v>5.73</v>
      </c>
      <c r="M103" s="455">
        <v>115.68</v>
      </c>
      <c r="N103" s="455">
        <v>36.869999999999997</v>
      </c>
      <c r="O103" s="455">
        <v>1217.1199999999999</v>
      </c>
      <c r="P103" s="455">
        <f t="shared" si="56"/>
        <v>1.375276836158192</v>
      </c>
      <c r="Q103" s="455">
        <v>0</v>
      </c>
      <c r="R103" s="455">
        <v>1217.1199999999999</v>
      </c>
    </row>
    <row r="104" spans="1:18" ht="9.75" customHeight="1" x14ac:dyDescent="0.25">
      <c r="A104" s="453" t="s">
        <v>2805</v>
      </c>
      <c r="B104" s="453">
        <f t="shared" ref="B104:R104" si="57">IF(AVERAGE(B100:B102)&lt;&gt;0, ((B103/AVERAGE(B100:B102))-1), IF(B103=0,0,1))</f>
        <v>-3.8038501627257859E-2</v>
      </c>
      <c r="C104" s="453">
        <f t="shared" si="57"/>
        <v>0.99260051464070265</v>
      </c>
      <c r="D104" s="453">
        <f t="shared" si="57"/>
        <v>0.46712239583333348</v>
      </c>
      <c r="E104" s="453">
        <f t="shared" si="57"/>
        <v>0.98573925166314025</v>
      </c>
      <c r="F104" s="453">
        <f t="shared" si="57"/>
        <v>2.8463333797521231</v>
      </c>
      <c r="G104" s="453">
        <f t="shared" si="57"/>
        <v>2.8463333797521235</v>
      </c>
      <c r="H104" s="453">
        <f t="shared" si="57"/>
        <v>0.2403721677124524</v>
      </c>
      <c r="I104" s="453">
        <f t="shared" si="57"/>
        <v>0.2403721677124524</v>
      </c>
      <c r="J104" s="453">
        <f t="shared" si="57"/>
        <v>2</v>
      </c>
      <c r="K104" s="453">
        <f t="shared" si="57"/>
        <v>2</v>
      </c>
      <c r="L104" s="453">
        <f t="shared" si="57"/>
        <v>3.6839237057220711</v>
      </c>
      <c r="M104" s="453">
        <f t="shared" si="57"/>
        <v>-0.70492054179527075</v>
      </c>
      <c r="N104" s="453">
        <f t="shared" si="57"/>
        <v>0.40190114068441041</v>
      </c>
      <c r="O104" s="453">
        <f t="shared" si="57"/>
        <v>15.321115680314676</v>
      </c>
      <c r="P104" s="453">
        <f t="shared" si="57"/>
        <v>15.321115680314676</v>
      </c>
      <c r="Q104" s="453">
        <f t="shared" si="57"/>
        <v>-1</v>
      </c>
      <c r="R104" s="453">
        <f t="shared" si="57"/>
        <v>15.780918240727974</v>
      </c>
    </row>
    <row r="105" spans="1:18" ht="9.75" customHeight="1" x14ac:dyDescent="0.25">
      <c r="A105" s="453" t="s">
        <v>2806</v>
      </c>
      <c r="B105" s="453">
        <f t="shared" ref="B105:R105" si="58">IF(AVERAGE(B92:B102)&lt;&gt;0, ((B103/AVERAGE(B92:B102))-1), IF(B103=0,0,1))</f>
        <v>0.31584153290798</v>
      </c>
      <c r="C105" s="453">
        <f t="shared" si="58"/>
        <v>3.6992873304368583</v>
      </c>
      <c r="D105" s="453">
        <f t="shared" si="58"/>
        <v>0.63945105820105841</v>
      </c>
      <c r="E105" s="453">
        <f t="shared" si="58"/>
        <v>3.6161731028253881</v>
      </c>
      <c r="F105" s="453">
        <f t="shared" si="58"/>
        <v>2.1872576714301535</v>
      </c>
      <c r="G105" s="453">
        <f t="shared" si="58"/>
        <v>2.2472206219964175</v>
      </c>
      <c r="H105" s="453">
        <f t="shared" si="58"/>
        <v>1.2197778199772125</v>
      </c>
      <c r="I105" s="453">
        <f t="shared" si="58"/>
        <v>1.2525426310672709</v>
      </c>
      <c r="J105" s="453">
        <f t="shared" si="58"/>
        <v>9.4366131741663395</v>
      </c>
      <c r="K105" s="453">
        <f t="shared" si="58"/>
        <v>9.4450759939239273</v>
      </c>
      <c r="L105" s="453">
        <f t="shared" si="58"/>
        <v>7.4040000000000017</v>
      </c>
      <c r="M105" s="453">
        <f t="shared" si="58"/>
        <v>-0.53196137931034482</v>
      </c>
      <c r="N105" s="453">
        <f t="shared" si="58"/>
        <v>0.60260007112656555</v>
      </c>
      <c r="O105" s="453">
        <f t="shared" si="58"/>
        <v>2.1178189761371917</v>
      </c>
      <c r="P105" s="453">
        <f t="shared" si="58"/>
        <v>2.225034466040432</v>
      </c>
      <c r="Q105" s="453">
        <f t="shared" si="58"/>
        <v>-1</v>
      </c>
      <c r="R105" s="453">
        <f t="shared" si="58"/>
        <v>2.1717684294814843</v>
      </c>
    </row>
    <row r="106" spans="1:18" ht="9.75" customHeight="1" x14ac:dyDescent="0.25">
      <c r="A106" s="451" t="s">
        <v>2807</v>
      </c>
      <c r="B106" s="455">
        <f t="shared" ref="B106:R106" si="59">AVERAGE(B100:B102)</f>
        <v>27170.453333333335</v>
      </c>
      <c r="C106" s="455">
        <f t="shared" si="59"/>
        <v>4644.0166666666664</v>
      </c>
      <c r="D106" s="455">
        <f t="shared" si="59"/>
        <v>61.44</v>
      </c>
      <c r="E106" s="455">
        <f t="shared" si="59"/>
        <v>4705.456666666666</v>
      </c>
      <c r="F106" s="455">
        <f t="shared" si="59"/>
        <v>2992.0833333333335</v>
      </c>
      <c r="G106" s="455">
        <f t="shared" si="59"/>
        <v>3.3808851224105463</v>
      </c>
      <c r="H106" s="455">
        <f t="shared" si="59"/>
        <v>1884.8133333333335</v>
      </c>
      <c r="I106" s="455">
        <f t="shared" si="59"/>
        <v>2.1297325800376647</v>
      </c>
      <c r="J106" s="455">
        <f t="shared" si="59"/>
        <v>1238.8133333333333</v>
      </c>
      <c r="K106" s="455">
        <f t="shared" si="59"/>
        <v>1.3997890772128061</v>
      </c>
      <c r="L106" s="455">
        <f t="shared" si="59"/>
        <v>1.2233333333333334</v>
      </c>
      <c r="M106" s="455">
        <f t="shared" si="59"/>
        <v>392.03000000000003</v>
      </c>
      <c r="N106" s="455">
        <f t="shared" si="59"/>
        <v>26.3</v>
      </c>
      <c r="O106" s="455">
        <f t="shared" si="59"/>
        <v>74.573333333333338</v>
      </c>
      <c r="P106" s="455">
        <f t="shared" si="59"/>
        <v>8.4263653483992465E-2</v>
      </c>
      <c r="Q106" s="455">
        <f t="shared" si="59"/>
        <v>74.573333333333338</v>
      </c>
      <c r="R106" s="455">
        <f t="shared" si="59"/>
        <v>72.53</v>
      </c>
    </row>
    <row r="107" spans="1:18" ht="9.75" customHeight="1" x14ac:dyDescent="0.25">
      <c r="A107" s="451" t="s">
        <v>2808</v>
      </c>
      <c r="B107" s="455">
        <f>SUM(B92:B103)</f>
        <v>244633.02000000002</v>
      </c>
      <c r="C107" s="455">
        <f>SUM(C92:C103)</f>
        <v>30914.479999999996</v>
      </c>
      <c r="D107" s="455">
        <f>SUM(D92:D103)</f>
        <v>694.93999999999994</v>
      </c>
      <c r="E107" s="455">
        <f>SUM(E92:E103)</f>
        <v>31609.42</v>
      </c>
      <c r="F107" s="455">
        <f>SUM(F92:F103)</f>
        <v>51227.350000000006</v>
      </c>
      <c r="G107" s="451"/>
      <c r="H107" s="455">
        <f>SUM(H92:H103)</f>
        <v>13923.07</v>
      </c>
      <c r="I107" s="451"/>
      <c r="J107" s="455">
        <f>SUM(J92:J103)</f>
        <v>7633.5</v>
      </c>
      <c r="K107" s="451"/>
      <c r="L107" s="455">
        <f>SUM(L92:L103)</f>
        <v>13.23</v>
      </c>
      <c r="M107" s="455">
        <f>SUM(M92:M103)</f>
        <v>2834.43</v>
      </c>
      <c r="N107" s="455">
        <f>SUM(N92:N103)</f>
        <v>289.94</v>
      </c>
      <c r="O107" s="455">
        <f>SUM(O92:O103)</f>
        <v>5511.25</v>
      </c>
      <c r="P107" s="451"/>
      <c r="Q107" s="455">
        <f>SUM(Q92:Q103)</f>
        <v>223.72</v>
      </c>
      <c r="R107" s="455">
        <f>SUM(R92:R103)</f>
        <v>5438.21</v>
      </c>
    </row>
    <row r="108" spans="1:18" ht="9.75" customHeight="1" x14ac:dyDescent="0.25">
      <c r="A108" s="456"/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</row>
    <row r="109" spans="1:18" ht="12.75" customHeight="1" x14ac:dyDescent="0.25">
      <c r="A109" s="456"/>
      <c r="B109" s="456"/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/>
      <c r="R109" s="456"/>
    </row>
    <row r="110" spans="1:18" ht="12.75" customHeight="1" x14ac:dyDescent="0.25">
      <c r="A110" s="456"/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</row>
    <row r="111" spans="1:18" ht="33" customHeight="1" x14ac:dyDescent="0.25">
      <c r="A111" s="449"/>
      <c r="B111" s="449" t="s">
        <v>2906</v>
      </c>
      <c r="C111" s="449" t="s">
        <v>2907</v>
      </c>
      <c r="D111" s="449" t="s">
        <v>2908</v>
      </c>
      <c r="E111" s="449" t="s">
        <v>2909</v>
      </c>
      <c r="F111" s="449" t="s">
        <v>2910</v>
      </c>
      <c r="G111" s="449" t="s">
        <v>2911</v>
      </c>
      <c r="H111" s="449" t="s">
        <v>2912</v>
      </c>
      <c r="I111" s="449" t="s">
        <v>2913</v>
      </c>
      <c r="J111" s="449" t="s">
        <v>2914</v>
      </c>
      <c r="K111" s="449" t="s">
        <v>2915</v>
      </c>
      <c r="L111" s="449"/>
      <c r="M111" s="449"/>
      <c r="N111" s="449"/>
      <c r="O111" s="449"/>
      <c r="P111" s="449"/>
      <c r="Q111" s="449"/>
      <c r="R111" s="449"/>
    </row>
    <row r="112" spans="1:18" ht="9.75" customHeight="1" x14ac:dyDescent="0.25">
      <c r="A112" s="450" t="s">
        <v>2826</v>
      </c>
      <c r="B112" s="455">
        <v>0</v>
      </c>
      <c r="C112" s="455">
        <v>1076.1600000000001</v>
      </c>
      <c r="D112" s="455">
        <v>587.1</v>
      </c>
      <c r="E112" s="455">
        <v>0</v>
      </c>
      <c r="F112" s="455">
        <v>46</v>
      </c>
      <c r="G112" s="455">
        <v>0</v>
      </c>
      <c r="H112" s="455">
        <v>0</v>
      </c>
      <c r="I112" s="455">
        <v>0</v>
      </c>
      <c r="J112" s="455">
        <f t="shared" ref="J112:J123" si="60">(H58+F112+E112+H112+G112+I112-K58)</f>
        <v>17791.64</v>
      </c>
      <c r="K112" s="455">
        <f t="shared" ref="K112:K123" si="61">IF(E38=0,0,(C75/E38))</f>
        <v>11.809786096256683</v>
      </c>
      <c r="L112" s="451"/>
      <c r="M112" s="451"/>
      <c r="N112" s="451"/>
      <c r="O112" s="451"/>
      <c r="P112" s="451"/>
      <c r="Q112" s="451"/>
      <c r="R112" s="451"/>
    </row>
    <row r="113" spans="1:18" ht="9.75" customHeight="1" x14ac:dyDescent="0.25">
      <c r="A113" s="450" t="s">
        <v>2827</v>
      </c>
      <c r="B113" s="455">
        <v>0</v>
      </c>
      <c r="C113" s="455">
        <v>433.86</v>
      </c>
      <c r="D113" s="455">
        <v>74.38</v>
      </c>
      <c r="E113" s="455">
        <v>0</v>
      </c>
      <c r="F113" s="455">
        <v>472.71</v>
      </c>
      <c r="G113" s="455">
        <v>0</v>
      </c>
      <c r="H113" s="455">
        <v>0</v>
      </c>
      <c r="I113" s="455">
        <v>0</v>
      </c>
      <c r="J113" s="455">
        <f t="shared" si="60"/>
        <v>3218.89</v>
      </c>
      <c r="K113" s="455">
        <f t="shared" si="61"/>
        <v>6.2373033707865169</v>
      </c>
      <c r="L113" s="451"/>
      <c r="M113" s="451"/>
      <c r="N113" s="451"/>
      <c r="O113" s="451"/>
      <c r="P113" s="451"/>
      <c r="Q113" s="451"/>
      <c r="R113" s="451"/>
    </row>
    <row r="114" spans="1:18" ht="9.75" customHeight="1" x14ac:dyDescent="0.25">
      <c r="A114" s="450" t="s">
        <v>2828</v>
      </c>
      <c r="B114" s="455">
        <v>432.1</v>
      </c>
      <c r="C114" s="455">
        <v>752.74</v>
      </c>
      <c r="D114" s="455">
        <v>387.06</v>
      </c>
      <c r="E114" s="455">
        <v>0</v>
      </c>
      <c r="F114" s="455">
        <v>555.9</v>
      </c>
      <c r="G114" s="455">
        <v>0</v>
      </c>
      <c r="H114" s="455">
        <v>0</v>
      </c>
      <c r="I114" s="455">
        <v>0</v>
      </c>
      <c r="J114" s="455">
        <f t="shared" si="60"/>
        <v>19021.64</v>
      </c>
      <c r="K114" s="455">
        <f t="shared" si="61"/>
        <v>7.5193364928909947</v>
      </c>
      <c r="L114" s="451"/>
      <c r="M114" s="451"/>
      <c r="N114" s="451"/>
      <c r="O114" s="451"/>
      <c r="P114" s="451"/>
      <c r="Q114" s="451"/>
      <c r="R114" s="451"/>
    </row>
    <row r="115" spans="1:18" ht="9.75" customHeight="1" x14ac:dyDescent="0.25">
      <c r="A115" s="450" t="s">
        <v>2829</v>
      </c>
      <c r="B115" s="455">
        <v>0</v>
      </c>
      <c r="C115" s="455">
        <v>408.68</v>
      </c>
      <c r="D115" s="455">
        <v>428.45</v>
      </c>
      <c r="E115" s="455">
        <v>0</v>
      </c>
      <c r="F115" s="455">
        <v>805.2</v>
      </c>
      <c r="G115" s="455">
        <v>0</v>
      </c>
      <c r="H115" s="455">
        <v>0</v>
      </c>
      <c r="I115" s="455">
        <v>0</v>
      </c>
      <c r="J115" s="455">
        <f t="shared" si="60"/>
        <v>14724.390000000001</v>
      </c>
      <c r="K115" s="455">
        <f t="shared" si="61"/>
        <v>10.669230769230769</v>
      </c>
      <c r="L115" s="451"/>
      <c r="M115" s="451"/>
      <c r="N115" s="451"/>
      <c r="O115" s="451"/>
      <c r="P115" s="451"/>
      <c r="Q115" s="451"/>
      <c r="R115" s="451"/>
    </row>
    <row r="116" spans="1:18" ht="9.75" customHeight="1" x14ac:dyDescent="0.25">
      <c r="A116" s="450" t="s">
        <v>2830</v>
      </c>
      <c r="B116" s="455">
        <v>0</v>
      </c>
      <c r="C116" s="455">
        <v>694.46</v>
      </c>
      <c r="D116" s="455">
        <v>288.43</v>
      </c>
      <c r="E116" s="455">
        <v>0</v>
      </c>
      <c r="F116" s="455">
        <v>1083.6600000000001</v>
      </c>
      <c r="G116" s="455">
        <v>0</v>
      </c>
      <c r="H116" s="455">
        <v>0</v>
      </c>
      <c r="I116" s="455">
        <v>0</v>
      </c>
      <c r="J116" s="455">
        <f t="shared" si="60"/>
        <v>6100.02</v>
      </c>
      <c r="K116" s="455">
        <f t="shared" si="61"/>
        <v>9.964424778761062</v>
      </c>
      <c r="L116" s="451"/>
      <c r="M116" s="451"/>
      <c r="N116" s="451"/>
      <c r="O116" s="451"/>
      <c r="P116" s="451"/>
      <c r="Q116" s="451"/>
      <c r="R116" s="451"/>
    </row>
    <row r="117" spans="1:18" ht="9.75" customHeight="1" x14ac:dyDescent="0.25">
      <c r="A117" s="450" t="s">
        <v>2831</v>
      </c>
      <c r="B117" s="455">
        <v>27.21</v>
      </c>
      <c r="C117" s="455">
        <v>420.39</v>
      </c>
      <c r="D117" s="455">
        <v>213.07</v>
      </c>
      <c r="E117" s="455">
        <v>0</v>
      </c>
      <c r="F117" s="455">
        <v>764.41</v>
      </c>
      <c r="G117" s="455">
        <v>0</v>
      </c>
      <c r="H117" s="455">
        <v>0</v>
      </c>
      <c r="I117" s="455">
        <v>0</v>
      </c>
      <c r="J117" s="455">
        <f t="shared" si="60"/>
        <v>14404.47</v>
      </c>
      <c r="K117" s="455">
        <f t="shared" si="61"/>
        <v>6.6548616600790513</v>
      </c>
      <c r="L117" s="451"/>
      <c r="M117" s="451"/>
      <c r="N117" s="451"/>
      <c r="O117" s="451"/>
      <c r="P117" s="451"/>
      <c r="Q117" s="451"/>
      <c r="R117" s="451"/>
    </row>
    <row r="118" spans="1:18" ht="9.75" customHeight="1" x14ac:dyDescent="0.25">
      <c r="A118" s="450" t="s">
        <v>2832</v>
      </c>
      <c r="B118" s="455">
        <v>0</v>
      </c>
      <c r="C118" s="455">
        <v>676.62</v>
      </c>
      <c r="D118" s="455">
        <v>235.76</v>
      </c>
      <c r="E118" s="455">
        <v>0</v>
      </c>
      <c r="F118" s="455">
        <v>2442.4299999999998</v>
      </c>
      <c r="G118" s="455">
        <v>0</v>
      </c>
      <c r="H118" s="455">
        <v>0</v>
      </c>
      <c r="I118" s="455">
        <v>0</v>
      </c>
      <c r="J118" s="455">
        <f t="shared" si="60"/>
        <v>15751.45</v>
      </c>
      <c r="K118" s="455">
        <f t="shared" si="61"/>
        <v>10.981535087719298</v>
      </c>
      <c r="L118" s="451"/>
      <c r="M118" s="451"/>
      <c r="N118" s="451"/>
      <c r="O118" s="451"/>
      <c r="P118" s="451"/>
      <c r="Q118" s="451"/>
      <c r="R118" s="451"/>
    </row>
    <row r="119" spans="1:18" ht="9.75" customHeight="1" x14ac:dyDescent="0.25">
      <c r="A119" s="450" t="s">
        <v>2833</v>
      </c>
      <c r="B119" s="455">
        <v>0</v>
      </c>
      <c r="C119" s="455">
        <v>716.68</v>
      </c>
      <c r="D119" s="455">
        <v>1197.43</v>
      </c>
      <c r="E119" s="455">
        <v>0</v>
      </c>
      <c r="F119" s="455">
        <v>684.93</v>
      </c>
      <c r="G119" s="455">
        <v>0</v>
      </c>
      <c r="H119" s="455">
        <v>0</v>
      </c>
      <c r="I119" s="455">
        <v>0</v>
      </c>
      <c r="J119" s="455">
        <f t="shared" si="60"/>
        <v>33233.71</v>
      </c>
      <c r="K119" s="455">
        <f t="shared" si="61"/>
        <v>12.431129032258065</v>
      </c>
      <c r="L119" s="451"/>
      <c r="M119" s="451"/>
      <c r="N119" s="451"/>
      <c r="O119" s="451"/>
      <c r="P119" s="451"/>
      <c r="Q119" s="451"/>
      <c r="R119" s="451"/>
    </row>
    <row r="120" spans="1:18" ht="9.75" customHeight="1" x14ac:dyDescent="0.25">
      <c r="A120" s="450" t="s">
        <v>2834</v>
      </c>
      <c r="B120" s="455">
        <v>0</v>
      </c>
      <c r="C120" s="455">
        <v>1134.46</v>
      </c>
      <c r="D120" s="455">
        <v>557.78</v>
      </c>
      <c r="E120" s="455">
        <v>0</v>
      </c>
      <c r="F120" s="455">
        <v>26.62</v>
      </c>
      <c r="G120" s="455">
        <v>0</v>
      </c>
      <c r="H120" s="455">
        <v>0</v>
      </c>
      <c r="I120" s="455">
        <v>0</v>
      </c>
      <c r="J120" s="455">
        <f t="shared" si="60"/>
        <v>18168.689999999999</v>
      </c>
      <c r="K120" s="455">
        <f t="shared" si="61"/>
        <v>5.9580081300813008</v>
      </c>
      <c r="L120" s="451"/>
      <c r="M120" s="451"/>
      <c r="N120" s="451"/>
      <c r="O120" s="451"/>
      <c r="P120" s="451"/>
      <c r="Q120" s="451"/>
      <c r="R120" s="451"/>
    </row>
    <row r="121" spans="1:18" ht="9.75" customHeight="1" x14ac:dyDescent="0.25">
      <c r="A121" s="450" t="s">
        <v>2835</v>
      </c>
      <c r="B121" s="455">
        <v>0</v>
      </c>
      <c r="C121" s="455">
        <v>800.5</v>
      </c>
      <c r="D121" s="455">
        <v>3762.14</v>
      </c>
      <c r="E121" s="455">
        <v>0</v>
      </c>
      <c r="F121" s="455">
        <v>409.87</v>
      </c>
      <c r="G121" s="455">
        <v>0</v>
      </c>
      <c r="H121" s="455">
        <v>0</v>
      </c>
      <c r="I121" s="455">
        <v>0</v>
      </c>
      <c r="J121" s="455">
        <f t="shared" si="60"/>
        <v>25783.52</v>
      </c>
      <c r="K121" s="455">
        <f t="shared" si="61"/>
        <v>7.7688655462184872</v>
      </c>
      <c r="L121" s="451"/>
      <c r="M121" s="451"/>
      <c r="N121" s="451"/>
      <c r="O121" s="451"/>
      <c r="P121" s="451"/>
      <c r="Q121" s="451"/>
      <c r="R121" s="451"/>
    </row>
    <row r="122" spans="1:18" ht="9.75" customHeight="1" x14ac:dyDescent="0.25">
      <c r="A122" s="450" t="s">
        <v>2836</v>
      </c>
      <c r="B122" s="455">
        <v>0</v>
      </c>
      <c r="C122" s="455">
        <v>879.47</v>
      </c>
      <c r="D122" s="455">
        <v>1169.69</v>
      </c>
      <c r="E122" s="455">
        <v>0</v>
      </c>
      <c r="F122" s="455">
        <v>207.3</v>
      </c>
      <c r="G122" s="455">
        <v>0</v>
      </c>
      <c r="H122" s="455">
        <v>0</v>
      </c>
      <c r="I122" s="455">
        <v>0</v>
      </c>
      <c r="J122" s="455">
        <f t="shared" si="60"/>
        <v>48202.780000000006</v>
      </c>
      <c r="K122" s="455">
        <f t="shared" si="61"/>
        <v>11.570180180180181</v>
      </c>
      <c r="L122" s="451"/>
      <c r="M122" s="451"/>
      <c r="N122" s="451"/>
      <c r="O122" s="451"/>
      <c r="P122" s="451"/>
      <c r="Q122" s="451"/>
      <c r="R122" s="451"/>
    </row>
    <row r="123" spans="1:18" ht="9.75" customHeight="1" x14ac:dyDescent="0.25">
      <c r="A123" s="450" t="s">
        <v>2837</v>
      </c>
      <c r="B123" s="455">
        <v>0</v>
      </c>
      <c r="C123" s="455">
        <v>518.57000000000005</v>
      </c>
      <c r="D123" s="455">
        <v>794.55</v>
      </c>
      <c r="E123" s="455">
        <v>0</v>
      </c>
      <c r="F123" s="455">
        <v>435.21</v>
      </c>
      <c r="G123" s="455">
        <v>0</v>
      </c>
      <c r="H123" s="455">
        <v>0</v>
      </c>
      <c r="I123" s="455">
        <v>0</v>
      </c>
      <c r="J123" s="455">
        <f t="shared" si="60"/>
        <v>35915.949999999997</v>
      </c>
      <c r="K123" s="455">
        <f t="shared" si="61"/>
        <v>5.8233830845771148</v>
      </c>
      <c r="L123" s="451"/>
      <c r="M123" s="451"/>
      <c r="N123" s="451"/>
      <c r="O123" s="451"/>
      <c r="P123" s="451"/>
      <c r="Q123" s="451"/>
      <c r="R123" s="451"/>
    </row>
    <row r="124" spans="1:18" ht="9.75" customHeight="1" x14ac:dyDescent="0.25">
      <c r="A124" s="453" t="s">
        <v>2805</v>
      </c>
      <c r="B124" s="453">
        <f t="shared" ref="B124:K124" si="62">IF(AVERAGE(B120:B122)&lt;&gt;0, ((B123/AVERAGE(B120:B122))-1), IF(B123=0,0,1))</f>
        <v>0</v>
      </c>
      <c r="C124" s="453">
        <f t="shared" si="62"/>
        <v>-0.44723798424547778</v>
      </c>
      <c r="D124" s="453">
        <f t="shared" si="62"/>
        <v>-0.56578882652866058</v>
      </c>
      <c r="E124" s="453">
        <f t="shared" si="62"/>
        <v>0</v>
      </c>
      <c r="F124" s="453">
        <f t="shared" si="62"/>
        <v>1.0280370928408331</v>
      </c>
      <c r="G124" s="453">
        <f t="shared" si="62"/>
        <v>0</v>
      </c>
      <c r="H124" s="453">
        <f t="shared" si="62"/>
        <v>0</v>
      </c>
      <c r="I124" s="453">
        <f t="shared" si="62"/>
        <v>0</v>
      </c>
      <c r="J124" s="453">
        <f t="shared" si="62"/>
        <v>0.16920255756090885</v>
      </c>
      <c r="K124" s="453">
        <f t="shared" si="62"/>
        <v>-0.30939984739542015</v>
      </c>
      <c r="L124" s="453"/>
      <c r="M124" s="453"/>
      <c r="N124" s="453"/>
      <c r="O124" s="453"/>
      <c r="P124" s="453"/>
      <c r="Q124" s="453"/>
      <c r="R124" s="453"/>
    </row>
    <row r="125" spans="1:18" ht="9.75" customHeight="1" x14ac:dyDescent="0.25">
      <c r="A125" s="453" t="s">
        <v>2806</v>
      </c>
      <c r="B125" s="453">
        <f t="shared" ref="B125:K125" si="63">IF(AVERAGE(B112:B122)&lt;&gt;0, ((B123/AVERAGE(B112:B122))-1), IF(B123=0,0,1))</f>
        <v>-1</v>
      </c>
      <c r="C125" s="453">
        <f t="shared" si="63"/>
        <v>-0.28643285856177492</v>
      </c>
      <c r="D125" s="453">
        <f t="shared" si="63"/>
        <v>-1.8114228387121512E-2</v>
      </c>
      <c r="E125" s="453">
        <f t="shared" si="63"/>
        <v>0</v>
      </c>
      <c r="F125" s="453">
        <f t="shared" si="63"/>
        <v>-0.36160943482023677</v>
      </c>
      <c r="G125" s="453">
        <f t="shared" si="63"/>
        <v>0</v>
      </c>
      <c r="H125" s="453">
        <f t="shared" si="63"/>
        <v>0</v>
      </c>
      <c r="I125" s="453">
        <f t="shared" si="63"/>
        <v>0</v>
      </c>
      <c r="J125" s="453">
        <f t="shared" si="63"/>
        <v>0.82566201111638948</v>
      </c>
      <c r="K125" s="453">
        <f t="shared" si="63"/>
        <v>-0.36929623740648065</v>
      </c>
      <c r="L125" s="453"/>
      <c r="M125" s="453"/>
      <c r="N125" s="453"/>
      <c r="O125" s="453"/>
      <c r="P125" s="453"/>
      <c r="Q125" s="453"/>
      <c r="R125" s="453"/>
    </row>
    <row r="126" spans="1:18" ht="9.75" customHeight="1" x14ac:dyDescent="0.25">
      <c r="A126" s="451" t="s">
        <v>2807</v>
      </c>
      <c r="B126" s="455">
        <f t="shared" ref="B126:K126" si="64">AVERAGE(B120:B122)</f>
        <v>0</v>
      </c>
      <c r="C126" s="455">
        <f t="shared" si="64"/>
        <v>938.14333333333343</v>
      </c>
      <c r="D126" s="455">
        <f t="shared" si="64"/>
        <v>1829.8700000000001</v>
      </c>
      <c r="E126" s="455">
        <f t="shared" si="64"/>
        <v>0</v>
      </c>
      <c r="F126" s="455">
        <f t="shared" si="64"/>
        <v>214.59666666666666</v>
      </c>
      <c r="G126" s="455">
        <f t="shared" si="64"/>
        <v>0</v>
      </c>
      <c r="H126" s="455">
        <f t="shared" si="64"/>
        <v>0</v>
      </c>
      <c r="I126" s="455">
        <f t="shared" si="64"/>
        <v>0</v>
      </c>
      <c r="J126" s="455">
        <f t="shared" si="64"/>
        <v>30718.33</v>
      </c>
      <c r="K126" s="455">
        <f t="shared" si="64"/>
        <v>8.4323512854933238</v>
      </c>
      <c r="L126" s="451"/>
      <c r="M126" s="451"/>
      <c r="N126" s="451"/>
      <c r="O126" s="451"/>
      <c r="P126" s="451"/>
      <c r="Q126" s="451"/>
      <c r="R126" s="451"/>
    </row>
    <row r="127" spans="1:18" ht="9.75" customHeight="1" x14ac:dyDescent="0.25">
      <c r="A127" s="451" t="s">
        <v>2808</v>
      </c>
      <c r="B127" s="455">
        <f t="shared" ref="B127:J127" si="65">SUM(B112:B123)</f>
        <v>459.31</v>
      </c>
      <c r="C127" s="455">
        <f t="shared" si="65"/>
        <v>8512.59</v>
      </c>
      <c r="D127" s="455">
        <f t="shared" si="65"/>
        <v>9695.84</v>
      </c>
      <c r="E127" s="455">
        <f t="shared" si="65"/>
        <v>0</v>
      </c>
      <c r="F127" s="455">
        <f t="shared" si="65"/>
        <v>7934.24</v>
      </c>
      <c r="G127" s="455">
        <f t="shared" si="65"/>
        <v>0</v>
      </c>
      <c r="H127" s="455">
        <f t="shared" si="65"/>
        <v>0</v>
      </c>
      <c r="I127" s="455">
        <f t="shared" si="65"/>
        <v>0</v>
      </c>
      <c r="J127" s="455">
        <f t="shared" si="65"/>
        <v>252317.14999999997</v>
      </c>
      <c r="K127" s="451"/>
      <c r="L127" s="451"/>
      <c r="M127" s="451"/>
      <c r="N127" s="451"/>
      <c r="O127" s="451"/>
      <c r="P127" s="451"/>
      <c r="Q127" s="451"/>
      <c r="R127" s="451"/>
    </row>
    <row r="128" spans="1:18" ht="33" customHeight="1" x14ac:dyDescent="0.25">
      <c r="A128" s="449"/>
      <c r="B128" s="449"/>
      <c r="C128" s="449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</row>
    <row r="129" spans="1:18" ht="9.75" customHeight="1" x14ac:dyDescent="0.25">
      <c r="A129" s="451"/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</row>
    <row r="130" spans="1:18" ht="9.75" customHeight="1" x14ac:dyDescent="0.25">
      <c r="A130" s="451"/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</row>
    <row r="131" spans="1:18" ht="9.75" customHeight="1" x14ac:dyDescent="0.25">
      <c r="A131" s="451"/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</row>
    <row r="132" spans="1:18" ht="9.75" customHeight="1" x14ac:dyDescent="0.25">
      <c r="A132" s="451"/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</row>
    <row r="133" spans="1:18" ht="9.75" customHeight="1" x14ac:dyDescent="0.25">
      <c r="A133" s="451"/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</row>
    <row r="134" spans="1:18" ht="9.75" customHeight="1" x14ac:dyDescent="0.25">
      <c r="A134" s="451"/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451"/>
      <c r="P134" s="451"/>
      <c r="Q134" s="451"/>
      <c r="R134" s="451"/>
    </row>
    <row r="135" spans="1:18" ht="9.75" customHeight="1" x14ac:dyDescent="0.25">
      <c r="A135" s="451"/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</row>
    <row r="136" spans="1:18" ht="9.75" customHeight="1" x14ac:dyDescent="0.25">
      <c r="A136" s="451"/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</row>
    <row r="137" spans="1:18" ht="9.75" customHeight="1" x14ac:dyDescent="0.25">
      <c r="A137" s="451"/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</row>
    <row r="138" spans="1:18" ht="9.75" customHeight="1" x14ac:dyDescent="0.25">
      <c r="A138" s="451"/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451"/>
      <c r="Q138" s="451"/>
      <c r="R138" s="451"/>
    </row>
    <row r="139" spans="1:18" ht="9.75" customHeight="1" x14ac:dyDescent="0.25">
      <c r="A139" s="451"/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</row>
    <row r="140" spans="1:18" ht="9.75" customHeight="1" x14ac:dyDescent="0.25">
      <c r="A140" s="451"/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451"/>
      <c r="M140" s="451"/>
      <c r="N140" s="451"/>
      <c r="O140" s="451"/>
      <c r="P140" s="451"/>
      <c r="Q140" s="451"/>
      <c r="R140" s="451"/>
    </row>
    <row r="141" spans="1:18" ht="9.75" customHeight="1" x14ac:dyDescent="0.25">
      <c r="A141" s="453"/>
      <c r="B141" s="453"/>
      <c r="C141" s="453"/>
      <c r="D141" s="453"/>
      <c r="E141" s="453"/>
      <c r="F141" s="453"/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</row>
    <row r="142" spans="1:18" ht="9.75" customHeight="1" x14ac:dyDescent="0.25">
      <c r="A142" s="453"/>
      <c r="B142" s="453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3"/>
      <c r="O142" s="453"/>
      <c r="P142" s="453"/>
      <c r="Q142" s="453"/>
      <c r="R142" s="453"/>
    </row>
    <row r="143" spans="1:18" ht="9.75" customHeight="1" x14ac:dyDescent="0.25">
      <c r="A143" s="451"/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451"/>
      <c r="M143" s="451"/>
      <c r="N143" s="451"/>
      <c r="O143" s="451"/>
      <c r="P143" s="451"/>
      <c r="Q143" s="451"/>
      <c r="R143" s="451"/>
    </row>
    <row r="144" spans="1:18" ht="9.75" customHeight="1" x14ac:dyDescent="0.25">
      <c r="A144" s="451"/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451"/>
      <c r="M144" s="451"/>
      <c r="N144" s="451"/>
      <c r="O144" s="451"/>
      <c r="P144" s="451"/>
      <c r="Q144" s="451"/>
      <c r="R144" s="451"/>
    </row>
    <row r="145" spans="1:18" ht="33" customHeight="1" x14ac:dyDescent="0.25">
      <c r="A145" s="449"/>
      <c r="B145" s="449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</row>
    <row r="146" spans="1:18" ht="9.75" customHeight="1" x14ac:dyDescent="0.25">
      <c r="A146" s="451"/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451"/>
      <c r="O146" s="451"/>
      <c r="P146" s="451"/>
      <c r="Q146" s="451"/>
      <c r="R146" s="451"/>
    </row>
    <row r="147" spans="1:18" ht="9.75" customHeight="1" x14ac:dyDescent="0.25">
      <c r="A147" s="451"/>
      <c r="B147" s="451"/>
      <c r="C147" s="451"/>
      <c r="D147" s="451"/>
      <c r="E147" s="451"/>
      <c r="F147" s="451"/>
      <c r="G147" s="451"/>
      <c r="H147" s="451"/>
      <c r="I147" s="451"/>
      <c r="J147" s="451"/>
      <c r="K147" s="451"/>
      <c r="L147" s="451"/>
      <c r="M147" s="451"/>
      <c r="N147" s="451"/>
      <c r="O147" s="451"/>
      <c r="P147" s="451"/>
      <c r="Q147" s="451"/>
      <c r="R147" s="451"/>
    </row>
    <row r="148" spans="1:18" ht="9.75" customHeight="1" x14ac:dyDescent="0.25">
      <c r="A148" s="451"/>
      <c r="B148" s="451"/>
      <c r="C148" s="451"/>
      <c r="D148" s="451"/>
      <c r="E148" s="451"/>
      <c r="F148" s="451"/>
      <c r="G148" s="451"/>
      <c r="H148" s="451"/>
      <c r="I148" s="451"/>
      <c r="J148" s="451"/>
      <c r="K148" s="451"/>
      <c r="L148" s="451"/>
      <c r="M148" s="451"/>
      <c r="N148" s="451"/>
      <c r="O148" s="451"/>
      <c r="P148" s="451"/>
      <c r="Q148" s="451"/>
      <c r="R148" s="451"/>
    </row>
    <row r="149" spans="1:18" ht="9.75" customHeight="1" x14ac:dyDescent="0.25">
      <c r="A149" s="451"/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  <c r="O149" s="451"/>
      <c r="P149" s="451"/>
      <c r="Q149" s="451"/>
      <c r="R149" s="451"/>
    </row>
    <row r="150" spans="1:18" ht="9.75" customHeight="1" x14ac:dyDescent="0.25">
      <c r="A150" s="451"/>
      <c r="B150" s="451"/>
      <c r="C150" s="451"/>
      <c r="D150" s="451"/>
      <c r="E150" s="451"/>
      <c r="F150" s="451"/>
      <c r="G150" s="451"/>
      <c r="H150" s="451"/>
      <c r="I150" s="451"/>
      <c r="J150" s="451"/>
      <c r="K150" s="451"/>
      <c r="L150" s="451"/>
      <c r="M150" s="451"/>
      <c r="N150" s="451"/>
      <c r="O150" s="451"/>
      <c r="P150" s="451"/>
      <c r="Q150" s="451"/>
      <c r="R150" s="451"/>
    </row>
    <row r="151" spans="1:18" ht="9.75" customHeight="1" x14ac:dyDescent="0.25">
      <c r="A151" s="451"/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451"/>
      <c r="Q151" s="451"/>
      <c r="R151" s="451"/>
    </row>
    <row r="152" spans="1:18" ht="9.75" customHeight="1" x14ac:dyDescent="0.25">
      <c r="A152" s="451"/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  <c r="O152" s="451"/>
      <c r="P152" s="451"/>
      <c r="Q152" s="451"/>
      <c r="R152" s="451"/>
    </row>
    <row r="153" spans="1:18" ht="9.75" customHeight="1" x14ac:dyDescent="0.25">
      <c r="A153" s="451"/>
      <c r="B153" s="451"/>
      <c r="C153" s="451"/>
      <c r="D153" s="451"/>
      <c r="E153" s="451"/>
      <c r="F153" s="451"/>
      <c r="G153" s="451"/>
      <c r="H153" s="451"/>
      <c r="I153" s="451"/>
      <c r="J153" s="451"/>
      <c r="K153" s="451"/>
      <c r="L153" s="451"/>
      <c r="M153" s="451"/>
      <c r="N153" s="451"/>
      <c r="O153" s="451"/>
      <c r="P153" s="451"/>
      <c r="Q153" s="451"/>
      <c r="R153" s="451"/>
    </row>
    <row r="154" spans="1:18" ht="9.75" customHeight="1" x14ac:dyDescent="0.25">
      <c r="A154" s="451"/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  <c r="O154" s="451"/>
      <c r="P154" s="451"/>
      <c r="Q154" s="451"/>
      <c r="R154" s="451"/>
    </row>
    <row r="155" spans="1:18" ht="9.75" customHeight="1" x14ac:dyDescent="0.25">
      <c r="A155" s="451"/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1"/>
      <c r="N155" s="451"/>
      <c r="O155" s="451"/>
      <c r="P155" s="451"/>
      <c r="Q155" s="451"/>
      <c r="R155" s="451"/>
    </row>
    <row r="156" spans="1:18" ht="9.75" customHeight="1" x14ac:dyDescent="0.25">
      <c r="A156" s="451"/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  <c r="O156" s="451"/>
      <c r="P156" s="451"/>
      <c r="Q156" s="451"/>
      <c r="R156" s="451"/>
    </row>
    <row r="157" spans="1:18" ht="9.75" customHeight="1" x14ac:dyDescent="0.25">
      <c r="A157" s="451"/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</row>
    <row r="158" spans="1:18" ht="9.75" customHeight="1" x14ac:dyDescent="0.25">
      <c r="A158" s="453"/>
      <c r="B158" s="453"/>
      <c r="C158" s="453"/>
      <c r="D158" s="453"/>
      <c r="E158" s="453"/>
      <c r="F158" s="453"/>
      <c r="G158" s="453"/>
      <c r="H158" s="453"/>
      <c r="I158" s="453"/>
      <c r="J158" s="453"/>
      <c r="K158" s="453"/>
      <c r="L158" s="453"/>
      <c r="M158" s="453"/>
      <c r="N158" s="453"/>
      <c r="O158" s="453"/>
      <c r="P158" s="453"/>
      <c r="Q158" s="453"/>
      <c r="R158" s="453"/>
    </row>
    <row r="159" spans="1:18" ht="9.75" customHeight="1" x14ac:dyDescent="0.25">
      <c r="A159" s="453"/>
      <c r="B159" s="453"/>
      <c r="C159" s="453"/>
      <c r="D159" s="453"/>
      <c r="E159" s="453"/>
      <c r="F159" s="453"/>
      <c r="G159" s="453"/>
      <c r="H159" s="453"/>
      <c r="I159" s="453"/>
      <c r="J159" s="453"/>
      <c r="K159" s="453"/>
      <c r="L159" s="453"/>
      <c r="M159" s="453"/>
      <c r="N159" s="453"/>
      <c r="O159" s="453"/>
      <c r="P159" s="453"/>
      <c r="Q159" s="453"/>
      <c r="R159" s="453"/>
    </row>
    <row r="160" spans="1:18" ht="9.75" customHeight="1" x14ac:dyDescent="0.25">
      <c r="A160" s="451"/>
      <c r="B160" s="451"/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</row>
    <row r="161" spans="1:18" ht="9.75" customHeight="1" x14ac:dyDescent="0.25">
      <c r="A161" s="451"/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</row>
    <row r="162" spans="1:18" ht="9.75" customHeight="1" x14ac:dyDescent="0.25">
      <c r="A162" s="456"/>
      <c r="B162" s="456"/>
      <c r="C162" s="456"/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</row>
    <row r="163" spans="1:18" ht="9.75" customHeight="1" x14ac:dyDescent="0.25">
      <c r="A163" s="456"/>
      <c r="B163" s="456"/>
      <c r="C163" s="456"/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</row>
    <row r="164" spans="1:18" ht="9.75" customHeight="1" x14ac:dyDescent="0.25">
      <c r="A164" s="456"/>
      <c r="B164" s="456"/>
      <c r="C164" s="456"/>
      <c r="D164" s="456"/>
      <c r="E164" s="456"/>
      <c r="F164" s="456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</row>
    <row r="165" spans="1:18" ht="9.75" customHeight="1" x14ac:dyDescent="0.25">
      <c r="A165" s="456"/>
      <c r="B165" s="456"/>
      <c r="C165" s="456"/>
      <c r="D165" s="456"/>
      <c r="E165" s="456"/>
      <c r="F165" s="456"/>
      <c r="G165" s="456"/>
      <c r="H165" s="456"/>
      <c r="I165" s="456"/>
      <c r="J165" s="456"/>
      <c r="K165" s="456"/>
      <c r="L165" s="456"/>
      <c r="M165" s="456"/>
      <c r="N165" s="456"/>
      <c r="O165" s="456"/>
      <c r="P165" s="456"/>
      <c r="Q165" s="456"/>
      <c r="R165" s="456"/>
    </row>
    <row r="166" spans="1:18" ht="9.75" customHeight="1" x14ac:dyDescent="0.25">
      <c r="A166" s="456"/>
      <c r="B166" s="456"/>
      <c r="C166" s="456"/>
      <c r="D166" s="456"/>
      <c r="E166" s="456"/>
      <c r="F166" s="456"/>
      <c r="G166" s="456"/>
      <c r="H166" s="456"/>
      <c r="I166" s="456"/>
      <c r="J166" s="456"/>
      <c r="K166" s="456"/>
      <c r="L166" s="456"/>
      <c r="M166" s="456"/>
      <c r="N166" s="456"/>
      <c r="O166" s="456"/>
      <c r="P166" s="456"/>
      <c r="Q166" s="456"/>
      <c r="R166" s="456"/>
    </row>
    <row r="167" spans="1:18" ht="9.75" customHeight="1" x14ac:dyDescent="0.25">
      <c r="A167" s="456"/>
      <c r="B167" s="456"/>
      <c r="C167" s="456"/>
      <c r="D167" s="456"/>
      <c r="E167" s="456"/>
      <c r="F167" s="456"/>
      <c r="G167" s="456"/>
      <c r="H167" s="456"/>
      <c r="I167" s="456"/>
      <c r="J167" s="456"/>
      <c r="K167" s="456"/>
      <c r="L167" s="456"/>
      <c r="M167" s="456"/>
      <c r="N167" s="456"/>
      <c r="O167" s="456"/>
      <c r="P167" s="456"/>
      <c r="Q167" s="456"/>
      <c r="R167" s="456"/>
    </row>
    <row r="168" spans="1:18" ht="9.75" customHeight="1" x14ac:dyDescent="0.25">
      <c r="A168" s="456"/>
      <c r="B168" s="456"/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</row>
    <row r="169" spans="1:18" ht="9.75" customHeight="1" x14ac:dyDescent="0.25">
      <c r="A169" s="456"/>
      <c r="B169" s="456"/>
      <c r="C169" s="456"/>
      <c r="D169" s="456"/>
      <c r="E169" s="456"/>
      <c r="F169" s="456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</row>
    <row r="170" spans="1:18" ht="9.75" customHeight="1" x14ac:dyDescent="0.25">
      <c r="A170" s="456"/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</row>
    <row r="171" spans="1:18" ht="9.75" customHeight="1" x14ac:dyDescent="0.25">
      <c r="A171" s="456"/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456"/>
      <c r="R171" s="456"/>
    </row>
    <row r="172" spans="1:18" ht="9.75" customHeight="1" x14ac:dyDescent="0.25">
      <c r="A172" s="456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456"/>
      <c r="R172" s="456"/>
    </row>
    <row r="173" spans="1:18" ht="9.75" customHeight="1" x14ac:dyDescent="0.25">
      <c r="A173" s="456"/>
      <c r="B173" s="456"/>
      <c r="C173" s="456"/>
      <c r="D173" s="456"/>
      <c r="E173" s="456"/>
      <c r="F173" s="456"/>
      <c r="G173" s="456"/>
      <c r="H173" s="456"/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</row>
    <row r="174" spans="1:18" ht="9.75" customHeight="1" x14ac:dyDescent="0.25">
      <c r="A174" s="456"/>
      <c r="B174" s="456"/>
      <c r="C174" s="456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</row>
    <row r="175" spans="1:18" ht="9.75" customHeight="1" x14ac:dyDescent="0.25">
      <c r="A175" s="456"/>
      <c r="B175" s="456"/>
      <c r="C175" s="456"/>
      <c r="D175" s="456"/>
      <c r="E175" s="456"/>
      <c r="F175" s="456"/>
      <c r="G175" s="456"/>
      <c r="H175" s="456"/>
      <c r="I175" s="456"/>
      <c r="J175" s="456"/>
      <c r="K175" s="456"/>
      <c r="L175" s="456"/>
      <c r="M175" s="456"/>
      <c r="N175" s="456"/>
      <c r="O175" s="456"/>
      <c r="P175" s="456"/>
      <c r="Q175" s="456"/>
      <c r="R175" s="456"/>
    </row>
    <row r="176" spans="1:18" ht="9.75" customHeight="1" x14ac:dyDescent="0.25">
      <c r="A176" s="456"/>
      <c r="B176" s="456"/>
      <c r="C176" s="456"/>
      <c r="D176" s="456"/>
      <c r="E176" s="456"/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6"/>
      <c r="Q176" s="456"/>
      <c r="R176" s="456"/>
    </row>
    <row r="177" spans="1:18" ht="9.75" customHeight="1" x14ac:dyDescent="0.25">
      <c r="A177" s="456"/>
      <c r="B177" s="456"/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</row>
    <row r="178" spans="1:18" ht="9.75" customHeight="1" x14ac:dyDescent="0.25">
      <c r="A178" s="456"/>
      <c r="B178" s="456"/>
      <c r="C178" s="456"/>
      <c r="D178" s="456"/>
      <c r="E178" s="456"/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</row>
    <row r="179" spans="1:18" ht="9.75" customHeight="1" x14ac:dyDescent="0.25">
      <c r="A179" s="456"/>
      <c r="B179" s="456"/>
      <c r="C179" s="456"/>
      <c r="D179" s="456"/>
      <c r="E179" s="456"/>
      <c r="F179" s="456"/>
      <c r="G179" s="456"/>
      <c r="H179" s="456"/>
      <c r="I179" s="456"/>
      <c r="J179" s="456"/>
      <c r="K179" s="456"/>
      <c r="L179" s="456"/>
      <c r="M179" s="456"/>
      <c r="N179" s="456"/>
      <c r="O179" s="456"/>
      <c r="P179" s="456"/>
      <c r="Q179" s="456"/>
      <c r="R179" s="456"/>
    </row>
    <row r="180" spans="1:18" ht="9.75" customHeight="1" x14ac:dyDescent="0.25">
      <c r="A180" s="456"/>
      <c r="B180" s="456"/>
      <c r="C180" s="456"/>
      <c r="D180" s="456"/>
      <c r="E180" s="456"/>
      <c r="F180" s="456"/>
      <c r="G180" s="456"/>
      <c r="H180" s="456"/>
      <c r="I180" s="456"/>
      <c r="J180" s="456"/>
      <c r="K180" s="456"/>
      <c r="L180" s="456"/>
      <c r="M180" s="456"/>
      <c r="N180" s="456"/>
      <c r="O180" s="456"/>
      <c r="P180" s="456"/>
      <c r="Q180" s="456"/>
      <c r="R180" s="456"/>
    </row>
    <row r="181" spans="1:18" ht="9.75" customHeight="1" x14ac:dyDescent="0.25">
      <c r="A181" s="456"/>
      <c r="B181" s="456"/>
      <c r="C181" s="456"/>
      <c r="D181" s="456"/>
      <c r="E181" s="456"/>
      <c r="F181" s="456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6"/>
      <c r="R181" s="456"/>
    </row>
    <row r="182" spans="1:18" ht="9.75" customHeight="1" x14ac:dyDescent="0.25">
      <c r="A182" s="456"/>
      <c r="B182" s="456"/>
      <c r="C182" s="456"/>
      <c r="D182" s="456"/>
      <c r="E182" s="456"/>
      <c r="F182" s="456"/>
      <c r="G182" s="456"/>
      <c r="H182" s="456"/>
      <c r="I182" s="456"/>
      <c r="J182" s="456"/>
      <c r="K182" s="456"/>
      <c r="L182" s="456"/>
      <c r="M182" s="456"/>
      <c r="N182" s="456"/>
      <c r="O182" s="456"/>
      <c r="P182" s="456"/>
      <c r="Q182" s="456"/>
      <c r="R182" s="456"/>
    </row>
    <row r="183" spans="1:18" ht="9.75" customHeight="1" x14ac:dyDescent="0.25">
      <c r="A183" s="456"/>
      <c r="B183" s="456"/>
      <c r="C183" s="456"/>
      <c r="D183" s="456"/>
      <c r="E183" s="456"/>
      <c r="F183" s="456"/>
      <c r="G183" s="456"/>
      <c r="H183" s="456"/>
      <c r="I183" s="456"/>
      <c r="J183" s="456"/>
      <c r="K183" s="456"/>
      <c r="L183" s="456"/>
      <c r="M183" s="456"/>
      <c r="N183" s="456"/>
      <c r="O183" s="456"/>
      <c r="P183" s="456"/>
      <c r="Q183" s="456"/>
      <c r="R183" s="456"/>
    </row>
    <row r="184" spans="1:18" ht="9.75" customHeight="1" x14ac:dyDescent="0.25">
      <c r="A184" s="456"/>
      <c r="B184" s="456"/>
      <c r="C184" s="456"/>
      <c r="D184" s="456"/>
      <c r="E184" s="456"/>
      <c r="F184" s="456"/>
      <c r="G184" s="456"/>
      <c r="H184" s="456"/>
      <c r="I184" s="456"/>
      <c r="J184" s="456"/>
      <c r="K184" s="456"/>
      <c r="L184" s="456"/>
      <c r="M184" s="456"/>
      <c r="N184" s="456"/>
      <c r="O184" s="456"/>
      <c r="P184" s="456"/>
      <c r="Q184" s="456"/>
      <c r="R184" s="456"/>
    </row>
    <row r="185" spans="1:18" ht="9.75" customHeight="1" x14ac:dyDescent="0.25">
      <c r="A185" s="456"/>
      <c r="B185" s="456"/>
      <c r="C185" s="456"/>
      <c r="D185" s="456"/>
      <c r="E185" s="456"/>
      <c r="F185" s="456"/>
      <c r="G185" s="456"/>
      <c r="H185" s="456"/>
      <c r="I185" s="456"/>
      <c r="J185" s="456"/>
      <c r="K185" s="456"/>
      <c r="L185" s="456"/>
      <c r="M185" s="456"/>
      <c r="N185" s="456"/>
      <c r="O185" s="456"/>
      <c r="P185" s="456"/>
      <c r="Q185" s="456"/>
      <c r="R185" s="456"/>
    </row>
    <row r="186" spans="1:18" ht="9.75" customHeight="1" x14ac:dyDescent="0.25">
      <c r="A186" s="456"/>
      <c r="B186" s="456"/>
      <c r="C186" s="456"/>
      <c r="D186" s="456"/>
      <c r="E186" s="456"/>
      <c r="F186" s="456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6"/>
    </row>
    <row r="187" spans="1:18" ht="9.75" customHeight="1" x14ac:dyDescent="0.25">
      <c r="A187" s="456"/>
      <c r="B187" s="456"/>
      <c r="C187" s="456"/>
      <c r="D187" s="456"/>
      <c r="E187" s="456"/>
      <c r="F187" s="456"/>
      <c r="G187" s="456"/>
      <c r="H187" s="456"/>
      <c r="I187" s="456"/>
      <c r="J187" s="456"/>
      <c r="K187" s="456"/>
      <c r="L187" s="456"/>
      <c r="M187" s="456"/>
      <c r="N187" s="456"/>
      <c r="O187" s="456"/>
      <c r="P187" s="456"/>
      <c r="Q187" s="456"/>
      <c r="R187" s="456"/>
    </row>
    <row r="188" spans="1:18" ht="9.75" customHeight="1" x14ac:dyDescent="0.25">
      <c r="A188" s="456"/>
      <c r="B188" s="45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  <c r="O188" s="456"/>
      <c r="P188" s="456"/>
      <c r="Q188" s="456"/>
      <c r="R188" s="456"/>
    </row>
    <row r="189" spans="1:18" ht="9.75" customHeight="1" x14ac:dyDescent="0.25">
      <c r="A189" s="456"/>
      <c r="B189" s="456"/>
      <c r="C189" s="456"/>
      <c r="D189" s="456"/>
      <c r="E189" s="456"/>
      <c r="F189" s="456"/>
      <c r="G189" s="456"/>
      <c r="H189" s="456"/>
      <c r="I189" s="456"/>
      <c r="J189" s="456"/>
      <c r="K189" s="456"/>
      <c r="L189" s="456"/>
      <c r="M189" s="456"/>
      <c r="N189" s="456"/>
      <c r="O189" s="456"/>
      <c r="P189" s="456"/>
      <c r="Q189" s="456"/>
      <c r="R189" s="456"/>
    </row>
    <row r="190" spans="1:18" ht="9.75" customHeight="1" x14ac:dyDescent="0.25">
      <c r="A190" s="456"/>
      <c r="B190" s="456"/>
      <c r="C190" s="456"/>
      <c r="D190" s="456"/>
      <c r="E190" s="456"/>
      <c r="F190" s="456"/>
      <c r="G190" s="456"/>
      <c r="H190" s="456"/>
      <c r="I190" s="456"/>
      <c r="J190" s="456"/>
      <c r="K190" s="456"/>
      <c r="L190" s="456"/>
      <c r="M190" s="456"/>
      <c r="N190" s="456"/>
      <c r="O190" s="456"/>
      <c r="P190" s="456"/>
      <c r="Q190" s="456"/>
      <c r="R190" s="456"/>
    </row>
    <row r="191" spans="1:18" ht="9.75" customHeight="1" x14ac:dyDescent="0.25">
      <c r="A191" s="456"/>
      <c r="B191" s="456"/>
      <c r="C191" s="456"/>
      <c r="D191" s="456"/>
      <c r="E191" s="456"/>
      <c r="F191" s="456"/>
      <c r="G191" s="456"/>
      <c r="H191" s="456"/>
      <c r="I191" s="456"/>
      <c r="J191" s="456"/>
      <c r="K191" s="456"/>
      <c r="L191" s="456"/>
      <c r="M191" s="456"/>
      <c r="N191" s="456"/>
      <c r="O191" s="456"/>
      <c r="P191" s="456"/>
      <c r="Q191" s="456"/>
      <c r="R191" s="456"/>
    </row>
    <row r="192" spans="1:18" ht="9.75" customHeight="1" x14ac:dyDescent="0.25">
      <c r="A192" s="456"/>
      <c r="B192" s="456"/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6"/>
      <c r="N192" s="456"/>
      <c r="O192" s="456"/>
      <c r="P192" s="456"/>
      <c r="Q192" s="456"/>
      <c r="R192" s="456"/>
    </row>
    <row r="193" spans="1:18" ht="9.75" customHeight="1" x14ac:dyDescent="0.25">
      <c r="A193" s="456"/>
      <c r="B193" s="456"/>
      <c r="C193" s="456"/>
      <c r="D193" s="456"/>
      <c r="E193" s="456"/>
      <c r="F193" s="456"/>
      <c r="G193" s="456"/>
      <c r="H193" s="456"/>
      <c r="I193" s="456"/>
      <c r="J193" s="456"/>
      <c r="K193" s="456"/>
      <c r="L193" s="456"/>
      <c r="M193" s="456"/>
      <c r="N193" s="456"/>
      <c r="O193" s="456"/>
      <c r="P193" s="456"/>
      <c r="Q193" s="456"/>
      <c r="R193" s="456"/>
    </row>
    <row r="194" spans="1:18" ht="9.75" customHeight="1" x14ac:dyDescent="0.25">
      <c r="A194" s="456"/>
      <c r="B194" s="456"/>
      <c r="C194" s="456"/>
      <c r="D194" s="456"/>
      <c r="E194" s="456"/>
      <c r="F194" s="456"/>
      <c r="G194" s="456"/>
      <c r="H194" s="456"/>
      <c r="I194" s="456"/>
      <c r="J194" s="456"/>
      <c r="K194" s="456"/>
      <c r="L194" s="456"/>
      <c r="M194" s="456"/>
      <c r="N194" s="456"/>
      <c r="O194" s="456"/>
      <c r="P194" s="456"/>
      <c r="Q194" s="456"/>
      <c r="R194" s="456"/>
    </row>
    <row r="195" spans="1:18" ht="9.75" customHeight="1" x14ac:dyDescent="0.25">
      <c r="A195" s="456"/>
      <c r="B195" s="456"/>
      <c r="C195" s="456"/>
      <c r="D195" s="456"/>
      <c r="E195" s="456"/>
      <c r="F195" s="456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</row>
    <row r="196" spans="1:18" ht="9.75" customHeight="1" x14ac:dyDescent="0.25">
      <c r="A196" s="456"/>
      <c r="B196" s="456"/>
      <c r="C196" s="456"/>
      <c r="D196" s="456"/>
      <c r="E196" s="456"/>
      <c r="F196" s="456"/>
      <c r="G196" s="456"/>
      <c r="H196" s="456"/>
      <c r="I196" s="456"/>
      <c r="J196" s="456"/>
      <c r="K196" s="456"/>
      <c r="L196" s="456"/>
      <c r="M196" s="456"/>
      <c r="N196" s="456"/>
      <c r="O196" s="456"/>
      <c r="P196" s="456"/>
      <c r="Q196" s="456"/>
      <c r="R196" s="456"/>
    </row>
    <row r="197" spans="1:18" ht="9.75" customHeight="1" x14ac:dyDescent="0.25">
      <c r="A197" s="456"/>
      <c r="B197" s="456"/>
      <c r="C197" s="456"/>
      <c r="D197" s="456"/>
      <c r="E197" s="456"/>
      <c r="F197" s="456"/>
      <c r="G197" s="456"/>
      <c r="H197" s="456"/>
      <c r="I197" s="456"/>
      <c r="J197" s="456"/>
      <c r="K197" s="456"/>
      <c r="L197" s="456"/>
      <c r="M197" s="456"/>
      <c r="N197" s="456"/>
      <c r="O197" s="456"/>
      <c r="P197" s="456"/>
      <c r="Q197" s="456"/>
      <c r="R197" s="456"/>
    </row>
    <row r="198" spans="1:18" ht="9.75" customHeight="1" x14ac:dyDescent="0.25">
      <c r="A198" s="456"/>
      <c r="B198" s="456"/>
      <c r="C198" s="456"/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56"/>
      <c r="R198" s="456"/>
    </row>
    <row r="199" spans="1:18" ht="9.75" customHeight="1" x14ac:dyDescent="0.25">
      <c r="A199" s="456"/>
      <c r="B199" s="456"/>
      <c r="C199" s="456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6"/>
      <c r="O199" s="456"/>
      <c r="P199" s="456"/>
      <c r="Q199" s="456"/>
      <c r="R199" s="456"/>
    </row>
    <row r="200" spans="1:18" ht="9.75" customHeight="1" x14ac:dyDescent="0.25">
      <c r="A200" s="456"/>
      <c r="B200" s="456"/>
      <c r="C200" s="456"/>
      <c r="D200" s="456"/>
      <c r="E200" s="456"/>
      <c r="F200" s="456"/>
      <c r="G200" s="456"/>
      <c r="H200" s="456"/>
      <c r="I200" s="456"/>
      <c r="J200" s="456"/>
      <c r="K200" s="456"/>
      <c r="L200" s="456"/>
      <c r="M200" s="456"/>
      <c r="N200" s="456"/>
      <c r="O200" s="456"/>
      <c r="P200" s="456"/>
      <c r="Q200" s="456"/>
      <c r="R200" s="456"/>
    </row>
    <row r="201" spans="1:18" ht="9.75" customHeight="1" x14ac:dyDescent="0.25">
      <c r="A201" s="456"/>
      <c r="B201" s="456"/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</row>
    <row r="202" spans="1:18" ht="9.75" customHeight="1" x14ac:dyDescent="0.25">
      <c r="A202" s="456"/>
      <c r="B202" s="456"/>
      <c r="C202" s="456"/>
      <c r="D202" s="456"/>
      <c r="E202" s="456"/>
      <c r="F202" s="456"/>
      <c r="G202" s="456"/>
      <c r="H202" s="456"/>
      <c r="I202" s="456"/>
      <c r="J202" s="456"/>
      <c r="K202" s="456"/>
      <c r="L202" s="456"/>
      <c r="M202" s="456"/>
      <c r="N202" s="456"/>
      <c r="O202" s="456"/>
      <c r="P202" s="456"/>
      <c r="Q202" s="456"/>
      <c r="R202" s="456"/>
    </row>
    <row r="203" spans="1:18" ht="9.75" customHeight="1" x14ac:dyDescent="0.25">
      <c r="A203" s="456"/>
      <c r="B203" s="456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</row>
    <row r="204" spans="1:18" ht="9.75" customHeight="1" x14ac:dyDescent="0.25">
      <c r="A204" s="456"/>
      <c r="B204" s="456"/>
      <c r="C204" s="456"/>
      <c r="D204" s="456"/>
      <c r="E204" s="456"/>
      <c r="F204" s="456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6"/>
      <c r="R204" s="456"/>
    </row>
    <row r="205" spans="1:18" ht="9.75" customHeight="1" x14ac:dyDescent="0.25">
      <c r="A205" s="456"/>
      <c r="B205" s="456"/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  <c r="O205" s="456"/>
      <c r="P205" s="456"/>
      <c r="Q205" s="456"/>
      <c r="R205" s="456"/>
    </row>
    <row r="206" spans="1:18" ht="9.75" customHeight="1" x14ac:dyDescent="0.25">
      <c r="A206" s="456"/>
      <c r="B206" s="456"/>
      <c r="C206" s="456"/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  <c r="O206" s="456"/>
      <c r="P206" s="456"/>
      <c r="Q206" s="456"/>
      <c r="R206" s="456"/>
    </row>
    <row r="207" spans="1:18" ht="9.75" customHeight="1" x14ac:dyDescent="0.25">
      <c r="A207" s="456"/>
      <c r="B207" s="456"/>
      <c r="C207" s="456"/>
      <c r="D207" s="456"/>
      <c r="E207" s="456"/>
      <c r="F207" s="456"/>
      <c r="G207" s="456"/>
      <c r="H207" s="456"/>
      <c r="I207" s="456"/>
      <c r="J207" s="456"/>
      <c r="K207" s="456"/>
      <c r="L207" s="456"/>
      <c r="M207" s="456"/>
      <c r="N207" s="456"/>
      <c r="O207" s="456"/>
      <c r="P207" s="456"/>
      <c r="Q207" s="456"/>
      <c r="R207" s="456"/>
    </row>
    <row r="208" spans="1:18" ht="9.75" customHeight="1" x14ac:dyDescent="0.25">
      <c r="A208" s="456"/>
      <c r="B208" s="456"/>
      <c r="C208" s="456"/>
      <c r="D208" s="456"/>
      <c r="E208" s="456"/>
      <c r="F208" s="456"/>
      <c r="G208" s="456"/>
      <c r="H208" s="456"/>
      <c r="I208" s="456"/>
      <c r="J208" s="456"/>
      <c r="K208" s="456"/>
      <c r="L208" s="456"/>
      <c r="M208" s="456"/>
      <c r="N208" s="456"/>
      <c r="O208" s="456"/>
      <c r="P208" s="456"/>
      <c r="Q208" s="456"/>
      <c r="R208" s="456"/>
    </row>
    <row r="209" spans="1:18" ht="9.75" customHeight="1" x14ac:dyDescent="0.25">
      <c r="A209" s="456"/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456"/>
      <c r="M209" s="456"/>
      <c r="N209" s="456"/>
      <c r="O209" s="456"/>
      <c r="P209" s="456"/>
      <c r="Q209" s="456"/>
      <c r="R209" s="456"/>
    </row>
    <row r="210" spans="1:18" ht="9.75" customHeight="1" x14ac:dyDescent="0.25">
      <c r="A210" s="456"/>
      <c r="B210" s="456"/>
      <c r="C210" s="456"/>
      <c r="D210" s="456"/>
      <c r="E210" s="456"/>
      <c r="F210" s="456"/>
      <c r="G210" s="456"/>
      <c r="H210" s="456"/>
      <c r="I210" s="456"/>
      <c r="J210" s="456"/>
      <c r="K210" s="456"/>
      <c r="L210" s="456"/>
      <c r="M210" s="456"/>
      <c r="N210" s="456"/>
      <c r="O210" s="456"/>
      <c r="P210" s="456"/>
      <c r="Q210" s="456"/>
      <c r="R210" s="456"/>
    </row>
    <row r="211" spans="1:18" ht="9.75" customHeight="1" x14ac:dyDescent="0.25">
      <c r="A211" s="456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456"/>
      <c r="M211" s="456"/>
      <c r="N211" s="456"/>
      <c r="O211" s="456"/>
      <c r="P211" s="456"/>
      <c r="Q211" s="456"/>
      <c r="R211" s="456"/>
    </row>
    <row r="212" spans="1:18" ht="9.75" customHeight="1" x14ac:dyDescent="0.25">
      <c r="A212" s="456"/>
      <c r="B212" s="456"/>
      <c r="C212" s="456"/>
      <c r="D212" s="456"/>
      <c r="E212" s="456"/>
      <c r="F212" s="456"/>
      <c r="G212" s="456"/>
      <c r="H212" s="456"/>
      <c r="I212" s="456"/>
      <c r="J212" s="456"/>
      <c r="K212" s="456"/>
      <c r="L212" s="456"/>
      <c r="M212" s="456"/>
      <c r="N212" s="456"/>
      <c r="O212" s="456"/>
      <c r="P212" s="456"/>
      <c r="Q212" s="456"/>
      <c r="R212" s="456"/>
    </row>
    <row r="213" spans="1:18" ht="9.75" customHeight="1" x14ac:dyDescent="0.25">
      <c r="A213" s="456"/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456"/>
      <c r="M213" s="456"/>
      <c r="N213" s="456"/>
      <c r="O213" s="456"/>
      <c r="P213" s="456"/>
      <c r="Q213" s="456"/>
      <c r="R213" s="456"/>
    </row>
    <row r="214" spans="1:18" ht="9.75" customHeight="1" x14ac:dyDescent="0.25">
      <c r="A214" s="456"/>
      <c r="B214" s="456"/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  <c r="O214" s="456"/>
      <c r="P214" s="456"/>
      <c r="Q214" s="456"/>
      <c r="R214" s="456"/>
    </row>
    <row r="215" spans="1:18" ht="9.75" customHeight="1" x14ac:dyDescent="0.25">
      <c r="A215" s="456"/>
      <c r="B215" s="456"/>
      <c r="C215" s="456"/>
      <c r="D215" s="456"/>
      <c r="E215" s="456"/>
      <c r="F215" s="456"/>
      <c r="G215" s="456"/>
      <c r="H215" s="456"/>
      <c r="I215" s="456"/>
      <c r="J215" s="456"/>
      <c r="K215" s="456"/>
      <c r="L215" s="456"/>
      <c r="M215" s="456"/>
      <c r="N215" s="456"/>
      <c r="O215" s="456"/>
      <c r="P215" s="456"/>
      <c r="Q215" s="456"/>
      <c r="R215" s="456"/>
    </row>
    <row r="216" spans="1:18" ht="9.75" customHeight="1" x14ac:dyDescent="0.25">
      <c r="A216" s="456"/>
      <c r="B216" s="456"/>
      <c r="C216" s="456"/>
      <c r="D216" s="456"/>
      <c r="E216" s="456"/>
      <c r="F216" s="456"/>
      <c r="G216" s="456"/>
      <c r="H216" s="456"/>
      <c r="I216" s="456"/>
      <c r="J216" s="456"/>
      <c r="K216" s="456"/>
      <c r="L216" s="456"/>
      <c r="M216" s="456"/>
      <c r="N216" s="456"/>
      <c r="O216" s="456"/>
      <c r="P216" s="456"/>
      <c r="Q216" s="456"/>
      <c r="R216" s="456"/>
    </row>
    <row r="217" spans="1:18" ht="9.75" customHeight="1" x14ac:dyDescent="0.25">
      <c r="A217" s="456"/>
      <c r="B217" s="456"/>
      <c r="C217" s="456"/>
      <c r="D217" s="456"/>
      <c r="E217" s="456"/>
      <c r="F217" s="456"/>
      <c r="G217" s="456"/>
      <c r="H217" s="456"/>
      <c r="I217" s="456"/>
      <c r="J217" s="456"/>
      <c r="K217" s="456"/>
      <c r="L217" s="456"/>
      <c r="M217" s="456"/>
      <c r="N217" s="456"/>
      <c r="O217" s="456"/>
      <c r="P217" s="456"/>
      <c r="Q217" s="456"/>
      <c r="R217" s="456"/>
    </row>
    <row r="218" spans="1:18" ht="9.75" customHeight="1" x14ac:dyDescent="0.25">
      <c r="A218" s="456"/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  <c r="N218" s="456"/>
      <c r="O218" s="456"/>
      <c r="P218" s="456"/>
      <c r="Q218" s="456"/>
      <c r="R218" s="456"/>
    </row>
    <row r="219" spans="1:18" ht="9.75" customHeight="1" x14ac:dyDescent="0.25">
      <c r="A219" s="456"/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456"/>
      <c r="Q219" s="456"/>
      <c r="R219" s="456"/>
    </row>
    <row r="220" spans="1:18" ht="9.75" customHeight="1" x14ac:dyDescent="0.25">
      <c r="A220" s="456"/>
      <c r="B220" s="456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  <c r="N220" s="456"/>
      <c r="O220" s="456"/>
      <c r="P220" s="456"/>
      <c r="Q220" s="456"/>
      <c r="R220" s="456"/>
    </row>
    <row r="221" spans="1:18" ht="9.75" customHeight="1" x14ac:dyDescent="0.25">
      <c r="A221" s="456"/>
      <c r="B221" s="456"/>
      <c r="C221" s="456"/>
      <c r="D221" s="456"/>
      <c r="E221" s="456"/>
      <c r="F221" s="456"/>
      <c r="G221" s="456"/>
      <c r="H221" s="456"/>
      <c r="I221" s="456"/>
      <c r="J221" s="456"/>
      <c r="K221" s="456"/>
      <c r="L221" s="456"/>
      <c r="M221" s="456"/>
      <c r="N221" s="456"/>
      <c r="O221" s="456"/>
      <c r="P221" s="456"/>
      <c r="Q221" s="456"/>
      <c r="R221" s="456"/>
    </row>
    <row r="222" spans="1:18" ht="9.75" customHeight="1" x14ac:dyDescent="0.25">
      <c r="A222" s="456"/>
      <c r="B222" s="456"/>
      <c r="C222" s="456"/>
      <c r="D222" s="456"/>
      <c r="E222" s="456"/>
      <c r="F222" s="456"/>
      <c r="G222" s="456"/>
      <c r="H222" s="456"/>
      <c r="I222" s="456"/>
      <c r="J222" s="456"/>
      <c r="K222" s="456"/>
      <c r="L222" s="456"/>
      <c r="M222" s="456"/>
      <c r="N222" s="456"/>
      <c r="O222" s="456"/>
      <c r="P222" s="456"/>
      <c r="Q222" s="456"/>
      <c r="R222" s="456"/>
    </row>
    <row r="223" spans="1:18" ht="9.75" customHeight="1" x14ac:dyDescent="0.25">
      <c r="A223" s="456"/>
      <c r="B223" s="456"/>
      <c r="C223" s="456"/>
      <c r="D223" s="456"/>
      <c r="E223" s="456"/>
      <c r="F223" s="456"/>
      <c r="G223" s="456"/>
      <c r="H223" s="456"/>
      <c r="I223" s="456"/>
      <c r="J223" s="456"/>
      <c r="K223" s="456"/>
      <c r="L223" s="456"/>
      <c r="M223" s="456"/>
      <c r="N223" s="456"/>
      <c r="O223" s="456"/>
      <c r="P223" s="456"/>
      <c r="Q223" s="456"/>
      <c r="R223" s="456"/>
    </row>
    <row r="224" spans="1:18" ht="9.75" customHeight="1" x14ac:dyDescent="0.25">
      <c r="A224" s="456"/>
      <c r="B224" s="456"/>
      <c r="C224" s="456"/>
      <c r="D224" s="456"/>
      <c r="E224" s="456"/>
      <c r="F224" s="456"/>
      <c r="G224" s="456"/>
      <c r="H224" s="456"/>
      <c r="I224" s="456"/>
      <c r="J224" s="456"/>
      <c r="K224" s="456"/>
      <c r="L224" s="456"/>
      <c r="M224" s="456"/>
      <c r="N224" s="456"/>
      <c r="O224" s="456"/>
      <c r="P224" s="456"/>
      <c r="Q224" s="456"/>
      <c r="R224" s="456"/>
    </row>
    <row r="225" spans="1:18" ht="9.75" customHeight="1" x14ac:dyDescent="0.25">
      <c r="A225" s="456"/>
      <c r="B225" s="456"/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456"/>
      <c r="Q225" s="456"/>
      <c r="R225" s="456"/>
    </row>
    <row r="226" spans="1:18" ht="9.75" customHeight="1" x14ac:dyDescent="0.25">
      <c r="A226" s="456"/>
      <c r="B226" s="456"/>
      <c r="C226" s="456"/>
      <c r="D226" s="456"/>
      <c r="E226" s="456"/>
      <c r="F226" s="456"/>
      <c r="G226" s="456"/>
      <c r="H226" s="456"/>
      <c r="I226" s="456"/>
      <c r="J226" s="456"/>
      <c r="K226" s="456"/>
      <c r="L226" s="456"/>
      <c r="M226" s="456"/>
      <c r="N226" s="456"/>
      <c r="O226" s="456"/>
      <c r="P226" s="456"/>
      <c r="Q226" s="456"/>
      <c r="R226" s="456"/>
    </row>
    <row r="227" spans="1:18" ht="9.75" customHeight="1" x14ac:dyDescent="0.25">
      <c r="A227" s="456"/>
      <c r="B227" s="456"/>
      <c r="C227" s="456"/>
      <c r="D227" s="456"/>
      <c r="E227" s="456"/>
      <c r="F227" s="456"/>
      <c r="G227" s="456"/>
      <c r="H227" s="456"/>
      <c r="I227" s="456"/>
      <c r="J227" s="456"/>
      <c r="K227" s="456"/>
      <c r="L227" s="456"/>
      <c r="M227" s="456"/>
      <c r="N227" s="456"/>
      <c r="O227" s="456"/>
      <c r="P227" s="456"/>
      <c r="Q227" s="456"/>
      <c r="R227" s="456"/>
    </row>
    <row r="228" spans="1:18" ht="9.75" customHeight="1" x14ac:dyDescent="0.25">
      <c r="A228" s="456"/>
      <c r="B228" s="456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6"/>
      <c r="R228" s="456"/>
    </row>
    <row r="229" spans="1:18" ht="9.75" customHeight="1" x14ac:dyDescent="0.25">
      <c r="A229" s="456"/>
      <c r="B229" s="456"/>
      <c r="C229" s="456"/>
      <c r="D229" s="456"/>
      <c r="E229" s="456"/>
      <c r="F229" s="456"/>
      <c r="G229" s="456"/>
      <c r="H229" s="456"/>
      <c r="I229" s="456"/>
      <c r="J229" s="456"/>
      <c r="K229" s="456"/>
      <c r="L229" s="456"/>
      <c r="M229" s="456"/>
      <c r="N229" s="456"/>
      <c r="O229" s="456"/>
      <c r="P229" s="456"/>
      <c r="Q229" s="456"/>
      <c r="R229" s="456"/>
    </row>
    <row r="230" spans="1:18" ht="9.75" customHeight="1" x14ac:dyDescent="0.25">
      <c r="A230" s="456"/>
      <c r="B230" s="456"/>
      <c r="C230" s="456"/>
      <c r="D230" s="456"/>
      <c r="E230" s="456"/>
      <c r="F230" s="456"/>
      <c r="G230" s="456"/>
      <c r="H230" s="456"/>
      <c r="I230" s="456"/>
      <c r="J230" s="456"/>
      <c r="K230" s="456"/>
      <c r="L230" s="456"/>
      <c r="M230" s="456"/>
      <c r="N230" s="456"/>
      <c r="O230" s="456"/>
      <c r="P230" s="456"/>
      <c r="Q230" s="456"/>
      <c r="R230" s="456"/>
    </row>
    <row r="231" spans="1:18" ht="9.75" customHeight="1" x14ac:dyDescent="0.25">
      <c r="A231" s="456"/>
      <c r="B231" s="456"/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456"/>
      <c r="Q231" s="456"/>
      <c r="R231" s="456"/>
    </row>
    <row r="232" spans="1:18" ht="9.75" customHeight="1" x14ac:dyDescent="0.25">
      <c r="A232" s="456"/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  <c r="N232" s="456"/>
      <c r="O232" s="456"/>
      <c r="P232" s="456"/>
      <c r="Q232" s="456"/>
      <c r="R232" s="456"/>
    </row>
    <row r="233" spans="1:18" ht="9.75" customHeight="1" x14ac:dyDescent="0.25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  <c r="N233" s="456"/>
      <c r="O233" s="456"/>
      <c r="P233" s="456"/>
      <c r="Q233" s="456"/>
      <c r="R233" s="456"/>
    </row>
    <row r="234" spans="1:18" ht="9.75" customHeight="1" x14ac:dyDescent="0.25">
      <c r="A234" s="456"/>
      <c r="B234" s="456"/>
      <c r="C234" s="456"/>
      <c r="D234" s="456"/>
      <c r="E234" s="456"/>
      <c r="F234" s="456"/>
      <c r="G234" s="456"/>
      <c r="H234" s="456"/>
      <c r="I234" s="456"/>
      <c r="J234" s="456"/>
      <c r="K234" s="456"/>
      <c r="L234" s="456"/>
      <c r="M234" s="456"/>
      <c r="N234" s="456"/>
      <c r="O234" s="456"/>
      <c r="P234" s="456"/>
      <c r="Q234" s="456"/>
      <c r="R234" s="456"/>
    </row>
    <row r="235" spans="1:18" ht="9.75" customHeight="1" x14ac:dyDescent="0.25">
      <c r="A235" s="456"/>
      <c r="B235" s="456"/>
      <c r="C235" s="456"/>
      <c r="D235" s="456"/>
      <c r="E235" s="456"/>
      <c r="F235" s="456"/>
      <c r="G235" s="456"/>
      <c r="H235" s="456"/>
      <c r="I235" s="456"/>
      <c r="J235" s="456"/>
      <c r="K235" s="456"/>
      <c r="L235" s="456"/>
      <c r="M235" s="456"/>
      <c r="N235" s="456"/>
      <c r="O235" s="456"/>
      <c r="P235" s="456"/>
      <c r="Q235" s="456"/>
      <c r="R235" s="456"/>
    </row>
    <row r="236" spans="1:18" ht="9.75" customHeight="1" x14ac:dyDescent="0.25">
      <c r="A236" s="456"/>
      <c r="B236" s="456"/>
      <c r="C236" s="456"/>
      <c r="D236" s="456"/>
      <c r="E236" s="456"/>
      <c r="F236" s="456"/>
      <c r="G236" s="456"/>
      <c r="H236" s="456"/>
      <c r="I236" s="456"/>
      <c r="J236" s="456"/>
      <c r="K236" s="456"/>
      <c r="L236" s="456"/>
      <c r="M236" s="456"/>
      <c r="N236" s="456"/>
      <c r="O236" s="456"/>
      <c r="P236" s="456"/>
      <c r="Q236" s="456"/>
      <c r="R236" s="456"/>
    </row>
    <row r="237" spans="1:18" ht="9.75" customHeight="1" x14ac:dyDescent="0.25">
      <c r="A237" s="456"/>
      <c r="B237" s="456"/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6"/>
      <c r="R237" s="456"/>
    </row>
    <row r="238" spans="1:18" ht="9.75" customHeight="1" x14ac:dyDescent="0.25">
      <c r="A238" s="456"/>
      <c r="B238" s="456"/>
      <c r="C238" s="456"/>
      <c r="D238" s="456"/>
      <c r="E238" s="456"/>
      <c r="F238" s="456"/>
      <c r="G238" s="456"/>
      <c r="H238" s="456"/>
      <c r="I238" s="456"/>
      <c r="J238" s="456"/>
      <c r="K238" s="456"/>
      <c r="L238" s="456"/>
      <c r="M238" s="456"/>
      <c r="N238" s="456"/>
      <c r="O238" s="456"/>
      <c r="P238" s="456"/>
      <c r="Q238" s="456"/>
      <c r="R238" s="456"/>
    </row>
    <row r="239" spans="1:18" ht="9.75" customHeight="1" x14ac:dyDescent="0.25">
      <c r="A239" s="456"/>
      <c r="B239" s="456"/>
      <c r="C239" s="456"/>
      <c r="D239" s="456"/>
      <c r="E239" s="456"/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6"/>
      <c r="R239" s="456"/>
    </row>
    <row r="240" spans="1:18" ht="9.75" customHeight="1" x14ac:dyDescent="0.25">
      <c r="A240" s="456"/>
      <c r="B240" s="456"/>
      <c r="C240" s="456"/>
      <c r="D240" s="456"/>
      <c r="E240" s="456"/>
      <c r="F240" s="456"/>
      <c r="G240" s="456"/>
      <c r="H240" s="456"/>
      <c r="I240" s="456"/>
      <c r="J240" s="456"/>
      <c r="K240" s="456"/>
      <c r="L240" s="456"/>
      <c r="M240" s="456"/>
      <c r="N240" s="456"/>
      <c r="O240" s="456"/>
      <c r="P240" s="456"/>
      <c r="Q240" s="456"/>
      <c r="R240" s="456"/>
    </row>
    <row r="241" spans="1:18" ht="9.75" customHeight="1" x14ac:dyDescent="0.25">
      <c r="A241" s="456"/>
      <c r="B241" s="456"/>
      <c r="C241" s="456"/>
      <c r="D241" s="456"/>
      <c r="E241" s="456"/>
      <c r="F241" s="456"/>
      <c r="G241" s="456"/>
      <c r="H241" s="456"/>
      <c r="I241" s="456"/>
      <c r="J241" s="456"/>
      <c r="K241" s="456"/>
      <c r="L241" s="456"/>
      <c r="M241" s="456"/>
      <c r="N241" s="456"/>
      <c r="O241" s="456"/>
      <c r="P241" s="456"/>
      <c r="Q241" s="456"/>
      <c r="R241" s="456"/>
    </row>
    <row r="242" spans="1:18" ht="9.75" customHeight="1" x14ac:dyDescent="0.25">
      <c r="A242" s="456"/>
      <c r="B242" s="456"/>
      <c r="C242" s="456"/>
      <c r="D242" s="456"/>
      <c r="E242" s="456"/>
      <c r="F242" s="456"/>
      <c r="G242" s="456"/>
      <c r="H242" s="456"/>
      <c r="I242" s="456"/>
      <c r="J242" s="456"/>
      <c r="K242" s="456"/>
      <c r="L242" s="456"/>
      <c r="M242" s="456"/>
      <c r="N242" s="456"/>
      <c r="O242" s="456"/>
      <c r="P242" s="456"/>
      <c r="Q242" s="456"/>
      <c r="R242" s="456"/>
    </row>
    <row r="243" spans="1:18" ht="9.75" customHeight="1" x14ac:dyDescent="0.25">
      <c r="A243" s="456"/>
      <c r="B243" s="456"/>
      <c r="C243" s="456"/>
      <c r="D243" s="456"/>
      <c r="E243" s="456"/>
      <c r="F243" s="456"/>
      <c r="G243" s="456"/>
      <c r="H243" s="456"/>
      <c r="I243" s="456"/>
      <c r="J243" s="456"/>
      <c r="K243" s="456"/>
      <c r="L243" s="456"/>
      <c r="M243" s="456"/>
      <c r="N243" s="456"/>
      <c r="O243" s="456"/>
      <c r="P243" s="456"/>
      <c r="Q243" s="456"/>
      <c r="R243" s="456"/>
    </row>
    <row r="244" spans="1:18" ht="9.75" customHeight="1" x14ac:dyDescent="0.25">
      <c r="A244" s="456"/>
      <c r="B244" s="456"/>
      <c r="C244" s="456"/>
      <c r="D244" s="456"/>
      <c r="E244" s="456"/>
      <c r="F244" s="456"/>
      <c r="G244" s="456"/>
      <c r="H244" s="456"/>
      <c r="I244" s="456"/>
      <c r="J244" s="456"/>
      <c r="K244" s="456"/>
      <c r="L244" s="456"/>
      <c r="M244" s="456"/>
      <c r="N244" s="456"/>
      <c r="O244" s="456"/>
      <c r="P244" s="456"/>
      <c r="Q244" s="456"/>
      <c r="R244" s="456"/>
    </row>
    <row r="245" spans="1:18" ht="9.75" customHeight="1" x14ac:dyDescent="0.25">
      <c r="A245" s="456"/>
      <c r="B245" s="456"/>
      <c r="C245" s="456"/>
      <c r="D245" s="456"/>
      <c r="E245" s="456"/>
      <c r="F245" s="456"/>
      <c r="G245" s="456"/>
      <c r="H245" s="456"/>
      <c r="I245" s="456"/>
      <c r="J245" s="456"/>
      <c r="K245" s="456"/>
      <c r="L245" s="456"/>
      <c r="M245" s="456"/>
      <c r="N245" s="456"/>
      <c r="O245" s="456"/>
      <c r="P245" s="456"/>
      <c r="Q245" s="456"/>
      <c r="R245" s="456"/>
    </row>
    <row r="246" spans="1:18" ht="9.75" customHeight="1" x14ac:dyDescent="0.25">
      <c r="A246" s="456"/>
      <c r="B246" s="456"/>
      <c r="C246" s="456"/>
      <c r="D246" s="456"/>
      <c r="E246" s="456"/>
      <c r="F246" s="456"/>
      <c r="G246" s="456"/>
      <c r="H246" s="456"/>
      <c r="I246" s="456"/>
      <c r="J246" s="456"/>
      <c r="K246" s="456"/>
      <c r="L246" s="456"/>
      <c r="M246" s="456"/>
      <c r="N246" s="456"/>
      <c r="O246" s="456"/>
      <c r="P246" s="456"/>
      <c r="Q246" s="456"/>
      <c r="R246" s="456"/>
    </row>
    <row r="247" spans="1:18" ht="9.75" customHeight="1" x14ac:dyDescent="0.25">
      <c r="A247" s="456"/>
      <c r="B247" s="456"/>
      <c r="C247" s="456"/>
      <c r="D247" s="456"/>
      <c r="E247" s="456"/>
      <c r="F247" s="456"/>
      <c r="G247" s="456"/>
      <c r="H247" s="456"/>
      <c r="I247" s="456"/>
      <c r="J247" s="456"/>
      <c r="K247" s="456"/>
      <c r="L247" s="456"/>
      <c r="M247" s="456"/>
      <c r="N247" s="456"/>
      <c r="O247" s="456"/>
      <c r="P247" s="456"/>
      <c r="Q247" s="456"/>
      <c r="R247" s="456"/>
    </row>
    <row r="248" spans="1:18" ht="9.75" customHeight="1" x14ac:dyDescent="0.25">
      <c r="A248" s="456"/>
      <c r="B248" s="456"/>
      <c r="C248" s="456"/>
      <c r="D248" s="456"/>
      <c r="E248" s="456"/>
      <c r="F248" s="456"/>
      <c r="G248" s="456"/>
      <c r="H248" s="456"/>
      <c r="I248" s="456"/>
      <c r="J248" s="456"/>
      <c r="K248" s="456"/>
      <c r="L248" s="456"/>
      <c r="M248" s="456"/>
      <c r="N248" s="456"/>
      <c r="O248" s="456"/>
      <c r="P248" s="456"/>
      <c r="Q248" s="456"/>
      <c r="R248" s="456"/>
    </row>
    <row r="249" spans="1:18" ht="9.75" customHeight="1" x14ac:dyDescent="0.25">
      <c r="A249" s="456"/>
      <c r="B249" s="456"/>
      <c r="C249" s="456"/>
      <c r="D249" s="456"/>
      <c r="E249" s="456"/>
      <c r="F249" s="456"/>
      <c r="G249" s="456"/>
      <c r="H249" s="456"/>
      <c r="I249" s="456"/>
      <c r="J249" s="456"/>
      <c r="K249" s="456"/>
      <c r="L249" s="456"/>
      <c r="M249" s="456"/>
      <c r="N249" s="456"/>
      <c r="O249" s="456"/>
      <c r="P249" s="456"/>
      <c r="Q249" s="456"/>
      <c r="R249" s="456"/>
    </row>
    <row r="250" spans="1:18" ht="9.75" customHeight="1" x14ac:dyDescent="0.25">
      <c r="A250" s="456"/>
      <c r="B250" s="456"/>
      <c r="C250" s="456"/>
      <c r="D250" s="456"/>
      <c r="E250" s="456"/>
      <c r="F250" s="456"/>
      <c r="G250" s="456"/>
      <c r="H250" s="456"/>
      <c r="I250" s="456"/>
      <c r="J250" s="456"/>
      <c r="K250" s="456"/>
      <c r="L250" s="456"/>
      <c r="M250" s="456"/>
      <c r="N250" s="456"/>
      <c r="O250" s="456"/>
      <c r="P250" s="456"/>
      <c r="Q250" s="456"/>
      <c r="R250" s="456"/>
    </row>
    <row r="251" spans="1:18" ht="9.75" customHeight="1" x14ac:dyDescent="0.25">
      <c r="A251" s="456"/>
      <c r="B251" s="456"/>
      <c r="C251" s="456"/>
      <c r="D251" s="456"/>
      <c r="E251" s="456"/>
      <c r="F251" s="456"/>
      <c r="G251" s="456"/>
      <c r="H251" s="456"/>
      <c r="I251" s="456"/>
      <c r="J251" s="456"/>
      <c r="K251" s="456"/>
      <c r="L251" s="456"/>
      <c r="M251" s="456"/>
      <c r="N251" s="456"/>
      <c r="O251" s="456"/>
      <c r="P251" s="456"/>
      <c r="Q251" s="456"/>
      <c r="R251" s="456"/>
    </row>
    <row r="252" spans="1:18" ht="9.75" customHeight="1" x14ac:dyDescent="0.25">
      <c r="A252" s="456"/>
      <c r="B252" s="456"/>
      <c r="C252" s="456"/>
      <c r="D252" s="456"/>
      <c r="E252" s="456"/>
      <c r="F252" s="456"/>
      <c r="G252" s="456"/>
      <c r="H252" s="456"/>
      <c r="I252" s="456"/>
      <c r="J252" s="456"/>
      <c r="K252" s="456"/>
      <c r="L252" s="456"/>
      <c r="M252" s="456"/>
      <c r="N252" s="456"/>
      <c r="O252" s="456"/>
      <c r="P252" s="456"/>
      <c r="Q252" s="456"/>
      <c r="R252" s="456"/>
    </row>
    <row r="253" spans="1:18" ht="9.75" customHeight="1" x14ac:dyDescent="0.25">
      <c r="A253" s="456"/>
      <c r="B253" s="456"/>
      <c r="C253" s="456"/>
      <c r="D253" s="456"/>
      <c r="E253" s="456"/>
      <c r="F253" s="456"/>
      <c r="G253" s="456"/>
      <c r="H253" s="456"/>
      <c r="I253" s="456"/>
      <c r="J253" s="456"/>
      <c r="K253" s="456"/>
      <c r="L253" s="456"/>
      <c r="M253" s="456"/>
      <c r="N253" s="456"/>
      <c r="O253" s="456"/>
      <c r="P253" s="456"/>
      <c r="Q253" s="456"/>
      <c r="R253" s="456"/>
    </row>
    <row r="254" spans="1:18" ht="9.75" customHeight="1" x14ac:dyDescent="0.25">
      <c r="A254" s="456"/>
      <c r="B254" s="456"/>
      <c r="C254" s="456"/>
      <c r="D254" s="456"/>
      <c r="E254" s="456"/>
      <c r="F254" s="456"/>
      <c r="G254" s="456"/>
      <c r="H254" s="456"/>
      <c r="I254" s="456"/>
      <c r="J254" s="456"/>
      <c r="K254" s="456"/>
      <c r="L254" s="456"/>
      <c r="M254" s="456"/>
      <c r="N254" s="456"/>
      <c r="O254" s="456"/>
      <c r="P254" s="456"/>
      <c r="Q254" s="456"/>
      <c r="R254" s="456"/>
    </row>
    <row r="255" spans="1:18" ht="9.75" customHeight="1" x14ac:dyDescent="0.25">
      <c r="A255" s="456"/>
      <c r="B255" s="456"/>
      <c r="C255" s="456"/>
      <c r="D255" s="456"/>
      <c r="E255" s="456"/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</row>
    <row r="256" spans="1:18" ht="9.75" customHeight="1" x14ac:dyDescent="0.25">
      <c r="A256" s="456"/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  <c r="N256" s="456"/>
      <c r="O256" s="456"/>
      <c r="P256" s="456"/>
      <c r="Q256" s="456"/>
      <c r="R256" s="456"/>
    </row>
    <row r="257" spans="1:18" ht="9.75" customHeight="1" x14ac:dyDescent="0.25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  <c r="N257" s="456"/>
      <c r="O257" s="456"/>
      <c r="P257" s="456"/>
      <c r="Q257" s="456"/>
      <c r="R257" s="456"/>
    </row>
    <row r="258" spans="1:18" ht="9.75" customHeight="1" x14ac:dyDescent="0.2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  <c r="N258" s="456"/>
      <c r="O258" s="456"/>
      <c r="P258" s="456"/>
      <c r="Q258" s="456"/>
      <c r="R258" s="456"/>
    </row>
    <row r="259" spans="1:18" ht="9.75" customHeight="1" x14ac:dyDescent="0.25">
      <c r="A259" s="456"/>
      <c r="B259" s="456"/>
      <c r="C259" s="456"/>
      <c r="D259" s="456"/>
      <c r="E259" s="456"/>
      <c r="F259" s="456"/>
      <c r="G259" s="456"/>
      <c r="H259" s="456"/>
      <c r="I259" s="456"/>
      <c r="J259" s="456"/>
      <c r="K259" s="456"/>
      <c r="L259" s="456"/>
      <c r="M259" s="456"/>
      <c r="N259" s="456"/>
      <c r="O259" s="456"/>
      <c r="P259" s="456"/>
      <c r="Q259" s="456"/>
      <c r="R259" s="456"/>
    </row>
    <row r="260" spans="1:18" ht="9.75" customHeight="1" x14ac:dyDescent="0.25">
      <c r="A260" s="456"/>
      <c r="B260" s="456"/>
      <c r="C260" s="456"/>
      <c r="D260" s="456"/>
      <c r="E260" s="456"/>
      <c r="F260" s="456"/>
      <c r="G260" s="456"/>
      <c r="H260" s="456"/>
      <c r="I260" s="456"/>
      <c r="J260" s="456"/>
      <c r="K260" s="456"/>
      <c r="L260" s="456"/>
      <c r="M260" s="456"/>
      <c r="N260" s="456"/>
      <c r="O260" s="456"/>
      <c r="P260" s="456"/>
      <c r="Q260" s="456"/>
      <c r="R260" s="456"/>
    </row>
    <row r="261" spans="1:18" ht="9.75" customHeight="1" x14ac:dyDescent="0.25">
      <c r="A261" s="456"/>
      <c r="B261" s="456"/>
      <c r="C261" s="456"/>
      <c r="D261" s="456"/>
      <c r="E261" s="456"/>
      <c r="F261" s="456"/>
      <c r="G261" s="456"/>
      <c r="H261" s="456"/>
      <c r="I261" s="456"/>
      <c r="J261" s="456"/>
      <c r="K261" s="456"/>
      <c r="L261" s="456"/>
      <c r="M261" s="456"/>
      <c r="N261" s="456"/>
      <c r="O261" s="456"/>
      <c r="P261" s="456"/>
      <c r="Q261" s="456"/>
      <c r="R261" s="456"/>
    </row>
    <row r="262" spans="1:18" ht="9.75" customHeight="1" x14ac:dyDescent="0.25">
      <c r="A262" s="456"/>
      <c r="B262" s="456"/>
      <c r="C262" s="456"/>
      <c r="D262" s="456"/>
      <c r="E262" s="456"/>
      <c r="F262" s="456"/>
      <c r="G262" s="456"/>
      <c r="H262" s="456"/>
      <c r="I262" s="456"/>
      <c r="J262" s="456"/>
      <c r="K262" s="456"/>
      <c r="L262" s="456"/>
      <c r="M262" s="456"/>
      <c r="N262" s="456"/>
      <c r="O262" s="456"/>
      <c r="P262" s="456"/>
      <c r="Q262" s="456"/>
      <c r="R262" s="456"/>
    </row>
    <row r="263" spans="1:18" ht="9.75" customHeight="1" x14ac:dyDescent="0.25">
      <c r="A263" s="456"/>
      <c r="B263" s="456"/>
      <c r="C263" s="456"/>
      <c r="D263" s="456"/>
      <c r="E263" s="456"/>
      <c r="F263" s="456"/>
      <c r="G263" s="456"/>
      <c r="H263" s="456"/>
      <c r="I263" s="456"/>
      <c r="J263" s="456"/>
      <c r="K263" s="456"/>
      <c r="L263" s="456"/>
      <c r="M263" s="456"/>
      <c r="N263" s="456"/>
      <c r="O263" s="456"/>
      <c r="P263" s="456"/>
      <c r="Q263" s="456"/>
      <c r="R263" s="456"/>
    </row>
    <row r="264" spans="1:18" ht="9.75" customHeight="1" x14ac:dyDescent="0.25">
      <c r="A264" s="456"/>
      <c r="B264" s="456"/>
      <c r="C264" s="456"/>
      <c r="D264" s="456"/>
      <c r="E264" s="456"/>
      <c r="F264" s="456"/>
      <c r="G264" s="456"/>
      <c r="H264" s="456"/>
      <c r="I264" s="456"/>
      <c r="J264" s="456"/>
      <c r="K264" s="456"/>
      <c r="L264" s="456"/>
      <c r="M264" s="456"/>
      <c r="N264" s="456"/>
      <c r="O264" s="456"/>
      <c r="P264" s="456"/>
      <c r="Q264" s="456"/>
      <c r="R264" s="456"/>
    </row>
    <row r="265" spans="1:18" ht="9.75" customHeight="1" x14ac:dyDescent="0.25">
      <c r="A265" s="456"/>
      <c r="B265" s="456"/>
      <c r="C265" s="456"/>
      <c r="D265" s="456"/>
      <c r="E265" s="456"/>
      <c r="F265" s="456"/>
      <c r="G265" s="456"/>
      <c r="H265" s="456"/>
      <c r="I265" s="456"/>
      <c r="J265" s="456"/>
      <c r="K265" s="456"/>
      <c r="L265" s="456"/>
      <c r="M265" s="456"/>
      <c r="N265" s="456"/>
      <c r="O265" s="456"/>
      <c r="P265" s="456"/>
      <c r="Q265" s="456"/>
      <c r="R265" s="456"/>
    </row>
    <row r="266" spans="1:18" ht="9.75" customHeight="1" x14ac:dyDescent="0.25">
      <c r="A266" s="456"/>
      <c r="B266" s="456"/>
      <c r="C266" s="456"/>
      <c r="D266" s="456"/>
      <c r="E266" s="456"/>
      <c r="F266" s="456"/>
      <c r="G266" s="456"/>
      <c r="H266" s="456"/>
      <c r="I266" s="456"/>
      <c r="J266" s="456"/>
      <c r="K266" s="456"/>
      <c r="L266" s="456"/>
      <c r="M266" s="456"/>
      <c r="N266" s="456"/>
      <c r="O266" s="456"/>
      <c r="P266" s="456"/>
      <c r="Q266" s="456"/>
      <c r="R266" s="456"/>
    </row>
    <row r="267" spans="1:18" ht="9.75" customHeight="1" x14ac:dyDescent="0.25">
      <c r="A267" s="456"/>
      <c r="B267" s="456"/>
      <c r="C267" s="456"/>
      <c r="D267" s="456"/>
      <c r="E267" s="456"/>
      <c r="F267" s="456"/>
      <c r="G267" s="456"/>
      <c r="H267" s="456"/>
      <c r="I267" s="456"/>
      <c r="J267" s="456"/>
      <c r="K267" s="456"/>
      <c r="L267" s="456"/>
      <c r="M267" s="456"/>
      <c r="N267" s="456"/>
      <c r="O267" s="456"/>
      <c r="P267" s="456"/>
      <c r="Q267" s="456"/>
      <c r="R267" s="456"/>
    </row>
    <row r="268" spans="1:18" ht="9.75" customHeight="1" x14ac:dyDescent="0.25">
      <c r="A268" s="456"/>
      <c r="B268" s="456"/>
      <c r="C268" s="456"/>
      <c r="D268" s="456"/>
      <c r="E268" s="456"/>
      <c r="F268" s="456"/>
      <c r="G268" s="456"/>
      <c r="H268" s="456"/>
      <c r="I268" s="456"/>
      <c r="J268" s="456"/>
      <c r="K268" s="456"/>
      <c r="L268" s="456"/>
      <c r="M268" s="456"/>
      <c r="N268" s="456"/>
      <c r="O268" s="456"/>
      <c r="P268" s="456"/>
      <c r="Q268" s="456"/>
      <c r="R268" s="456"/>
    </row>
    <row r="269" spans="1:18" ht="9.75" customHeight="1" x14ac:dyDescent="0.25">
      <c r="A269" s="456"/>
      <c r="B269" s="456"/>
      <c r="C269" s="456"/>
      <c r="D269" s="456"/>
      <c r="E269" s="456"/>
      <c r="F269" s="456"/>
      <c r="G269" s="456"/>
      <c r="H269" s="456"/>
      <c r="I269" s="456"/>
      <c r="J269" s="456"/>
      <c r="K269" s="456"/>
      <c r="L269" s="456"/>
      <c r="M269" s="456"/>
      <c r="N269" s="456"/>
      <c r="O269" s="456"/>
      <c r="P269" s="456"/>
      <c r="Q269" s="456"/>
      <c r="R269" s="456"/>
    </row>
    <row r="270" spans="1:18" ht="9.75" customHeight="1" x14ac:dyDescent="0.25">
      <c r="A270" s="456"/>
      <c r="B270" s="456"/>
      <c r="C270" s="456"/>
      <c r="D270" s="456"/>
      <c r="E270" s="456"/>
      <c r="F270" s="456"/>
      <c r="G270" s="456"/>
      <c r="H270" s="456"/>
      <c r="I270" s="456"/>
      <c r="J270" s="456"/>
      <c r="K270" s="456"/>
      <c r="L270" s="456"/>
      <c r="M270" s="456"/>
      <c r="N270" s="456"/>
      <c r="O270" s="456"/>
      <c r="P270" s="456"/>
      <c r="Q270" s="456"/>
      <c r="R270" s="456"/>
    </row>
    <row r="271" spans="1:18" ht="9.75" customHeight="1" x14ac:dyDescent="0.25">
      <c r="A271" s="456"/>
      <c r="B271" s="456"/>
      <c r="C271" s="456"/>
      <c r="D271" s="456"/>
      <c r="E271" s="456"/>
      <c r="F271" s="456"/>
      <c r="G271" s="456"/>
      <c r="H271" s="456"/>
      <c r="I271" s="456"/>
      <c r="J271" s="456"/>
      <c r="K271" s="456"/>
      <c r="L271" s="456"/>
      <c r="M271" s="456"/>
      <c r="N271" s="456"/>
      <c r="O271" s="456"/>
      <c r="P271" s="456"/>
      <c r="Q271" s="456"/>
      <c r="R271" s="456"/>
    </row>
    <row r="272" spans="1:18" ht="9.75" customHeight="1" x14ac:dyDescent="0.25">
      <c r="A272" s="456"/>
      <c r="B272" s="456"/>
      <c r="C272" s="456"/>
      <c r="D272" s="456"/>
      <c r="E272" s="456"/>
      <c r="F272" s="456"/>
      <c r="G272" s="456"/>
      <c r="H272" s="456"/>
      <c r="I272" s="456"/>
      <c r="J272" s="456"/>
      <c r="K272" s="456"/>
      <c r="L272" s="456"/>
      <c r="M272" s="456"/>
      <c r="N272" s="456"/>
      <c r="O272" s="456"/>
      <c r="P272" s="456"/>
      <c r="Q272" s="456"/>
      <c r="R272" s="456"/>
    </row>
    <row r="273" spans="1:18" ht="9.75" customHeight="1" x14ac:dyDescent="0.25">
      <c r="A273" s="456"/>
      <c r="B273" s="456"/>
      <c r="C273" s="456"/>
      <c r="D273" s="456"/>
      <c r="E273" s="456"/>
      <c r="F273" s="456"/>
      <c r="G273" s="456"/>
      <c r="H273" s="456"/>
      <c r="I273" s="456"/>
      <c r="J273" s="456"/>
      <c r="K273" s="456"/>
      <c r="L273" s="456"/>
      <c r="M273" s="456"/>
      <c r="N273" s="456"/>
      <c r="O273" s="456"/>
      <c r="P273" s="456"/>
      <c r="Q273" s="456"/>
      <c r="R273" s="456"/>
    </row>
    <row r="274" spans="1:18" ht="9.75" customHeight="1" x14ac:dyDescent="0.25">
      <c r="A274" s="456"/>
      <c r="B274" s="456"/>
      <c r="C274" s="456"/>
      <c r="D274" s="456"/>
      <c r="E274" s="456"/>
      <c r="F274" s="456"/>
      <c r="G274" s="456"/>
      <c r="H274" s="456"/>
      <c r="I274" s="456"/>
      <c r="J274" s="456"/>
      <c r="K274" s="456"/>
      <c r="L274" s="456"/>
      <c r="M274" s="456"/>
      <c r="N274" s="456"/>
      <c r="O274" s="456"/>
      <c r="P274" s="456"/>
      <c r="Q274" s="456"/>
      <c r="R274" s="456"/>
    </row>
    <row r="275" spans="1:18" ht="9.75" customHeight="1" x14ac:dyDescent="0.25">
      <c r="A275" s="456"/>
      <c r="B275" s="456"/>
      <c r="C275" s="456"/>
      <c r="D275" s="456"/>
      <c r="E275" s="456"/>
      <c r="F275" s="456"/>
      <c r="G275" s="456"/>
      <c r="H275" s="456"/>
      <c r="I275" s="456"/>
      <c r="J275" s="456"/>
      <c r="K275" s="456"/>
      <c r="L275" s="456"/>
      <c r="M275" s="456"/>
      <c r="N275" s="456"/>
      <c r="O275" s="456"/>
      <c r="P275" s="456"/>
      <c r="Q275" s="456"/>
      <c r="R275" s="456"/>
    </row>
    <row r="276" spans="1:18" ht="9.75" customHeight="1" x14ac:dyDescent="0.25">
      <c r="A276" s="456"/>
      <c r="B276" s="456"/>
      <c r="C276" s="456"/>
      <c r="D276" s="456"/>
      <c r="E276" s="456"/>
      <c r="F276" s="456"/>
      <c r="G276" s="456"/>
      <c r="H276" s="456"/>
      <c r="I276" s="456"/>
      <c r="J276" s="456"/>
      <c r="K276" s="456"/>
      <c r="L276" s="456"/>
      <c r="M276" s="456"/>
      <c r="N276" s="456"/>
      <c r="O276" s="456"/>
      <c r="P276" s="456"/>
      <c r="Q276" s="456"/>
      <c r="R276" s="456"/>
    </row>
    <row r="277" spans="1:18" ht="9.75" customHeight="1" x14ac:dyDescent="0.25">
      <c r="A277" s="456"/>
      <c r="B277" s="456"/>
      <c r="C277" s="456"/>
      <c r="D277" s="456"/>
      <c r="E277" s="456"/>
      <c r="F277" s="456"/>
      <c r="G277" s="456"/>
      <c r="H277" s="456"/>
      <c r="I277" s="456"/>
      <c r="J277" s="456"/>
      <c r="K277" s="456"/>
      <c r="L277" s="456"/>
      <c r="M277" s="456"/>
      <c r="N277" s="456"/>
      <c r="O277" s="456"/>
      <c r="P277" s="456"/>
      <c r="Q277" s="456"/>
      <c r="R277" s="456"/>
    </row>
    <row r="278" spans="1:18" ht="9.75" customHeight="1" x14ac:dyDescent="0.25">
      <c r="A278" s="456"/>
      <c r="B278" s="456"/>
      <c r="C278" s="456"/>
      <c r="D278" s="456"/>
      <c r="E278" s="456"/>
      <c r="F278" s="456"/>
      <c r="G278" s="456"/>
      <c r="H278" s="456"/>
      <c r="I278" s="456"/>
      <c r="J278" s="456"/>
      <c r="K278" s="456"/>
      <c r="L278" s="456"/>
      <c r="M278" s="456"/>
      <c r="N278" s="456"/>
      <c r="O278" s="456"/>
      <c r="P278" s="456"/>
      <c r="Q278" s="456"/>
      <c r="R278" s="456"/>
    </row>
    <row r="279" spans="1:18" ht="9.75" customHeight="1" x14ac:dyDescent="0.25">
      <c r="A279" s="456"/>
      <c r="B279" s="456"/>
      <c r="C279" s="456"/>
      <c r="D279" s="456"/>
      <c r="E279" s="456"/>
      <c r="F279" s="456"/>
      <c r="G279" s="456"/>
      <c r="H279" s="456"/>
      <c r="I279" s="456"/>
      <c r="J279" s="456"/>
      <c r="K279" s="456"/>
      <c r="L279" s="456"/>
      <c r="M279" s="456"/>
      <c r="N279" s="456"/>
      <c r="O279" s="456"/>
      <c r="P279" s="456"/>
      <c r="Q279" s="456"/>
      <c r="R279" s="456"/>
    </row>
    <row r="280" spans="1:18" ht="9.75" customHeight="1" x14ac:dyDescent="0.25">
      <c r="A280" s="456"/>
      <c r="B280" s="456"/>
      <c r="C280" s="456"/>
      <c r="D280" s="456"/>
      <c r="E280" s="456"/>
      <c r="F280" s="456"/>
      <c r="G280" s="456"/>
      <c r="H280" s="456"/>
      <c r="I280" s="456"/>
      <c r="J280" s="456"/>
      <c r="K280" s="456"/>
      <c r="L280" s="456"/>
      <c r="M280" s="456"/>
      <c r="N280" s="456"/>
      <c r="O280" s="456"/>
      <c r="P280" s="456"/>
      <c r="Q280" s="456"/>
      <c r="R280" s="456"/>
    </row>
    <row r="281" spans="1:18" ht="9.75" customHeight="1" x14ac:dyDescent="0.25">
      <c r="A281" s="456"/>
      <c r="B281" s="456"/>
      <c r="C281" s="456"/>
      <c r="D281" s="456"/>
      <c r="E281" s="456"/>
      <c r="F281" s="456"/>
      <c r="G281" s="456"/>
      <c r="H281" s="456"/>
      <c r="I281" s="456"/>
      <c r="J281" s="456"/>
      <c r="K281" s="456"/>
      <c r="L281" s="456"/>
      <c r="M281" s="456"/>
      <c r="N281" s="456"/>
      <c r="O281" s="456"/>
      <c r="P281" s="456"/>
      <c r="Q281" s="456"/>
      <c r="R281" s="456"/>
    </row>
    <row r="282" spans="1:18" ht="9.75" customHeight="1" x14ac:dyDescent="0.25">
      <c r="A282" s="456"/>
      <c r="B282" s="456"/>
      <c r="C282" s="456"/>
      <c r="D282" s="456"/>
      <c r="E282" s="456"/>
      <c r="F282" s="456"/>
      <c r="G282" s="456"/>
      <c r="H282" s="456"/>
      <c r="I282" s="456"/>
      <c r="J282" s="456"/>
      <c r="K282" s="456"/>
      <c r="L282" s="456"/>
      <c r="M282" s="456"/>
      <c r="N282" s="456"/>
      <c r="O282" s="456"/>
      <c r="P282" s="456"/>
      <c r="Q282" s="456"/>
      <c r="R282" s="456"/>
    </row>
    <row r="283" spans="1:18" ht="9.75" customHeight="1" x14ac:dyDescent="0.25">
      <c r="A283" s="456"/>
      <c r="B283" s="456"/>
      <c r="C283" s="456"/>
      <c r="D283" s="456"/>
      <c r="E283" s="456"/>
      <c r="F283" s="456"/>
      <c r="G283" s="456"/>
      <c r="H283" s="456"/>
      <c r="I283" s="456"/>
      <c r="J283" s="456"/>
      <c r="K283" s="456"/>
      <c r="L283" s="456"/>
      <c r="M283" s="456"/>
      <c r="N283" s="456"/>
      <c r="O283" s="456"/>
      <c r="P283" s="456"/>
      <c r="Q283" s="456"/>
      <c r="R283" s="456"/>
    </row>
    <row r="284" spans="1:18" ht="9.75" customHeight="1" x14ac:dyDescent="0.25">
      <c r="A284" s="456"/>
      <c r="B284" s="456"/>
      <c r="C284" s="456"/>
      <c r="D284" s="456"/>
      <c r="E284" s="456"/>
      <c r="F284" s="456"/>
      <c r="G284" s="456"/>
      <c r="H284" s="456"/>
      <c r="I284" s="456"/>
      <c r="J284" s="456"/>
      <c r="K284" s="456"/>
      <c r="L284" s="456"/>
      <c r="M284" s="456"/>
      <c r="N284" s="456"/>
      <c r="O284" s="456"/>
      <c r="P284" s="456"/>
      <c r="Q284" s="456"/>
      <c r="R284" s="456"/>
    </row>
    <row r="285" spans="1:18" ht="9.75" customHeight="1" x14ac:dyDescent="0.25">
      <c r="A285" s="456"/>
      <c r="B285" s="456"/>
      <c r="C285" s="456"/>
      <c r="D285" s="456"/>
      <c r="E285" s="456"/>
      <c r="F285" s="456"/>
      <c r="G285" s="456"/>
      <c r="H285" s="456"/>
      <c r="I285" s="456"/>
      <c r="J285" s="456"/>
      <c r="K285" s="456"/>
      <c r="L285" s="456"/>
      <c r="M285" s="456"/>
      <c r="N285" s="456"/>
      <c r="O285" s="456"/>
      <c r="P285" s="456"/>
      <c r="Q285" s="456"/>
      <c r="R285" s="456"/>
    </row>
    <row r="286" spans="1:18" ht="9.75" customHeight="1" x14ac:dyDescent="0.25">
      <c r="A286" s="456"/>
      <c r="B286" s="456"/>
      <c r="C286" s="456"/>
      <c r="D286" s="456"/>
      <c r="E286" s="456"/>
      <c r="F286" s="456"/>
      <c r="G286" s="456"/>
      <c r="H286" s="456"/>
      <c r="I286" s="456"/>
      <c r="J286" s="456"/>
      <c r="K286" s="456"/>
      <c r="L286" s="456"/>
      <c r="M286" s="456"/>
      <c r="N286" s="456"/>
      <c r="O286" s="456"/>
      <c r="P286" s="456"/>
      <c r="Q286" s="456"/>
      <c r="R286" s="456"/>
    </row>
    <row r="287" spans="1:18" ht="9.75" customHeight="1" x14ac:dyDescent="0.25">
      <c r="A287" s="456"/>
      <c r="B287" s="456"/>
      <c r="C287" s="456"/>
      <c r="D287" s="456"/>
      <c r="E287" s="456"/>
      <c r="F287" s="456"/>
      <c r="G287" s="456"/>
      <c r="H287" s="456"/>
      <c r="I287" s="456"/>
      <c r="J287" s="456"/>
      <c r="K287" s="456"/>
      <c r="L287" s="456"/>
      <c r="M287" s="456"/>
      <c r="N287" s="456"/>
      <c r="O287" s="456"/>
      <c r="P287" s="456"/>
      <c r="Q287" s="456"/>
      <c r="R287" s="456"/>
    </row>
    <row r="288" spans="1:18" ht="9.75" customHeight="1" x14ac:dyDescent="0.25">
      <c r="A288" s="456"/>
      <c r="B288" s="456"/>
      <c r="C288" s="456"/>
      <c r="D288" s="456"/>
      <c r="E288" s="456"/>
      <c r="F288" s="456"/>
      <c r="G288" s="456"/>
      <c r="H288" s="456"/>
      <c r="I288" s="456"/>
      <c r="J288" s="456"/>
      <c r="K288" s="456"/>
      <c r="L288" s="456"/>
      <c r="M288" s="456"/>
      <c r="N288" s="456"/>
      <c r="O288" s="456"/>
      <c r="P288" s="456"/>
      <c r="Q288" s="456"/>
      <c r="R288" s="456"/>
    </row>
    <row r="289" spans="1:18" ht="9.75" customHeight="1" x14ac:dyDescent="0.25">
      <c r="A289" s="456"/>
      <c r="B289" s="456"/>
      <c r="C289" s="456"/>
      <c r="D289" s="456"/>
      <c r="E289" s="456"/>
      <c r="F289" s="456"/>
      <c r="G289" s="456"/>
      <c r="H289" s="456"/>
      <c r="I289" s="456"/>
      <c r="J289" s="456"/>
      <c r="K289" s="456"/>
      <c r="L289" s="456"/>
      <c r="M289" s="456"/>
      <c r="N289" s="456"/>
      <c r="O289" s="456"/>
      <c r="P289" s="456"/>
      <c r="Q289" s="456"/>
      <c r="R289" s="456"/>
    </row>
    <row r="290" spans="1:18" ht="9.75" customHeight="1" x14ac:dyDescent="0.25">
      <c r="A290" s="456"/>
      <c r="B290" s="456"/>
      <c r="C290" s="456"/>
      <c r="D290" s="456"/>
      <c r="E290" s="456"/>
      <c r="F290" s="456"/>
      <c r="G290" s="456"/>
      <c r="H290" s="456"/>
      <c r="I290" s="456"/>
      <c r="J290" s="456"/>
      <c r="K290" s="456"/>
      <c r="L290" s="456"/>
      <c r="M290" s="456"/>
      <c r="N290" s="456"/>
      <c r="O290" s="456"/>
      <c r="P290" s="456"/>
      <c r="Q290" s="456"/>
      <c r="R290" s="456"/>
    </row>
    <row r="291" spans="1:18" ht="9.75" customHeight="1" x14ac:dyDescent="0.25">
      <c r="A291" s="456"/>
      <c r="B291" s="456"/>
      <c r="C291" s="456"/>
      <c r="D291" s="456"/>
      <c r="E291" s="456"/>
      <c r="F291" s="456"/>
      <c r="G291" s="456"/>
      <c r="H291" s="456"/>
      <c r="I291" s="456"/>
      <c r="J291" s="456"/>
      <c r="K291" s="456"/>
      <c r="L291" s="456"/>
      <c r="M291" s="456"/>
      <c r="N291" s="456"/>
      <c r="O291" s="456"/>
      <c r="P291" s="456"/>
      <c r="Q291" s="456"/>
      <c r="R291" s="456"/>
    </row>
    <row r="292" spans="1:18" ht="9.75" customHeight="1" x14ac:dyDescent="0.25">
      <c r="A292" s="456"/>
      <c r="B292" s="456"/>
      <c r="C292" s="456"/>
      <c r="D292" s="456"/>
      <c r="E292" s="456"/>
      <c r="F292" s="456"/>
      <c r="G292" s="456"/>
      <c r="H292" s="456"/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</row>
    <row r="293" spans="1:18" ht="9.75" customHeight="1" x14ac:dyDescent="0.25">
      <c r="A293" s="456"/>
      <c r="B293" s="456"/>
      <c r="C293" s="456"/>
      <c r="D293" s="456"/>
      <c r="E293" s="456"/>
      <c r="F293" s="456"/>
      <c r="G293" s="456"/>
      <c r="H293" s="456"/>
      <c r="I293" s="456"/>
      <c r="J293" s="456"/>
      <c r="K293" s="456"/>
      <c r="L293" s="456"/>
      <c r="M293" s="456"/>
      <c r="N293" s="456"/>
      <c r="O293" s="456"/>
      <c r="P293" s="456"/>
      <c r="Q293" s="456"/>
      <c r="R293" s="456"/>
    </row>
    <row r="294" spans="1:18" ht="9.75" customHeight="1" x14ac:dyDescent="0.25">
      <c r="A294" s="456"/>
      <c r="B294" s="456"/>
      <c r="C294" s="456"/>
      <c r="D294" s="456"/>
      <c r="E294" s="456"/>
      <c r="F294" s="456"/>
      <c r="G294" s="456"/>
      <c r="H294" s="456"/>
      <c r="I294" s="456"/>
      <c r="J294" s="456"/>
      <c r="K294" s="456"/>
      <c r="L294" s="456"/>
      <c r="M294" s="456"/>
      <c r="N294" s="456"/>
      <c r="O294" s="456"/>
      <c r="P294" s="456"/>
      <c r="Q294" s="456"/>
      <c r="R294" s="456"/>
    </row>
    <row r="295" spans="1:18" ht="9.75" customHeight="1" x14ac:dyDescent="0.25">
      <c r="A295" s="456"/>
      <c r="B295" s="456"/>
      <c r="C295" s="456"/>
      <c r="D295" s="456"/>
      <c r="E295" s="456"/>
      <c r="F295" s="456"/>
      <c r="G295" s="456"/>
      <c r="H295" s="456"/>
      <c r="I295" s="456"/>
      <c r="J295" s="456"/>
      <c r="K295" s="456"/>
      <c r="L295" s="456"/>
      <c r="M295" s="456"/>
      <c r="N295" s="456"/>
      <c r="O295" s="456"/>
      <c r="P295" s="456"/>
      <c r="Q295" s="456"/>
      <c r="R295" s="456"/>
    </row>
    <row r="296" spans="1:18" ht="9.75" customHeight="1" x14ac:dyDescent="0.25">
      <c r="A296" s="456"/>
      <c r="B296" s="456"/>
      <c r="C296" s="456"/>
      <c r="D296" s="456"/>
      <c r="E296" s="456"/>
      <c r="F296" s="456"/>
      <c r="G296" s="456"/>
      <c r="H296" s="456"/>
      <c r="I296" s="456"/>
      <c r="J296" s="456"/>
      <c r="K296" s="456"/>
      <c r="L296" s="456"/>
      <c r="M296" s="456"/>
      <c r="N296" s="456"/>
      <c r="O296" s="456"/>
      <c r="P296" s="456"/>
      <c r="Q296" s="456"/>
      <c r="R296" s="456"/>
    </row>
    <row r="297" spans="1:18" ht="9.75" customHeight="1" x14ac:dyDescent="0.25">
      <c r="A297" s="456"/>
      <c r="B297" s="456"/>
      <c r="C297" s="456"/>
      <c r="D297" s="456"/>
      <c r="E297" s="456"/>
      <c r="F297" s="456"/>
      <c r="G297" s="456"/>
      <c r="H297" s="456"/>
      <c r="I297" s="456"/>
      <c r="J297" s="456"/>
      <c r="K297" s="456"/>
      <c r="L297" s="456"/>
      <c r="M297" s="456"/>
      <c r="N297" s="456"/>
      <c r="O297" s="456"/>
      <c r="P297" s="456"/>
      <c r="Q297" s="456"/>
      <c r="R297" s="456"/>
    </row>
    <row r="298" spans="1:18" ht="9.75" customHeight="1" x14ac:dyDescent="0.25">
      <c r="A298" s="456"/>
      <c r="B298" s="456"/>
      <c r="C298" s="456"/>
      <c r="D298" s="456"/>
      <c r="E298" s="456"/>
      <c r="F298" s="456"/>
      <c r="G298" s="456"/>
      <c r="H298" s="456"/>
      <c r="I298" s="456"/>
      <c r="J298" s="456"/>
      <c r="K298" s="456"/>
      <c r="L298" s="456"/>
      <c r="M298" s="456"/>
      <c r="N298" s="456"/>
      <c r="O298" s="456"/>
      <c r="P298" s="456"/>
      <c r="Q298" s="456"/>
      <c r="R298" s="456"/>
    </row>
    <row r="299" spans="1:18" ht="9.75" customHeight="1" x14ac:dyDescent="0.25">
      <c r="A299" s="456"/>
      <c r="B299" s="456"/>
      <c r="C299" s="456"/>
      <c r="D299" s="456"/>
      <c r="E299" s="456"/>
      <c r="F299" s="456"/>
      <c r="G299" s="456"/>
      <c r="H299" s="456"/>
      <c r="I299" s="456"/>
      <c r="J299" s="456"/>
      <c r="K299" s="456"/>
      <c r="L299" s="456"/>
      <c r="M299" s="456"/>
      <c r="N299" s="456"/>
      <c r="O299" s="456"/>
      <c r="P299" s="456"/>
      <c r="Q299" s="456"/>
      <c r="R299" s="456"/>
    </row>
    <row r="300" spans="1:18" ht="9.75" customHeight="1" x14ac:dyDescent="0.25">
      <c r="A300" s="456"/>
      <c r="B300" s="456"/>
      <c r="C300" s="456"/>
      <c r="D300" s="456"/>
      <c r="E300" s="456"/>
      <c r="F300" s="456"/>
      <c r="G300" s="456"/>
      <c r="H300" s="456"/>
      <c r="I300" s="456"/>
      <c r="J300" s="456"/>
      <c r="K300" s="456"/>
      <c r="L300" s="456"/>
      <c r="M300" s="456"/>
      <c r="N300" s="456"/>
      <c r="O300" s="456"/>
      <c r="P300" s="456"/>
      <c r="Q300" s="456"/>
      <c r="R300" s="456"/>
    </row>
    <row r="301" spans="1:18" ht="9.75" customHeight="1" x14ac:dyDescent="0.25">
      <c r="A301" s="456"/>
      <c r="B301" s="456"/>
      <c r="C301" s="456"/>
      <c r="D301" s="456"/>
      <c r="E301" s="456"/>
      <c r="F301" s="456"/>
      <c r="G301" s="456"/>
      <c r="H301" s="456"/>
      <c r="I301" s="456"/>
      <c r="J301" s="456"/>
      <c r="K301" s="456"/>
      <c r="L301" s="456"/>
      <c r="M301" s="456"/>
      <c r="N301" s="456"/>
      <c r="O301" s="456"/>
      <c r="P301" s="456"/>
      <c r="Q301" s="456"/>
      <c r="R301" s="456"/>
    </row>
    <row r="302" spans="1:18" ht="9.75" customHeight="1" x14ac:dyDescent="0.25">
      <c r="A302" s="456"/>
      <c r="B302" s="456"/>
      <c r="C302" s="456"/>
      <c r="D302" s="456"/>
      <c r="E302" s="456"/>
      <c r="F302" s="456"/>
      <c r="G302" s="456"/>
      <c r="H302" s="456"/>
      <c r="I302" s="456"/>
      <c r="J302" s="456"/>
      <c r="K302" s="456"/>
      <c r="L302" s="456"/>
      <c r="M302" s="456"/>
      <c r="N302" s="456"/>
      <c r="O302" s="456"/>
      <c r="P302" s="456"/>
      <c r="Q302" s="456"/>
      <c r="R302" s="456"/>
    </row>
    <row r="303" spans="1:18" ht="9.75" customHeight="1" x14ac:dyDescent="0.25">
      <c r="A303" s="456"/>
      <c r="B303" s="456"/>
      <c r="C303" s="456"/>
      <c r="D303" s="456"/>
      <c r="E303" s="456"/>
      <c r="F303" s="456"/>
      <c r="G303" s="456"/>
      <c r="H303" s="456"/>
      <c r="I303" s="456"/>
      <c r="J303" s="456"/>
      <c r="K303" s="456"/>
      <c r="L303" s="456"/>
      <c r="M303" s="456"/>
      <c r="N303" s="456"/>
      <c r="O303" s="456"/>
      <c r="P303" s="456"/>
      <c r="Q303" s="456"/>
      <c r="R303" s="456"/>
    </row>
    <row r="304" spans="1:18" ht="9.75" customHeight="1" x14ac:dyDescent="0.25">
      <c r="A304" s="456"/>
      <c r="B304" s="456"/>
      <c r="C304" s="456"/>
      <c r="D304" s="456"/>
      <c r="E304" s="456"/>
      <c r="F304" s="456"/>
      <c r="G304" s="456"/>
      <c r="H304" s="456"/>
      <c r="I304" s="456"/>
      <c r="J304" s="456"/>
      <c r="K304" s="456"/>
      <c r="L304" s="456"/>
      <c r="M304" s="456"/>
      <c r="N304" s="456"/>
      <c r="O304" s="456"/>
      <c r="P304" s="456"/>
      <c r="Q304" s="456"/>
      <c r="R304" s="456"/>
    </row>
    <row r="305" spans="1:18" ht="9.75" customHeight="1" x14ac:dyDescent="0.25">
      <c r="A305" s="456"/>
      <c r="B305" s="456"/>
      <c r="C305" s="456"/>
      <c r="D305" s="456"/>
      <c r="E305" s="456"/>
      <c r="F305" s="456"/>
      <c r="G305" s="456"/>
      <c r="H305" s="456"/>
      <c r="I305" s="456"/>
      <c r="J305" s="456"/>
      <c r="K305" s="456"/>
      <c r="L305" s="456"/>
      <c r="M305" s="456"/>
      <c r="N305" s="456"/>
      <c r="O305" s="456"/>
      <c r="P305" s="456"/>
      <c r="Q305" s="456"/>
      <c r="R305" s="456"/>
    </row>
    <row r="306" spans="1:18" ht="9.75" customHeight="1" x14ac:dyDescent="0.25">
      <c r="A306" s="456"/>
      <c r="B306" s="456"/>
      <c r="C306" s="456"/>
      <c r="D306" s="456"/>
      <c r="E306" s="456"/>
      <c r="F306" s="456"/>
      <c r="G306" s="456"/>
      <c r="H306" s="456"/>
      <c r="I306" s="456"/>
      <c r="J306" s="456"/>
      <c r="K306" s="456"/>
      <c r="L306" s="456"/>
      <c r="M306" s="456"/>
      <c r="N306" s="456"/>
      <c r="O306" s="456"/>
      <c r="P306" s="456"/>
      <c r="Q306" s="456"/>
      <c r="R306" s="456"/>
    </row>
    <row r="307" spans="1:18" ht="9.75" customHeight="1" x14ac:dyDescent="0.25">
      <c r="A307" s="456"/>
      <c r="B307" s="456"/>
      <c r="C307" s="456"/>
      <c r="D307" s="456"/>
      <c r="E307" s="456"/>
      <c r="F307" s="456"/>
      <c r="G307" s="456"/>
      <c r="H307" s="456"/>
      <c r="I307" s="456"/>
      <c r="J307" s="456"/>
      <c r="K307" s="456"/>
      <c r="L307" s="456"/>
      <c r="M307" s="456"/>
      <c r="N307" s="456"/>
      <c r="O307" s="456"/>
      <c r="P307" s="456"/>
      <c r="Q307" s="456"/>
      <c r="R307" s="456"/>
    </row>
    <row r="308" spans="1:18" ht="9.75" customHeight="1" x14ac:dyDescent="0.25">
      <c r="A308" s="456"/>
      <c r="B308" s="456"/>
      <c r="C308" s="456"/>
      <c r="D308" s="456"/>
      <c r="E308" s="456"/>
      <c r="F308" s="456"/>
      <c r="G308" s="456"/>
      <c r="H308" s="456"/>
      <c r="I308" s="456"/>
      <c r="J308" s="456"/>
      <c r="K308" s="456"/>
      <c r="L308" s="456"/>
      <c r="M308" s="456"/>
      <c r="N308" s="456"/>
      <c r="O308" s="456"/>
      <c r="P308" s="456"/>
      <c r="Q308" s="456"/>
      <c r="R308" s="456"/>
    </row>
    <row r="309" spans="1:18" ht="9.75" customHeight="1" x14ac:dyDescent="0.25">
      <c r="A309" s="456"/>
      <c r="B309" s="456"/>
      <c r="C309" s="456"/>
      <c r="D309" s="456"/>
      <c r="E309" s="456"/>
      <c r="F309" s="456"/>
      <c r="G309" s="456"/>
      <c r="H309" s="456"/>
      <c r="I309" s="456"/>
      <c r="J309" s="456"/>
      <c r="K309" s="456"/>
      <c r="L309" s="456"/>
      <c r="M309" s="456"/>
      <c r="N309" s="456"/>
      <c r="O309" s="456"/>
      <c r="P309" s="456"/>
      <c r="Q309" s="456"/>
      <c r="R309" s="456"/>
    </row>
    <row r="310" spans="1:18" ht="9.75" customHeight="1" x14ac:dyDescent="0.25">
      <c r="A310" s="456"/>
      <c r="B310" s="456"/>
      <c r="C310" s="456"/>
      <c r="D310" s="456"/>
      <c r="E310" s="456"/>
      <c r="F310" s="456"/>
      <c r="G310" s="456"/>
      <c r="H310" s="456"/>
      <c r="I310" s="456"/>
      <c r="J310" s="456"/>
      <c r="K310" s="456"/>
      <c r="L310" s="456"/>
      <c r="M310" s="456"/>
      <c r="N310" s="456"/>
      <c r="O310" s="456"/>
      <c r="P310" s="456"/>
      <c r="Q310" s="456"/>
      <c r="R310" s="456"/>
    </row>
    <row r="311" spans="1:18" ht="9.75" customHeight="1" x14ac:dyDescent="0.25">
      <c r="A311" s="456"/>
      <c r="B311" s="456"/>
      <c r="C311" s="456"/>
      <c r="D311" s="456"/>
      <c r="E311" s="456"/>
      <c r="F311" s="456"/>
      <c r="G311" s="456"/>
      <c r="H311" s="456"/>
      <c r="I311" s="456"/>
      <c r="J311" s="456"/>
      <c r="K311" s="456"/>
      <c r="L311" s="456"/>
      <c r="M311" s="456"/>
      <c r="N311" s="456"/>
      <c r="O311" s="456"/>
      <c r="P311" s="456"/>
      <c r="Q311" s="456"/>
      <c r="R311" s="456"/>
    </row>
    <row r="312" spans="1:18" ht="9.75" customHeight="1" x14ac:dyDescent="0.25">
      <c r="A312" s="456"/>
      <c r="B312" s="456"/>
      <c r="C312" s="456"/>
      <c r="D312" s="456"/>
      <c r="E312" s="456"/>
      <c r="F312" s="456"/>
      <c r="G312" s="456"/>
      <c r="H312" s="456"/>
      <c r="I312" s="456"/>
      <c r="J312" s="456"/>
      <c r="K312" s="456"/>
      <c r="L312" s="456"/>
      <c r="M312" s="456"/>
      <c r="N312" s="456"/>
      <c r="O312" s="456"/>
      <c r="P312" s="456"/>
      <c r="Q312" s="456"/>
      <c r="R312" s="456"/>
    </row>
    <row r="313" spans="1:18" ht="9.75" customHeight="1" x14ac:dyDescent="0.25">
      <c r="A313" s="456"/>
      <c r="B313" s="456"/>
      <c r="C313" s="456"/>
      <c r="D313" s="456"/>
      <c r="E313" s="456"/>
      <c r="F313" s="456"/>
      <c r="G313" s="456"/>
      <c r="H313" s="456"/>
      <c r="I313" s="456"/>
      <c r="J313" s="456"/>
      <c r="K313" s="456"/>
      <c r="L313" s="456"/>
      <c r="M313" s="456"/>
      <c r="N313" s="456"/>
      <c r="O313" s="456"/>
      <c r="P313" s="456"/>
      <c r="Q313" s="456"/>
      <c r="R313" s="456"/>
    </row>
    <row r="314" spans="1:18" ht="9.75" customHeight="1" x14ac:dyDescent="0.25">
      <c r="A314" s="456"/>
      <c r="B314" s="456"/>
      <c r="C314" s="456"/>
      <c r="D314" s="456"/>
      <c r="E314" s="456"/>
      <c r="F314" s="456"/>
      <c r="G314" s="456"/>
      <c r="H314" s="456"/>
      <c r="I314" s="456"/>
      <c r="J314" s="456"/>
      <c r="K314" s="456"/>
      <c r="L314" s="456"/>
      <c r="M314" s="456"/>
      <c r="N314" s="456"/>
      <c r="O314" s="456"/>
      <c r="P314" s="456"/>
      <c r="Q314" s="456"/>
      <c r="R314" s="456"/>
    </row>
    <row r="315" spans="1:18" ht="9.75" customHeight="1" x14ac:dyDescent="0.25">
      <c r="A315" s="456"/>
      <c r="B315" s="456"/>
      <c r="C315" s="456"/>
      <c r="D315" s="456"/>
      <c r="E315" s="456"/>
      <c r="F315" s="456"/>
      <c r="G315" s="456"/>
      <c r="H315" s="456"/>
      <c r="I315" s="456"/>
      <c r="J315" s="456"/>
      <c r="K315" s="456"/>
      <c r="L315" s="456"/>
      <c r="M315" s="456"/>
      <c r="N315" s="456"/>
      <c r="O315" s="456"/>
      <c r="P315" s="456"/>
      <c r="Q315" s="456"/>
      <c r="R315" s="456"/>
    </row>
    <row r="316" spans="1:18" ht="9.75" customHeight="1" x14ac:dyDescent="0.25">
      <c r="A316" s="456"/>
      <c r="B316" s="456"/>
      <c r="C316" s="456"/>
      <c r="D316" s="456"/>
      <c r="E316" s="456"/>
      <c r="F316" s="456"/>
      <c r="G316" s="456"/>
      <c r="H316" s="456"/>
      <c r="I316" s="456"/>
      <c r="J316" s="456"/>
      <c r="K316" s="456"/>
      <c r="L316" s="456"/>
      <c r="M316" s="456"/>
      <c r="N316" s="456"/>
      <c r="O316" s="456"/>
      <c r="P316" s="456"/>
      <c r="Q316" s="456"/>
      <c r="R316" s="456"/>
    </row>
    <row r="317" spans="1:18" ht="9.75" customHeight="1" x14ac:dyDescent="0.25">
      <c r="A317" s="456"/>
      <c r="B317" s="456"/>
      <c r="C317" s="456"/>
      <c r="D317" s="456"/>
      <c r="E317" s="456"/>
      <c r="F317" s="456"/>
      <c r="G317" s="456"/>
      <c r="H317" s="456"/>
      <c r="I317" s="456"/>
      <c r="J317" s="456"/>
      <c r="K317" s="456"/>
      <c r="L317" s="456"/>
      <c r="M317" s="456"/>
      <c r="N317" s="456"/>
      <c r="O317" s="456"/>
      <c r="P317" s="456"/>
      <c r="Q317" s="456"/>
      <c r="R317" s="456"/>
    </row>
    <row r="318" spans="1:18" ht="9.75" customHeight="1" x14ac:dyDescent="0.25">
      <c r="A318" s="456"/>
      <c r="B318" s="456"/>
      <c r="C318" s="456"/>
      <c r="D318" s="456"/>
      <c r="E318" s="456"/>
      <c r="F318" s="456"/>
      <c r="G318" s="456"/>
      <c r="H318" s="456"/>
      <c r="I318" s="456"/>
      <c r="J318" s="456"/>
      <c r="K318" s="456"/>
      <c r="L318" s="456"/>
      <c r="M318" s="456"/>
      <c r="N318" s="456"/>
      <c r="O318" s="456"/>
      <c r="P318" s="456"/>
      <c r="Q318" s="456"/>
      <c r="R318" s="456"/>
    </row>
    <row r="319" spans="1:18" ht="9.75" customHeight="1" x14ac:dyDescent="0.25">
      <c r="A319" s="456"/>
      <c r="B319" s="456"/>
      <c r="C319" s="456"/>
      <c r="D319" s="456"/>
      <c r="E319" s="456"/>
      <c r="F319" s="456"/>
      <c r="G319" s="456"/>
      <c r="H319" s="456"/>
      <c r="I319" s="456"/>
      <c r="J319" s="456"/>
      <c r="K319" s="456"/>
      <c r="L319" s="456"/>
      <c r="M319" s="456"/>
      <c r="N319" s="456"/>
      <c r="O319" s="456"/>
      <c r="P319" s="456"/>
      <c r="Q319" s="456"/>
      <c r="R319" s="456"/>
    </row>
    <row r="320" spans="1:18" ht="9.75" customHeight="1" x14ac:dyDescent="0.25">
      <c r="A320" s="456"/>
      <c r="B320" s="456"/>
      <c r="C320" s="456"/>
      <c r="D320" s="456"/>
      <c r="E320" s="456"/>
      <c r="F320" s="456"/>
      <c r="G320" s="456"/>
      <c r="H320" s="456"/>
      <c r="I320" s="456"/>
      <c r="J320" s="456"/>
      <c r="K320" s="456"/>
      <c r="L320" s="456"/>
      <c r="M320" s="456"/>
      <c r="N320" s="456"/>
      <c r="O320" s="456"/>
      <c r="P320" s="456"/>
      <c r="Q320" s="456"/>
      <c r="R320" s="456"/>
    </row>
    <row r="321" spans="1:18" ht="9.75" customHeight="1" x14ac:dyDescent="0.25">
      <c r="A321" s="456"/>
      <c r="B321" s="456"/>
      <c r="C321" s="456"/>
      <c r="D321" s="456"/>
      <c r="E321" s="456"/>
      <c r="F321" s="456"/>
      <c r="G321" s="456"/>
      <c r="H321" s="456"/>
      <c r="I321" s="456"/>
      <c r="J321" s="456"/>
      <c r="K321" s="456"/>
      <c r="L321" s="456"/>
      <c r="M321" s="456"/>
      <c r="N321" s="456"/>
      <c r="O321" s="456"/>
      <c r="P321" s="456"/>
      <c r="Q321" s="456"/>
      <c r="R321" s="456"/>
    </row>
    <row r="322" spans="1:18" ht="9.75" customHeight="1" x14ac:dyDescent="0.25">
      <c r="A322" s="456"/>
      <c r="B322" s="456"/>
      <c r="C322" s="456"/>
      <c r="D322" s="456"/>
      <c r="E322" s="456"/>
      <c r="F322" s="456"/>
      <c r="G322" s="456"/>
      <c r="H322" s="456"/>
      <c r="I322" s="456"/>
      <c r="J322" s="456"/>
      <c r="K322" s="456"/>
      <c r="L322" s="456"/>
      <c r="M322" s="456"/>
      <c r="N322" s="456"/>
      <c r="O322" s="456"/>
      <c r="P322" s="456"/>
      <c r="Q322" s="456"/>
      <c r="R322" s="456"/>
    </row>
    <row r="323" spans="1:18" ht="9.75" customHeight="1" x14ac:dyDescent="0.25">
      <c r="A323" s="456"/>
      <c r="B323" s="456"/>
      <c r="C323" s="456"/>
      <c r="D323" s="456"/>
      <c r="E323" s="456"/>
      <c r="F323" s="456"/>
      <c r="G323" s="456"/>
      <c r="H323" s="456"/>
      <c r="I323" s="456"/>
      <c r="J323" s="456"/>
      <c r="K323" s="456"/>
      <c r="L323" s="456"/>
      <c r="M323" s="456"/>
      <c r="N323" s="456"/>
      <c r="O323" s="456"/>
      <c r="P323" s="456"/>
      <c r="Q323" s="456"/>
      <c r="R323" s="456"/>
    </row>
    <row r="324" spans="1:18" ht="9.75" customHeight="1" x14ac:dyDescent="0.25">
      <c r="A324" s="456"/>
      <c r="B324" s="456"/>
      <c r="C324" s="456"/>
      <c r="D324" s="456"/>
      <c r="E324" s="456"/>
      <c r="F324" s="456"/>
      <c r="G324" s="456"/>
      <c r="H324" s="456"/>
      <c r="I324" s="456"/>
      <c r="J324" s="456"/>
      <c r="K324" s="456"/>
      <c r="L324" s="456"/>
      <c r="M324" s="456"/>
      <c r="N324" s="456"/>
      <c r="O324" s="456"/>
      <c r="P324" s="456"/>
      <c r="Q324" s="456"/>
      <c r="R324" s="456"/>
    </row>
    <row r="325" spans="1:18" ht="9.75" customHeight="1" x14ac:dyDescent="0.25">
      <c r="A325" s="456"/>
      <c r="B325" s="456"/>
      <c r="C325" s="456"/>
      <c r="D325" s="456"/>
      <c r="E325" s="456"/>
      <c r="F325" s="456"/>
      <c r="G325" s="456"/>
      <c r="H325" s="456"/>
      <c r="I325" s="456"/>
      <c r="J325" s="456"/>
      <c r="K325" s="456"/>
      <c r="L325" s="456"/>
      <c r="M325" s="456"/>
      <c r="N325" s="456"/>
      <c r="O325" s="456"/>
      <c r="P325" s="456"/>
      <c r="Q325" s="456"/>
      <c r="R325" s="456"/>
    </row>
    <row r="326" spans="1:18" ht="9.75" customHeight="1" x14ac:dyDescent="0.25">
      <c r="A326" s="456"/>
      <c r="B326" s="456"/>
      <c r="C326" s="456"/>
      <c r="D326" s="456"/>
      <c r="E326" s="456"/>
      <c r="F326" s="456"/>
      <c r="G326" s="456"/>
      <c r="H326" s="456"/>
      <c r="I326" s="456"/>
      <c r="J326" s="456"/>
      <c r="K326" s="456"/>
      <c r="L326" s="456"/>
      <c r="M326" s="456"/>
      <c r="N326" s="456"/>
      <c r="O326" s="456"/>
      <c r="P326" s="456"/>
      <c r="Q326" s="456"/>
      <c r="R326" s="456"/>
    </row>
    <row r="327" spans="1:18" ht="9.75" customHeight="1" x14ac:dyDescent="0.25">
      <c r="A327" s="456"/>
      <c r="B327" s="456"/>
      <c r="C327" s="456"/>
      <c r="D327" s="456"/>
      <c r="E327" s="456"/>
      <c r="F327" s="456"/>
      <c r="G327" s="456"/>
      <c r="H327" s="456"/>
      <c r="I327" s="456"/>
      <c r="J327" s="456"/>
      <c r="K327" s="456"/>
      <c r="L327" s="456"/>
      <c r="M327" s="456"/>
      <c r="N327" s="456"/>
      <c r="O327" s="456"/>
      <c r="P327" s="456"/>
      <c r="Q327" s="456"/>
      <c r="R327" s="456"/>
    </row>
    <row r="328" spans="1:18" ht="9.75" customHeight="1" x14ac:dyDescent="0.25">
      <c r="A328" s="456"/>
      <c r="B328" s="456"/>
      <c r="C328" s="456"/>
      <c r="D328" s="456"/>
      <c r="E328" s="456"/>
      <c r="F328" s="456"/>
      <c r="G328" s="456"/>
      <c r="H328" s="456"/>
      <c r="I328" s="456"/>
      <c r="J328" s="456"/>
      <c r="K328" s="456"/>
      <c r="L328" s="456"/>
      <c r="M328" s="456"/>
      <c r="N328" s="456"/>
      <c r="O328" s="456"/>
      <c r="P328" s="456"/>
      <c r="Q328" s="456"/>
      <c r="R328" s="456"/>
    </row>
    <row r="329" spans="1:18" ht="9.75" customHeight="1" x14ac:dyDescent="0.25">
      <c r="A329" s="456"/>
      <c r="B329" s="456"/>
      <c r="C329" s="456"/>
      <c r="D329" s="456"/>
      <c r="E329" s="456"/>
      <c r="F329" s="456"/>
      <c r="G329" s="456"/>
      <c r="H329" s="456"/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</row>
    <row r="330" spans="1:18" ht="9.75" customHeight="1" x14ac:dyDescent="0.25">
      <c r="A330" s="456"/>
      <c r="B330" s="456"/>
      <c r="C330" s="456"/>
      <c r="D330" s="456"/>
      <c r="E330" s="456"/>
      <c r="F330" s="456"/>
      <c r="G330" s="456"/>
      <c r="H330" s="456"/>
      <c r="I330" s="456"/>
      <c r="J330" s="456"/>
      <c r="K330" s="456"/>
      <c r="L330" s="456"/>
      <c r="M330" s="456"/>
      <c r="N330" s="456"/>
      <c r="O330" s="456"/>
      <c r="P330" s="456"/>
      <c r="Q330" s="456"/>
      <c r="R330" s="456"/>
    </row>
    <row r="331" spans="1:18" ht="9.75" customHeight="1" x14ac:dyDescent="0.25">
      <c r="A331" s="456"/>
      <c r="B331" s="456"/>
      <c r="C331" s="456"/>
      <c r="D331" s="456"/>
      <c r="E331" s="456"/>
      <c r="F331" s="456"/>
      <c r="G331" s="456"/>
      <c r="H331" s="456"/>
      <c r="I331" s="456"/>
      <c r="J331" s="456"/>
      <c r="K331" s="456"/>
      <c r="L331" s="456"/>
      <c r="M331" s="456"/>
      <c r="N331" s="456"/>
      <c r="O331" s="456"/>
      <c r="P331" s="456"/>
      <c r="Q331" s="456"/>
      <c r="R331" s="456"/>
    </row>
    <row r="332" spans="1:18" ht="9.75" customHeight="1" x14ac:dyDescent="0.25">
      <c r="A332" s="456"/>
      <c r="B332" s="456"/>
      <c r="C332" s="456"/>
      <c r="D332" s="456"/>
      <c r="E332" s="456"/>
      <c r="F332" s="456"/>
      <c r="G332" s="456"/>
      <c r="H332" s="456"/>
      <c r="I332" s="456"/>
      <c r="J332" s="456"/>
      <c r="K332" s="456"/>
      <c r="L332" s="456"/>
      <c r="M332" s="456"/>
      <c r="N332" s="456"/>
      <c r="O332" s="456"/>
      <c r="P332" s="456"/>
      <c r="Q332" s="456"/>
      <c r="R332" s="456"/>
    </row>
    <row r="333" spans="1:18" ht="9.75" customHeight="1" x14ac:dyDescent="0.25">
      <c r="A333" s="456"/>
      <c r="B333" s="456"/>
      <c r="C333" s="456"/>
      <c r="D333" s="456"/>
      <c r="E333" s="456"/>
      <c r="F333" s="456"/>
      <c r="G333" s="456"/>
      <c r="H333" s="456"/>
      <c r="I333" s="456"/>
      <c r="J333" s="456"/>
      <c r="K333" s="456"/>
      <c r="L333" s="456"/>
      <c r="M333" s="456"/>
      <c r="N333" s="456"/>
      <c r="O333" s="456"/>
      <c r="P333" s="456"/>
      <c r="Q333" s="456"/>
      <c r="R333" s="456"/>
    </row>
    <row r="334" spans="1:18" ht="9.75" customHeight="1" x14ac:dyDescent="0.25">
      <c r="A334" s="456"/>
      <c r="B334" s="456"/>
      <c r="C334" s="456"/>
      <c r="D334" s="456"/>
      <c r="E334" s="456"/>
      <c r="F334" s="456"/>
      <c r="G334" s="456"/>
      <c r="H334" s="456"/>
      <c r="I334" s="456"/>
      <c r="J334" s="456"/>
      <c r="K334" s="456"/>
      <c r="L334" s="456"/>
      <c r="M334" s="456"/>
      <c r="N334" s="456"/>
      <c r="O334" s="456"/>
      <c r="P334" s="456"/>
      <c r="Q334" s="456"/>
      <c r="R334" s="456"/>
    </row>
    <row r="335" spans="1:18" ht="9.75" customHeight="1" x14ac:dyDescent="0.25">
      <c r="A335" s="456"/>
      <c r="B335" s="456"/>
      <c r="C335" s="456"/>
      <c r="D335" s="456"/>
      <c r="E335" s="456"/>
      <c r="F335" s="456"/>
      <c r="G335" s="456"/>
      <c r="H335" s="456"/>
      <c r="I335" s="456"/>
      <c r="J335" s="456"/>
      <c r="K335" s="456"/>
      <c r="L335" s="456"/>
      <c r="M335" s="456"/>
      <c r="N335" s="456"/>
      <c r="O335" s="456"/>
      <c r="P335" s="456"/>
      <c r="Q335" s="456"/>
      <c r="R335" s="456"/>
    </row>
    <row r="336" spans="1:18" ht="9.75" customHeight="1" x14ac:dyDescent="0.25">
      <c r="A336" s="456"/>
      <c r="B336" s="456"/>
      <c r="C336" s="456"/>
      <c r="D336" s="456"/>
      <c r="E336" s="456"/>
      <c r="F336" s="456"/>
      <c r="G336" s="456"/>
      <c r="H336" s="456"/>
      <c r="I336" s="456"/>
      <c r="J336" s="456"/>
      <c r="K336" s="456"/>
      <c r="L336" s="456"/>
      <c r="M336" s="456"/>
      <c r="N336" s="456"/>
      <c r="O336" s="456"/>
      <c r="P336" s="456"/>
      <c r="Q336" s="456"/>
      <c r="R336" s="456"/>
    </row>
    <row r="337" spans="1:18" ht="9.75" customHeight="1" x14ac:dyDescent="0.25">
      <c r="A337" s="456"/>
      <c r="B337" s="456"/>
      <c r="C337" s="456"/>
      <c r="D337" s="456"/>
      <c r="E337" s="456"/>
      <c r="F337" s="456"/>
      <c r="G337" s="456"/>
      <c r="H337" s="456"/>
      <c r="I337" s="456"/>
      <c r="J337" s="456"/>
      <c r="K337" s="456"/>
      <c r="L337" s="456"/>
      <c r="M337" s="456"/>
      <c r="N337" s="456"/>
      <c r="O337" s="456"/>
      <c r="P337" s="456"/>
      <c r="Q337" s="456"/>
      <c r="R337" s="456"/>
    </row>
    <row r="338" spans="1:18" ht="9.75" customHeight="1" x14ac:dyDescent="0.25">
      <c r="A338" s="456"/>
      <c r="B338" s="456"/>
      <c r="C338" s="456"/>
      <c r="D338" s="456"/>
      <c r="E338" s="456"/>
      <c r="F338" s="456"/>
      <c r="G338" s="456"/>
      <c r="H338" s="456"/>
      <c r="I338" s="456"/>
      <c r="J338" s="456"/>
      <c r="K338" s="456"/>
      <c r="L338" s="456"/>
      <c r="M338" s="456"/>
      <c r="N338" s="456"/>
      <c r="O338" s="456"/>
      <c r="P338" s="456"/>
      <c r="Q338" s="456"/>
      <c r="R338" s="456"/>
    </row>
    <row r="339" spans="1:18" ht="9.75" customHeight="1" x14ac:dyDescent="0.25">
      <c r="A339" s="456"/>
      <c r="B339" s="456"/>
      <c r="C339" s="456"/>
      <c r="D339" s="456"/>
      <c r="E339" s="456"/>
      <c r="F339" s="456"/>
      <c r="G339" s="456"/>
      <c r="H339" s="456"/>
      <c r="I339" s="456"/>
      <c r="J339" s="456"/>
      <c r="K339" s="456"/>
      <c r="L339" s="456"/>
      <c r="M339" s="456"/>
      <c r="N339" s="456"/>
      <c r="O339" s="456"/>
      <c r="P339" s="456"/>
      <c r="Q339" s="456"/>
      <c r="R339" s="456"/>
    </row>
    <row r="340" spans="1:18" ht="9.75" customHeight="1" x14ac:dyDescent="0.25">
      <c r="A340" s="456"/>
      <c r="B340" s="456"/>
      <c r="C340" s="456"/>
      <c r="D340" s="456"/>
      <c r="E340" s="456"/>
      <c r="F340" s="456"/>
      <c r="G340" s="456"/>
      <c r="H340" s="456"/>
      <c r="I340" s="456"/>
      <c r="J340" s="456"/>
      <c r="K340" s="456"/>
      <c r="L340" s="456"/>
      <c r="M340" s="456"/>
      <c r="N340" s="456"/>
      <c r="O340" s="456"/>
      <c r="P340" s="456"/>
      <c r="Q340" s="456"/>
      <c r="R340" s="456"/>
    </row>
    <row r="341" spans="1:18" ht="9.75" customHeight="1" x14ac:dyDescent="0.25">
      <c r="A341" s="456"/>
      <c r="B341" s="456"/>
      <c r="C341" s="456"/>
      <c r="D341" s="456"/>
      <c r="E341" s="456"/>
      <c r="F341" s="456"/>
      <c r="G341" s="456"/>
      <c r="H341" s="456"/>
      <c r="I341" s="456"/>
      <c r="J341" s="456"/>
      <c r="K341" s="456"/>
      <c r="L341" s="456"/>
      <c r="M341" s="456"/>
      <c r="N341" s="456"/>
      <c r="O341" s="456"/>
      <c r="P341" s="456"/>
      <c r="Q341" s="456"/>
      <c r="R341" s="456"/>
    </row>
    <row r="342" spans="1:18" ht="9.75" customHeight="1" x14ac:dyDescent="0.25">
      <c r="A342" s="456"/>
      <c r="B342" s="456"/>
      <c r="C342" s="456"/>
      <c r="D342" s="456"/>
      <c r="E342" s="456"/>
      <c r="F342" s="456"/>
      <c r="G342" s="456"/>
      <c r="H342" s="456"/>
      <c r="I342" s="456"/>
      <c r="J342" s="456"/>
      <c r="K342" s="456"/>
      <c r="L342" s="456"/>
      <c r="M342" s="456"/>
      <c r="N342" s="456"/>
      <c r="O342" s="456"/>
      <c r="P342" s="456"/>
      <c r="Q342" s="456"/>
      <c r="R342" s="456"/>
    </row>
    <row r="343" spans="1:18" ht="9.75" customHeight="1" x14ac:dyDescent="0.25">
      <c r="A343" s="456"/>
      <c r="B343" s="456"/>
      <c r="C343" s="456"/>
      <c r="D343" s="456"/>
      <c r="E343" s="456"/>
      <c r="F343" s="456"/>
      <c r="G343" s="456"/>
      <c r="H343" s="456"/>
      <c r="I343" s="456"/>
      <c r="J343" s="456"/>
      <c r="K343" s="456"/>
      <c r="L343" s="456"/>
      <c r="M343" s="456"/>
      <c r="N343" s="456"/>
      <c r="O343" s="456"/>
      <c r="P343" s="456"/>
      <c r="Q343" s="456"/>
      <c r="R343" s="456"/>
    </row>
    <row r="344" spans="1:18" ht="9.75" customHeight="1" x14ac:dyDescent="0.25">
      <c r="A344" s="456"/>
      <c r="B344" s="456"/>
      <c r="C344" s="456"/>
      <c r="D344" s="456"/>
      <c r="E344" s="456"/>
      <c r="F344" s="456"/>
      <c r="G344" s="456"/>
      <c r="H344" s="456"/>
      <c r="I344" s="456"/>
      <c r="J344" s="456"/>
      <c r="K344" s="456"/>
      <c r="L344" s="456"/>
      <c r="M344" s="456"/>
      <c r="N344" s="456"/>
      <c r="O344" s="456"/>
      <c r="P344" s="456"/>
      <c r="Q344" s="456"/>
      <c r="R344" s="456"/>
    </row>
    <row r="345" spans="1:18" ht="9.75" customHeight="1" x14ac:dyDescent="0.25">
      <c r="A345" s="456"/>
      <c r="B345" s="456"/>
      <c r="C345" s="456"/>
      <c r="D345" s="456"/>
      <c r="E345" s="456"/>
      <c r="F345" s="456"/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</row>
    <row r="346" spans="1:18" ht="9.75" customHeight="1" x14ac:dyDescent="0.25">
      <c r="A346" s="456"/>
      <c r="B346" s="456"/>
      <c r="C346" s="456"/>
      <c r="D346" s="456"/>
      <c r="E346" s="456"/>
      <c r="F346" s="456"/>
      <c r="G346" s="456"/>
      <c r="H346" s="456"/>
      <c r="I346" s="456"/>
      <c r="J346" s="456"/>
      <c r="K346" s="456"/>
      <c r="L346" s="456"/>
      <c r="M346" s="456"/>
      <c r="N346" s="456"/>
      <c r="O346" s="456"/>
      <c r="P346" s="456"/>
      <c r="Q346" s="456"/>
      <c r="R346" s="456"/>
    </row>
    <row r="347" spans="1:18" ht="9.75" customHeight="1" x14ac:dyDescent="0.25">
      <c r="A347" s="456"/>
      <c r="B347" s="456"/>
      <c r="C347" s="456"/>
      <c r="D347" s="456"/>
      <c r="E347" s="456"/>
      <c r="F347" s="456"/>
      <c r="G347" s="456"/>
      <c r="H347" s="456"/>
      <c r="I347" s="456"/>
      <c r="J347" s="456"/>
      <c r="K347" s="456"/>
      <c r="L347" s="456"/>
      <c r="M347" s="456"/>
      <c r="N347" s="456"/>
      <c r="O347" s="456"/>
      <c r="P347" s="456"/>
      <c r="Q347" s="456"/>
      <c r="R347" s="456"/>
    </row>
    <row r="348" spans="1:18" ht="9.75" customHeight="1" x14ac:dyDescent="0.25">
      <c r="A348" s="456"/>
      <c r="B348" s="456"/>
      <c r="C348" s="456"/>
      <c r="D348" s="456"/>
      <c r="E348" s="456"/>
      <c r="F348" s="456"/>
      <c r="G348" s="456"/>
      <c r="H348" s="456"/>
      <c r="I348" s="456"/>
      <c r="J348" s="456"/>
      <c r="K348" s="456"/>
      <c r="L348" s="456"/>
      <c r="M348" s="456"/>
      <c r="N348" s="456"/>
      <c r="O348" s="456"/>
      <c r="P348" s="456"/>
      <c r="Q348" s="456"/>
      <c r="R348" s="456"/>
    </row>
    <row r="349" spans="1:18" ht="9.75" customHeight="1" x14ac:dyDescent="0.25">
      <c r="A349" s="456"/>
      <c r="B349" s="456"/>
      <c r="C349" s="456"/>
      <c r="D349" s="456"/>
      <c r="E349" s="456"/>
      <c r="F349" s="456"/>
      <c r="G349" s="456"/>
      <c r="H349" s="456"/>
      <c r="I349" s="456"/>
      <c r="J349" s="456"/>
      <c r="K349" s="456"/>
      <c r="L349" s="456"/>
      <c r="M349" s="456"/>
      <c r="N349" s="456"/>
      <c r="O349" s="456"/>
      <c r="P349" s="456"/>
      <c r="Q349" s="456"/>
      <c r="R349" s="456"/>
    </row>
    <row r="350" spans="1:18" ht="9.75" customHeight="1" x14ac:dyDescent="0.25">
      <c r="A350" s="456"/>
      <c r="B350" s="456"/>
      <c r="C350" s="456"/>
      <c r="D350" s="456"/>
      <c r="E350" s="456"/>
      <c r="F350" s="456"/>
      <c r="G350" s="456"/>
      <c r="H350" s="456"/>
      <c r="I350" s="456"/>
      <c r="J350" s="456"/>
      <c r="K350" s="456"/>
      <c r="L350" s="456"/>
      <c r="M350" s="456"/>
      <c r="N350" s="456"/>
      <c r="O350" s="456"/>
      <c r="P350" s="456"/>
      <c r="Q350" s="456"/>
      <c r="R350" s="456"/>
    </row>
    <row r="351" spans="1:18" ht="9.75" customHeight="1" x14ac:dyDescent="0.25">
      <c r="A351" s="456"/>
      <c r="B351" s="456"/>
      <c r="C351" s="456"/>
      <c r="D351" s="456"/>
      <c r="E351" s="456"/>
      <c r="F351" s="456"/>
      <c r="G351" s="456"/>
      <c r="H351" s="456"/>
      <c r="I351" s="456"/>
      <c r="J351" s="456"/>
      <c r="K351" s="456"/>
      <c r="L351" s="456"/>
      <c r="M351" s="456"/>
      <c r="N351" s="456"/>
      <c r="O351" s="456"/>
      <c r="P351" s="456"/>
      <c r="Q351" s="456"/>
      <c r="R351" s="456"/>
    </row>
    <row r="352" spans="1:18" ht="9.75" customHeight="1" x14ac:dyDescent="0.25">
      <c r="A352" s="456"/>
      <c r="B352" s="456"/>
      <c r="C352" s="456"/>
      <c r="D352" s="456"/>
      <c r="E352" s="456"/>
      <c r="F352" s="456"/>
      <c r="G352" s="456"/>
      <c r="H352" s="456"/>
      <c r="I352" s="456"/>
      <c r="J352" s="456"/>
      <c r="K352" s="456"/>
      <c r="L352" s="456"/>
      <c r="M352" s="456"/>
      <c r="N352" s="456"/>
      <c r="O352" s="456"/>
      <c r="P352" s="456"/>
      <c r="Q352" s="456"/>
      <c r="R352" s="456"/>
    </row>
    <row r="353" spans="1:18" ht="9.75" customHeight="1" x14ac:dyDescent="0.25">
      <c r="A353" s="456"/>
      <c r="B353" s="456"/>
      <c r="C353" s="456"/>
      <c r="D353" s="456"/>
      <c r="E353" s="456"/>
      <c r="F353" s="456"/>
      <c r="G353" s="456"/>
      <c r="H353" s="456"/>
      <c r="I353" s="456"/>
      <c r="J353" s="456"/>
      <c r="K353" s="456"/>
      <c r="L353" s="456"/>
      <c r="M353" s="456"/>
      <c r="N353" s="456"/>
      <c r="O353" s="456"/>
      <c r="P353" s="456"/>
      <c r="Q353" s="456"/>
      <c r="R353" s="456"/>
    </row>
    <row r="354" spans="1:18" ht="9.75" customHeight="1" x14ac:dyDescent="0.25">
      <c r="A354" s="456"/>
      <c r="B354" s="456"/>
      <c r="C354" s="456"/>
      <c r="D354" s="456"/>
      <c r="E354" s="456"/>
      <c r="F354" s="456"/>
      <c r="G354" s="456"/>
      <c r="H354" s="456"/>
      <c r="I354" s="456"/>
      <c r="J354" s="456"/>
      <c r="K354" s="456"/>
      <c r="L354" s="456"/>
      <c r="M354" s="456"/>
      <c r="N354" s="456"/>
      <c r="O354" s="456"/>
      <c r="P354" s="456"/>
      <c r="Q354" s="456"/>
      <c r="R354" s="456"/>
    </row>
    <row r="355" spans="1:18" ht="9.75" customHeight="1" x14ac:dyDescent="0.25">
      <c r="A355" s="456"/>
      <c r="B355" s="456"/>
      <c r="C355" s="456"/>
      <c r="D355" s="456"/>
      <c r="E355" s="456"/>
      <c r="F355" s="456"/>
      <c r="G355" s="456"/>
      <c r="H355" s="456"/>
      <c r="I355" s="456"/>
      <c r="J355" s="456"/>
      <c r="K355" s="456"/>
      <c r="L355" s="456"/>
      <c r="M355" s="456"/>
      <c r="N355" s="456"/>
      <c r="O355" s="456"/>
      <c r="P355" s="456"/>
      <c r="Q355" s="456"/>
      <c r="R355" s="456"/>
    </row>
    <row r="356" spans="1:18" ht="9.75" customHeight="1" x14ac:dyDescent="0.25">
      <c r="A356" s="456"/>
      <c r="B356" s="456"/>
      <c r="C356" s="456"/>
      <c r="D356" s="456"/>
      <c r="E356" s="456"/>
      <c r="F356" s="456"/>
      <c r="G356" s="456"/>
      <c r="H356" s="456"/>
      <c r="I356" s="456"/>
      <c r="J356" s="456"/>
      <c r="K356" s="456"/>
      <c r="L356" s="456"/>
      <c r="M356" s="456"/>
      <c r="N356" s="456"/>
      <c r="O356" s="456"/>
      <c r="P356" s="456"/>
      <c r="Q356" s="456"/>
      <c r="R356" s="456"/>
    </row>
    <row r="357" spans="1:18" ht="9.75" customHeight="1" x14ac:dyDescent="0.25">
      <c r="A357" s="456"/>
      <c r="B357" s="456"/>
      <c r="C357" s="456"/>
      <c r="D357" s="456"/>
      <c r="E357" s="456"/>
      <c r="F357" s="456"/>
      <c r="G357" s="456"/>
      <c r="H357" s="456"/>
      <c r="I357" s="456"/>
      <c r="J357" s="456"/>
      <c r="K357" s="456"/>
      <c r="L357" s="456"/>
      <c r="M357" s="456"/>
      <c r="N357" s="456"/>
      <c r="O357" s="456"/>
      <c r="P357" s="456"/>
      <c r="Q357" s="456"/>
      <c r="R357" s="456"/>
    </row>
    <row r="358" spans="1:18" ht="9.75" customHeight="1" x14ac:dyDescent="0.25">
      <c r="A358" s="456"/>
      <c r="B358" s="456"/>
      <c r="C358" s="456"/>
      <c r="D358" s="456"/>
      <c r="E358" s="456"/>
      <c r="F358" s="456"/>
      <c r="G358" s="456"/>
      <c r="H358" s="456"/>
      <c r="I358" s="456"/>
      <c r="J358" s="456"/>
      <c r="K358" s="456"/>
      <c r="L358" s="456"/>
      <c r="M358" s="456"/>
      <c r="N358" s="456"/>
      <c r="O358" s="456"/>
      <c r="P358" s="456"/>
      <c r="Q358" s="456"/>
      <c r="R358" s="456"/>
    </row>
    <row r="359" spans="1:18" ht="9.75" customHeight="1" x14ac:dyDescent="0.25">
      <c r="A359" s="456"/>
      <c r="B359" s="456"/>
      <c r="C359" s="456"/>
      <c r="D359" s="456"/>
      <c r="E359" s="456"/>
      <c r="F359" s="456"/>
      <c r="G359" s="456"/>
      <c r="H359" s="456"/>
      <c r="I359" s="456"/>
      <c r="J359" s="456"/>
      <c r="K359" s="456"/>
      <c r="L359" s="456"/>
      <c r="M359" s="456"/>
      <c r="N359" s="456"/>
      <c r="O359" s="456"/>
      <c r="P359" s="456"/>
      <c r="Q359" s="456"/>
      <c r="R359" s="456"/>
    </row>
    <row r="360" spans="1:18" ht="9.75" customHeight="1" x14ac:dyDescent="0.25">
      <c r="A360" s="456"/>
      <c r="B360" s="456"/>
      <c r="C360" s="456"/>
      <c r="D360" s="456"/>
      <c r="E360" s="456"/>
      <c r="F360" s="456"/>
      <c r="G360" s="456"/>
      <c r="H360" s="456"/>
      <c r="I360" s="456"/>
      <c r="J360" s="456"/>
      <c r="K360" s="456"/>
      <c r="L360" s="456"/>
      <c r="M360" s="456"/>
      <c r="N360" s="456"/>
      <c r="O360" s="456"/>
      <c r="P360" s="456"/>
      <c r="Q360" s="456"/>
      <c r="R360" s="456"/>
    </row>
    <row r="361" spans="1:18" ht="9.75" customHeight="1" x14ac:dyDescent="0.25">
      <c r="A361" s="456"/>
      <c r="B361" s="456"/>
      <c r="C361" s="456"/>
      <c r="D361" s="456"/>
      <c r="E361" s="456"/>
      <c r="F361" s="456"/>
      <c r="G361" s="456"/>
      <c r="H361" s="456"/>
      <c r="I361" s="456"/>
      <c r="J361" s="456"/>
      <c r="K361" s="456"/>
      <c r="L361" s="456"/>
      <c r="M361" s="456"/>
      <c r="N361" s="456"/>
      <c r="O361" s="456"/>
      <c r="P361" s="456"/>
      <c r="Q361" s="456"/>
      <c r="R361" s="456"/>
    </row>
    <row r="362" spans="1:18" ht="9.75" customHeight="1" x14ac:dyDescent="0.25">
      <c r="A362" s="456"/>
      <c r="B362" s="456"/>
      <c r="C362" s="456"/>
      <c r="D362" s="456"/>
      <c r="E362" s="456"/>
      <c r="F362" s="456"/>
      <c r="G362" s="456"/>
      <c r="H362" s="456"/>
      <c r="I362" s="456"/>
      <c r="J362" s="456"/>
      <c r="K362" s="456"/>
      <c r="L362" s="456"/>
      <c r="M362" s="456"/>
      <c r="N362" s="456"/>
      <c r="O362" s="456"/>
      <c r="P362" s="456"/>
      <c r="Q362" s="456"/>
      <c r="R362" s="456"/>
    </row>
    <row r="363" spans="1:18" ht="9.75" customHeight="1" x14ac:dyDescent="0.25">
      <c r="A363" s="456"/>
      <c r="B363" s="456"/>
      <c r="C363" s="456"/>
      <c r="D363" s="456"/>
      <c r="E363" s="456"/>
      <c r="F363" s="456"/>
      <c r="G363" s="456"/>
      <c r="H363" s="456"/>
      <c r="I363" s="456"/>
      <c r="J363" s="456"/>
      <c r="K363" s="456"/>
      <c r="L363" s="456"/>
      <c r="M363" s="456"/>
      <c r="N363" s="456"/>
      <c r="O363" s="456"/>
      <c r="P363" s="456"/>
      <c r="Q363" s="456"/>
      <c r="R363" s="456"/>
    </row>
    <row r="364" spans="1:18" ht="9.75" customHeight="1" x14ac:dyDescent="0.25">
      <c r="A364" s="456"/>
      <c r="B364" s="456"/>
      <c r="C364" s="456"/>
      <c r="D364" s="456"/>
      <c r="E364" s="456"/>
      <c r="F364" s="456"/>
      <c r="G364" s="456"/>
      <c r="H364" s="456"/>
      <c r="I364" s="456"/>
      <c r="J364" s="456"/>
      <c r="K364" s="456"/>
      <c r="L364" s="456"/>
      <c r="M364" s="456"/>
      <c r="N364" s="456"/>
      <c r="O364" s="456"/>
      <c r="P364" s="456"/>
      <c r="Q364" s="456"/>
      <c r="R364" s="456"/>
    </row>
    <row r="365" spans="1:18" ht="9.75" customHeight="1" x14ac:dyDescent="0.25">
      <c r="A365" s="456"/>
      <c r="B365" s="456"/>
      <c r="C365" s="456"/>
      <c r="D365" s="456"/>
      <c r="E365" s="456"/>
      <c r="F365" s="456"/>
      <c r="G365" s="456"/>
      <c r="H365" s="456"/>
      <c r="I365" s="456"/>
      <c r="J365" s="456"/>
      <c r="K365" s="456"/>
      <c r="L365" s="456"/>
      <c r="M365" s="456"/>
      <c r="N365" s="456"/>
      <c r="O365" s="456"/>
      <c r="P365" s="456"/>
      <c r="Q365" s="456"/>
      <c r="R365" s="456"/>
    </row>
    <row r="366" spans="1:18" ht="9.75" customHeight="1" x14ac:dyDescent="0.25">
      <c r="A366" s="456"/>
      <c r="B366" s="456"/>
      <c r="C366" s="456"/>
      <c r="D366" s="456"/>
      <c r="E366" s="456"/>
      <c r="F366" s="456"/>
      <c r="G366" s="456"/>
      <c r="H366" s="456"/>
      <c r="I366" s="456"/>
      <c r="J366" s="456"/>
      <c r="K366" s="456"/>
      <c r="L366" s="456"/>
      <c r="M366" s="456"/>
      <c r="N366" s="456"/>
      <c r="O366" s="456"/>
      <c r="P366" s="456"/>
      <c r="Q366" s="456"/>
      <c r="R366" s="456"/>
    </row>
    <row r="367" spans="1:18" ht="9.75" customHeight="1" x14ac:dyDescent="0.25">
      <c r="A367" s="456"/>
      <c r="B367" s="456"/>
      <c r="C367" s="456"/>
      <c r="D367" s="456"/>
      <c r="E367" s="456"/>
      <c r="F367" s="456"/>
      <c r="G367" s="456"/>
      <c r="H367" s="456"/>
      <c r="I367" s="456"/>
      <c r="J367" s="456"/>
      <c r="K367" s="456"/>
      <c r="L367" s="456"/>
      <c r="M367" s="456"/>
      <c r="N367" s="456"/>
      <c r="O367" s="456"/>
      <c r="P367" s="456"/>
      <c r="Q367" s="456"/>
      <c r="R367" s="456"/>
    </row>
    <row r="368" spans="1:18" ht="9.75" customHeight="1" x14ac:dyDescent="0.25">
      <c r="A368" s="456"/>
      <c r="B368" s="456"/>
      <c r="C368" s="456"/>
      <c r="D368" s="456"/>
      <c r="E368" s="456"/>
      <c r="F368" s="456"/>
      <c r="G368" s="456"/>
      <c r="H368" s="456"/>
      <c r="I368" s="456"/>
      <c r="J368" s="456"/>
      <c r="K368" s="456"/>
      <c r="L368" s="456"/>
      <c r="M368" s="456"/>
      <c r="N368" s="456"/>
      <c r="O368" s="456"/>
      <c r="P368" s="456"/>
      <c r="Q368" s="456"/>
      <c r="R368" s="456"/>
    </row>
    <row r="369" spans="1:18" ht="9.75" customHeight="1" x14ac:dyDescent="0.25">
      <c r="A369" s="456"/>
      <c r="B369" s="456"/>
      <c r="C369" s="456"/>
      <c r="D369" s="456"/>
      <c r="E369" s="456"/>
      <c r="F369" s="456"/>
      <c r="G369" s="456"/>
      <c r="H369" s="456"/>
      <c r="I369" s="456"/>
      <c r="J369" s="456"/>
      <c r="K369" s="456"/>
      <c r="L369" s="456"/>
      <c r="M369" s="456"/>
      <c r="N369" s="456"/>
      <c r="O369" s="456"/>
      <c r="P369" s="456"/>
      <c r="Q369" s="456"/>
      <c r="R369" s="456"/>
    </row>
    <row r="370" spans="1:18" ht="9.75" customHeight="1" x14ac:dyDescent="0.25">
      <c r="A370" s="456"/>
      <c r="B370" s="456"/>
      <c r="C370" s="456"/>
      <c r="D370" s="456"/>
      <c r="E370" s="456"/>
      <c r="F370" s="456"/>
      <c r="G370" s="456"/>
      <c r="H370" s="456"/>
      <c r="I370" s="456"/>
      <c r="J370" s="456"/>
      <c r="K370" s="456"/>
      <c r="L370" s="456"/>
      <c r="M370" s="456"/>
      <c r="N370" s="456"/>
      <c r="O370" s="456"/>
      <c r="P370" s="456"/>
      <c r="Q370" s="456"/>
      <c r="R370" s="456"/>
    </row>
    <row r="371" spans="1:18" ht="9.75" customHeight="1" x14ac:dyDescent="0.25">
      <c r="A371" s="456"/>
      <c r="B371" s="456"/>
      <c r="C371" s="456"/>
      <c r="D371" s="456"/>
      <c r="E371" s="456"/>
      <c r="F371" s="456"/>
      <c r="G371" s="456"/>
      <c r="H371" s="456"/>
      <c r="I371" s="456"/>
      <c r="J371" s="456"/>
      <c r="K371" s="456"/>
      <c r="L371" s="456"/>
      <c r="M371" s="456"/>
      <c r="N371" s="456"/>
      <c r="O371" s="456"/>
      <c r="P371" s="456"/>
      <c r="Q371" s="456"/>
      <c r="R371" s="456"/>
    </row>
    <row r="372" spans="1:18" ht="9.75" customHeight="1" x14ac:dyDescent="0.25">
      <c r="A372" s="456"/>
      <c r="B372" s="456"/>
      <c r="C372" s="456"/>
      <c r="D372" s="456"/>
      <c r="E372" s="456"/>
      <c r="F372" s="456"/>
      <c r="G372" s="456"/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</row>
    <row r="373" spans="1:18" ht="9.75" customHeight="1" x14ac:dyDescent="0.25">
      <c r="A373" s="456"/>
      <c r="B373" s="456"/>
      <c r="C373" s="456"/>
      <c r="D373" s="456"/>
      <c r="E373" s="456"/>
      <c r="F373" s="456"/>
      <c r="G373" s="456"/>
      <c r="H373" s="456"/>
      <c r="I373" s="456"/>
      <c r="J373" s="456"/>
      <c r="K373" s="456"/>
      <c r="L373" s="456"/>
      <c r="M373" s="456"/>
      <c r="N373" s="456"/>
      <c r="O373" s="456"/>
      <c r="P373" s="456"/>
      <c r="Q373" s="456"/>
      <c r="R373" s="456"/>
    </row>
    <row r="374" spans="1:18" ht="9.75" customHeight="1" x14ac:dyDescent="0.25">
      <c r="A374" s="456"/>
      <c r="B374" s="456"/>
      <c r="C374" s="456"/>
      <c r="D374" s="456"/>
      <c r="E374" s="456"/>
      <c r="F374" s="456"/>
      <c r="G374" s="456"/>
      <c r="H374" s="456"/>
      <c r="I374" s="456"/>
      <c r="J374" s="456"/>
      <c r="K374" s="456"/>
      <c r="L374" s="456"/>
      <c r="M374" s="456"/>
      <c r="N374" s="456"/>
      <c r="O374" s="456"/>
      <c r="P374" s="456"/>
      <c r="Q374" s="456"/>
      <c r="R374" s="456"/>
    </row>
    <row r="375" spans="1:18" ht="9.75" customHeight="1" x14ac:dyDescent="0.25">
      <c r="A375" s="456"/>
      <c r="B375" s="456"/>
      <c r="C375" s="456"/>
      <c r="D375" s="456"/>
      <c r="E375" s="456"/>
      <c r="F375" s="456"/>
      <c r="G375" s="456"/>
      <c r="H375" s="456"/>
      <c r="I375" s="456"/>
      <c r="J375" s="456"/>
      <c r="K375" s="456"/>
      <c r="L375" s="456"/>
      <c r="M375" s="456"/>
      <c r="N375" s="456"/>
      <c r="O375" s="456"/>
      <c r="P375" s="456"/>
      <c r="Q375" s="456"/>
      <c r="R375" s="456"/>
    </row>
    <row r="376" spans="1:18" ht="9.75" customHeight="1" x14ac:dyDescent="0.25">
      <c r="A376" s="456"/>
      <c r="B376" s="456"/>
      <c r="C376" s="456"/>
      <c r="D376" s="456"/>
      <c r="E376" s="456"/>
      <c r="F376" s="456"/>
      <c r="G376" s="456"/>
      <c r="H376" s="456"/>
      <c r="I376" s="456"/>
      <c r="J376" s="456"/>
      <c r="K376" s="456"/>
      <c r="L376" s="456"/>
      <c r="M376" s="456"/>
      <c r="N376" s="456"/>
      <c r="O376" s="456"/>
      <c r="P376" s="456"/>
      <c r="Q376" s="456"/>
      <c r="R376" s="456"/>
    </row>
    <row r="377" spans="1:18" ht="9.75" customHeight="1" x14ac:dyDescent="0.25">
      <c r="A377" s="456"/>
      <c r="B377" s="456"/>
      <c r="C377" s="456"/>
      <c r="D377" s="456"/>
      <c r="E377" s="456"/>
      <c r="F377" s="456"/>
      <c r="G377" s="456"/>
      <c r="H377" s="456"/>
      <c r="I377" s="456"/>
      <c r="J377" s="456"/>
      <c r="K377" s="456"/>
      <c r="L377" s="456"/>
      <c r="M377" s="456"/>
      <c r="N377" s="456"/>
      <c r="O377" s="456"/>
      <c r="P377" s="456"/>
      <c r="Q377" s="456"/>
      <c r="R377" s="456"/>
    </row>
    <row r="378" spans="1:18" ht="9.75" customHeight="1" x14ac:dyDescent="0.25">
      <c r="A378" s="456"/>
      <c r="B378" s="456"/>
      <c r="C378" s="456"/>
      <c r="D378" s="456"/>
      <c r="E378" s="456"/>
      <c r="F378" s="456"/>
      <c r="G378" s="456"/>
      <c r="H378" s="456"/>
      <c r="I378" s="456"/>
      <c r="J378" s="456"/>
      <c r="K378" s="456"/>
      <c r="L378" s="456"/>
      <c r="M378" s="456"/>
      <c r="N378" s="456"/>
      <c r="O378" s="456"/>
      <c r="P378" s="456"/>
      <c r="Q378" s="456"/>
      <c r="R378" s="456"/>
    </row>
    <row r="379" spans="1:18" ht="9.75" customHeight="1" x14ac:dyDescent="0.25">
      <c r="A379" s="456"/>
      <c r="B379" s="456"/>
      <c r="C379" s="456"/>
      <c r="D379" s="456"/>
      <c r="E379" s="456"/>
      <c r="F379" s="456"/>
      <c r="G379" s="456"/>
      <c r="H379" s="456"/>
      <c r="I379" s="456"/>
      <c r="J379" s="456"/>
      <c r="K379" s="456"/>
      <c r="L379" s="456"/>
      <c r="M379" s="456"/>
      <c r="N379" s="456"/>
      <c r="O379" s="456"/>
      <c r="P379" s="456"/>
      <c r="Q379" s="456"/>
      <c r="R379" s="456"/>
    </row>
    <row r="380" spans="1:18" ht="9.75" customHeight="1" x14ac:dyDescent="0.25">
      <c r="A380" s="456"/>
      <c r="B380" s="456"/>
      <c r="C380" s="456"/>
      <c r="D380" s="456"/>
      <c r="E380" s="456"/>
      <c r="F380" s="456"/>
      <c r="G380" s="456"/>
      <c r="H380" s="456"/>
      <c r="I380" s="456"/>
      <c r="J380" s="456"/>
      <c r="K380" s="456"/>
      <c r="L380" s="456"/>
      <c r="M380" s="456"/>
      <c r="N380" s="456"/>
      <c r="O380" s="456"/>
      <c r="P380" s="456"/>
      <c r="Q380" s="456"/>
      <c r="R380" s="456"/>
    </row>
    <row r="381" spans="1:18" ht="9.75" customHeight="1" x14ac:dyDescent="0.25">
      <c r="A381" s="456"/>
      <c r="B381" s="456"/>
      <c r="C381" s="456"/>
      <c r="D381" s="456"/>
      <c r="E381" s="456"/>
      <c r="F381" s="456"/>
      <c r="G381" s="456"/>
      <c r="H381" s="456"/>
      <c r="I381" s="456"/>
      <c r="J381" s="456"/>
      <c r="K381" s="456"/>
      <c r="L381" s="456"/>
      <c r="M381" s="456"/>
      <c r="N381" s="456"/>
      <c r="O381" s="456"/>
      <c r="P381" s="456"/>
      <c r="Q381" s="456"/>
      <c r="R381" s="456"/>
    </row>
    <row r="382" spans="1:18" ht="9.75" customHeight="1" x14ac:dyDescent="0.25">
      <c r="A382" s="456"/>
      <c r="B382" s="456"/>
      <c r="C382" s="456"/>
      <c r="D382" s="456"/>
      <c r="E382" s="456"/>
      <c r="F382" s="456"/>
      <c r="G382" s="456"/>
      <c r="H382" s="456"/>
      <c r="I382" s="456"/>
      <c r="J382" s="456"/>
      <c r="K382" s="456"/>
      <c r="L382" s="456"/>
      <c r="M382" s="456"/>
      <c r="N382" s="456"/>
      <c r="O382" s="456"/>
      <c r="P382" s="456"/>
      <c r="Q382" s="456"/>
      <c r="R382" s="456"/>
    </row>
    <row r="383" spans="1:18" ht="9.75" customHeight="1" x14ac:dyDescent="0.25">
      <c r="A383" s="456"/>
      <c r="B383" s="456"/>
      <c r="C383" s="456"/>
      <c r="D383" s="456"/>
      <c r="E383" s="456"/>
      <c r="F383" s="456"/>
      <c r="G383" s="456"/>
      <c r="H383" s="456"/>
      <c r="I383" s="456"/>
      <c r="J383" s="456"/>
      <c r="K383" s="456"/>
      <c r="L383" s="456"/>
      <c r="M383" s="456"/>
      <c r="N383" s="456"/>
      <c r="O383" s="456"/>
      <c r="P383" s="456"/>
      <c r="Q383" s="456"/>
      <c r="R383" s="456"/>
    </row>
    <row r="384" spans="1:18" ht="9.75" customHeight="1" x14ac:dyDescent="0.25">
      <c r="A384" s="456"/>
      <c r="B384" s="456"/>
      <c r="C384" s="456"/>
      <c r="D384" s="456"/>
      <c r="E384" s="456"/>
      <c r="F384" s="456"/>
      <c r="G384" s="456"/>
      <c r="H384" s="456"/>
      <c r="I384" s="456"/>
      <c r="J384" s="456"/>
      <c r="K384" s="456"/>
      <c r="L384" s="456"/>
      <c r="M384" s="456"/>
      <c r="N384" s="456"/>
      <c r="O384" s="456"/>
      <c r="P384" s="456"/>
      <c r="Q384" s="456"/>
      <c r="R384" s="456"/>
    </row>
    <row r="385" spans="1:18" ht="9.75" customHeight="1" x14ac:dyDescent="0.25">
      <c r="A385" s="456"/>
      <c r="B385" s="456"/>
      <c r="C385" s="456"/>
      <c r="D385" s="456"/>
      <c r="E385" s="456"/>
      <c r="F385" s="456"/>
      <c r="G385" s="456"/>
      <c r="H385" s="456"/>
      <c r="I385" s="456"/>
      <c r="J385" s="456"/>
      <c r="K385" s="456"/>
      <c r="L385" s="456"/>
      <c r="M385" s="456"/>
      <c r="N385" s="456"/>
      <c r="O385" s="456"/>
      <c r="P385" s="456"/>
      <c r="Q385" s="456"/>
      <c r="R385" s="456"/>
    </row>
    <row r="386" spans="1:18" ht="9.75" customHeight="1" x14ac:dyDescent="0.25">
      <c r="A386" s="456"/>
      <c r="B386" s="456"/>
      <c r="C386" s="456"/>
      <c r="D386" s="456"/>
      <c r="E386" s="456"/>
      <c r="F386" s="456"/>
      <c r="G386" s="456"/>
      <c r="H386" s="456"/>
      <c r="I386" s="456"/>
      <c r="J386" s="456"/>
      <c r="K386" s="456"/>
      <c r="L386" s="456"/>
      <c r="M386" s="456"/>
      <c r="N386" s="456"/>
      <c r="O386" s="456"/>
      <c r="P386" s="456"/>
      <c r="Q386" s="456"/>
      <c r="R386" s="456"/>
    </row>
    <row r="387" spans="1:18" ht="9.75" customHeight="1" x14ac:dyDescent="0.25">
      <c r="A387" s="456"/>
      <c r="B387" s="456"/>
      <c r="C387" s="456"/>
      <c r="D387" s="456"/>
      <c r="E387" s="456"/>
      <c r="F387" s="456"/>
      <c r="G387" s="456"/>
      <c r="H387" s="456"/>
      <c r="I387" s="456"/>
      <c r="J387" s="456"/>
      <c r="K387" s="456"/>
      <c r="L387" s="456"/>
      <c r="M387" s="456"/>
      <c r="N387" s="456"/>
      <c r="O387" s="456"/>
      <c r="P387" s="456"/>
      <c r="Q387" s="456"/>
      <c r="R387" s="456"/>
    </row>
    <row r="388" spans="1:18" ht="9.75" customHeight="1" x14ac:dyDescent="0.25">
      <c r="A388" s="456"/>
      <c r="B388" s="456"/>
      <c r="C388" s="456"/>
      <c r="D388" s="456"/>
      <c r="E388" s="456"/>
      <c r="F388" s="456"/>
      <c r="G388" s="456"/>
      <c r="H388" s="456"/>
      <c r="I388" s="456"/>
      <c r="J388" s="456"/>
      <c r="K388" s="456"/>
      <c r="L388" s="456"/>
      <c r="M388" s="456"/>
      <c r="N388" s="456"/>
      <c r="O388" s="456"/>
      <c r="P388" s="456"/>
      <c r="Q388" s="456"/>
      <c r="R388" s="456"/>
    </row>
    <row r="389" spans="1:18" ht="9.75" customHeight="1" x14ac:dyDescent="0.25">
      <c r="A389" s="456"/>
      <c r="B389" s="456"/>
      <c r="C389" s="456"/>
      <c r="D389" s="456"/>
      <c r="E389" s="456"/>
      <c r="F389" s="456"/>
      <c r="G389" s="456"/>
      <c r="H389" s="456"/>
      <c r="I389" s="456"/>
      <c r="J389" s="456"/>
      <c r="K389" s="456"/>
      <c r="L389" s="456"/>
      <c r="M389" s="456"/>
      <c r="N389" s="456"/>
      <c r="O389" s="456"/>
      <c r="P389" s="456"/>
      <c r="Q389" s="456"/>
      <c r="R389" s="456"/>
    </row>
    <row r="390" spans="1:18" ht="9.75" customHeight="1" x14ac:dyDescent="0.25">
      <c r="A390" s="456"/>
      <c r="B390" s="456"/>
      <c r="C390" s="456"/>
      <c r="D390" s="456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</row>
    <row r="391" spans="1:18" ht="9.75" customHeight="1" x14ac:dyDescent="0.25">
      <c r="A391" s="456"/>
      <c r="B391" s="456"/>
      <c r="C391" s="456"/>
      <c r="D391" s="456"/>
      <c r="E391" s="456"/>
      <c r="F391" s="456"/>
      <c r="G391" s="456"/>
      <c r="H391" s="456"/>
      <c r="I391" s="456"/>
      <c r="J391" s="456"/>
      <c r="K391" s="456"/>
      <c r="L391" s="456"/>
      <c r="M391" s="456"/>
      <c r="N391" s="456"/>
      <c r="O391" s="456"/>
      <c r="P391" s="456"/>
      <c r="Q391" s="456"/>
      <c r="R391" s="456"/>
    </row>
    <row r="392" spans="1:18" ht="9.75" customHeight="1" x14ac:dyDescent="0.25">
      <c r="A392" s="456"/>
      <c r="B392" s="456"/>
      <c r="C392" s="456"/>
      <c r="D392" s="456"/>
      <c r="E392" s="456"/>
      <c r="F392" s="456"/>
      <c r="G392" s="456"/>
      <c r="H392" s="456"/>
      <c r="I392" s="456"/>
      <c r="J392" s="456"/>
      <c r="K392" s="456"/>
      <c r="L392" s="456"/>
      <c r="M392" s="456"/>
      <c r="N392" s="456"/>
      <c r="O392" s="456"/>
      <c r="P392" s="456"/>
      <c r="Q392" s="456"/>
      <c r="R392" s="456"/>
    </row>
    <row r="393" spans="1:18" ht="9.75" customHeight="1" x14ac:dyDescent="0.25">
      <c r="A393" s="456"/>
      <c r="B393" s="456"/>
      <c r="C393" s="456"/>
      <c r="D393" s="456"/>
      <c r="E393" s="456"/>
      <c r="F393" s="456"/>
      <c r="G393" s="456"/>
      <c r="H393" s="456"/>
      <c r="I393" s="456"/>
      <c r="J393" s="456"/>
      <c r="K393" s="456"/>
      <c r="L393" s="456"/>
      <c r="M393" s="456"/>
      <c r="N393" s="456"/>
      <c r="O393" s="456"/>
      <c r="P393" s="456"/>
      <c r="Q393" s="456"/>
      <c r="R393" s="456"/>
    </row>
    <row r="394" spans="1:18" ht="9.75" customHeight="1" x14ac:dyDescent="0.25">
      <c r="A394" s="456"/>
      <c r="B394" s="456"/>
      <c r="C394" s="456"/>
      <c r="D394" s="456"/>
      <c r="E394" s="456"/>
      <c r="F394" s="456"/>
      <c r="G394" s="456"/>
      <c r="H394" s="456"/>
      <c r="I394" s="456"/>
      <c r="J394" s="456"/>
      <c r="K394" s="456"/>
      <c r="L394" s="456"/>
      <c r="M394" s="456"/>
      <c r="N394" s="456"/>
      <c r="O394" s="456"/>
      <c r="P394" s="456"/>
      <c r="Q394" s="456"/>
      <c r="R394" s="456"/>
    </row>
    <row r="395" spans="1:18" ht="9.75" customHeight="1" x14ac:dyDescent="0.25">
      <c r="A395" s="456"/>
      <c r="B395" s="456"/>
      <c r="C395" s="456"/>
      <c r="D395" s="456"/>
      <c r="E395" s="456"/>
      <c r="F395" s="456"/>
      <c r="G395" s="456"/>
      <c r="H395" s="456"/>
      <c r="I395" s="456"/>
      <c r="J395" s="456"/>
      <c r="K395" s="456"/>
      <c r="L395" s="456"/>
      <c r="M395" s="456"/>
      <c r="N395" s="456"/>
      <c r="O395" s="456"/>
      <c r="P395" s="456"/>
      <c r="Q395" s="456"/>
      <c r="R395" s="456"/>
    </row>
    <row r="396" spans="1:18" ht="9.75" customHeight="1" x14ac:dyDescent="0.25">
      <c r="A396" s="456"/>
      <c r="B396" s="456"/>
      <c r="C396" s="456"/>
      <c r="D396" s="456"/>
      <c r="E396" s="456"/>
      <c r="F396" s="456"/>
      <c r="G396" s="456"/>
      <c r="H396" s="456"/>
      <c r="I396" s="456"/>
      <c r="J396" s="456"/>
      <c r="K396" s="456"/>
      <c r="L396" s="456"/>
      <c r="M396" s="456"/>
      <c r="N396" s="456"/>
      <c r="O396" s="456"/>
      <c r="P396" s="456"/>
      <c r="Q396" s="456"/>
      <c r="R396" s="456"/>
    </row>
    <row r="397" spans="1:18" ht="9.75" customHeight="1" x14ac:dyDescent="0.25">
      <c r="A397" s="456"/>
      <c r="B397" s="456"/>
      <c r="C397" s="456"/>
      <c r="D397" s="456"/>
      <c r="E397" s="456"/>
      <c r="F397" s="456"/>
      <c r="G397" s="456"/>
      <c r="H397" s="456"/>
      <c r="I397" s="456"/>
      <c r="J397" s="456"/>
      <c r="K397" s="456"/>
      <c r="L397" s="456"/>
      <c r="M397" s="456"/>
      <c r="N397" s="456"/>
      <c r="O397" s="456"/>
      <c r="P397" s="456"/>
      <c r="Q397" s="456"/>
      <c r="R397" s="456"/>
    </row>
    <row r="398" spans="1:18" ht="9.75" customHeight="1" x14ac:dyDescent="0.25">
      <c r="A398" s="456"/>
      <c r="B398" s="456"/>
      <c r="C398" s="456"/>
      <c r="D398" s="456"/>
      <c r="E398" s="456"/>
      <c r="F398" s="456"/>
      <c r="G398" s="456"/>
      <c r="H398" s="456"/>
      <c r="I398" s="456"/>
      <c r="J398" s="456"/>
      <c r="K398" s="456"/>
      <c r="L398" s="456"/>
      <c r="M398" s="456"/>
      <c r="N398" s="456"/>
      <c r="O398" s="456"/>
      <c r="P398" s="456"/>
      <c r="Q398" s="456"/>
      <c r="R398" s="456"/>
    </row>
    <row r="399" spans="1:18" ht="9.75" customHeight="1" x14ac:dyDescent="0.25">
      <c r="A399" s="456"/>
      <c r="B399" s="456"/>
      <c r="C399" s="456"/>
      <c r="D399" s="456"/>
      <c r="E399" s="456"/>
      <c r="F399" s="456"/>
      <c r="G399" s="456"/>
      <c r="H399" s="456"/>
      <c r="I399" s="456"/>
      <c r="J399" s="456"/>
      <c r="K399" s="456"/>
      <c r="L399" s="456"/>
      <c r="M399" s="456"/>
      <c r="N399" s="456"/>
      <c r="O399" s="456"/>
      <c r="P399" s="456"/>
      <c r="Q399" s="456"/>
      <c r="R399" s="456"/>
    </row>
    <row r="400" spans="1:18" ht="9.75" customHeight="1" x14ac:dyDescent="0.25">
      <c r="A400" s="456"/>
      <c r="B400" s="456"/>
      <c r="C400" s="456"/>
      <c r="D400" s="456"/>
      <c r="E400" s="456"/>
      <c r="F400" s="456"/>
      <c r="G400" s="456"/>
      <c r="H400" s="456"/>
      <c r="I400" s="456"/>
      <c r="J400" s="456"/>
      <c r="K400" s="456"/>
      <c r="L400" s="456"/>
      <c r="M400" s="456"/>
      <c r="N400" s="456"/>
      <c r="O400" s="456"/>
      <c r="P400" s="456"/>
      <c r="Q400" s="456"/>
      <c r="R400" s="456"/>
    </row>
    <row r="401" spans="1:18" ht="9.75" customHeight="1" x14ac:dyDescent="0.25">
      <c r="A401" s="456"/>
      <c r="B401" s="456"/>
      <c r="C401" s="456"/>
      <c r="D401" s="456"/>
      <c r="E401" s="456"/>
      <c r="F401" s="456"/>
      <c r="G401" s="456"/>
      <c r="H401" s="456"/>
      <c r="I401" s="456"/>
      <c r="J401" s="456"/>
      <c r="K401" s="456"/>
      <c r="L401" s="456"/>
      <c r="M401" s="456"/>
      <c r="N401" s="456"/>
      <c r="O401" s="456"/>
      <c r="P401" s="456"/>
      <c r="Q401" s="456"/>
      <c r="R401" s="456"/>
    </row>
    <row r="402" spans="1:18" ht="9.75" customHeight="1" x14ac:dyDescent="0.25">
      <c r="A402" s="456"/>
      <c r="B402" s="456"/>
      <c r="C402" s="456"/>
      <c r="D402" s="456"/>
      <c r="E402" s="456"/>
      <c r="F402" s="456"/>
      <c r="G402" s="456"/>
      <c r="H402" s="456"/>
      <c r="I402" s="456"/>
      <c r="J402" s="456"/>
      <c r="K402" s="456"/>
      <c r="L402" s="456"/>
      <c r="M402" s="456"/>
      <c r="N402" s="456"/>
      <c r="O402" s="456"/>
      <c r="P402" s="456"/>
      <c r="Q402" s="456"/>
      <c r="R402" s="456"/>
    </row>
    <row r="403" spans="1:18" ht="9.75" customHeight="1" x14ac:dyDescent="0.25">
      <c r="A403" s="456"/>
      <c r="B403" s="456"/>
      <c r="C403" s="456"/>
      <c r="D403" s="456"/>
      <c r="E403" s="456"/>
      <c r="F403" s="456"/>
      <c r="G403" s="456"/>
      <c r="H403" s="456"/>
      <c r="I403" s="456"/>
      <c r="J403" s="456"/>
      <c r="K403" s="456"/>
      <c r="L403" s="456"/>
      <c r="M403" s="456"/>
      <c r="N403" s="456"/>
      <c r="O403" s="456"/>
      <c r="P403" s="456"/>
      <c r="Q403" s="456"/>
      <c r="R403" s="456"/>
    </row>
    <row r="404" spans="1:18" ht="9.75" customHeight="1" x14ac:dyDescent="0.25">
      <c r="A404" s="456"/>
      <c r="B404" s="456"/>
      <c r="C404" s="456"/>
      <c r="D404" s="456"/>
      <c r="E404" s="456"/>
      <c r="F404" s="456"/>
      <c r="G404" s="456"/>
      <c r="H404" s="456"/>
      <c r="I404" s="456"/>
      <c r="J404" s="456"/>
      <c r="K404" s="456"/>
      <c r="L404" s="456"/>
      <c r="M404" s="456"/>
      <c r="N404" s="456"/>
      <c r="O404" s="456"/>
      <c r="P404" s="456"/>
      <c r="Q404" s="456"/>
      <c r="R404" s="456"/>
    </row>
    <row r="405" spans="1:18" ht="9.75" customHeight="1" x14ac:dyDescent="0.25">
      <c r="A405" s="456"/>
      <c r="B405" s="456"/>
      <c r="C405" s="456"/>
      <c r="D405" s="456"/>
      <c r="E405" s="456"/>
      <c r="F405" s="456"/>
      <c r="G405" s="456"/>
      <c r="H405" s="456"/>
      <c r="I405" s="456"/>
      <c r="J405" s="456"/>
      <c r="K405" s="456"/>
      <c r="L405" s="456"/>
      <c r="M405" s="456"/>
      <c r="N405" s="456"/>
      <c r="O405" s="456"/>
      <c r="P405" s="456"/>
      <c r="Q405" s="456"/>
      <c r="R405" s="456"/>
    </row>
    <row r="406" spans="1:18" ht="9.75" customHeight="1" x14ac:dyDescent="0.25">
      <c r="A406" s="456"/>
      <c r="B406" s="456"/>
      <c r="C406" s="456"/>
      <c r="D406" s="456"/>
      <c r="E406" s="456"/>
      <c r="F406" s="456"/>
      <c r="G406" s="456"/>
      <c r="H406" s="456"/>
      <c r="I406" s="456"/>
      <c r="J406" s="456"/>
      <c r="K406" s="456"/>
      <c r="L406" s="456"/>
      <c r="M406" s="456"/>
      <c r="N406" s="456"/>
      <c r="O406" s="456"/>
      <c r="P406" s="456"/>
      <c r="Q406" s="456"/>
      <c r="R406" s="456"/>
    </row>
    <row r="407" spans="1:18" ht="9.75" customHeight="1" x14ac:dyDescent="0.25">
      <c r="A407" s="456"/>
      <c r="B407" s="456"/>
      <c r="C407" s="456"/>
      <c r="D407" s="456"/>
      <c r="E407" s="456"/>
      <c r="F407" s="456"/>
      <c r="G407" s="456"/>
      <c r="H407" s="456"/>
      <c r="I407" s="456"/>
      <c r="J407" s="456"/>
      <c r="K407" s="456"/>
      <c r="L407" s="456"/>
      <c r="M407" s="456"/>
      <c r="N407" s="456"/>
      <c r="O407" s="456"/>
      <c r="P407" s="456"/>
      <c r="Q407" s="456"/>
      <c r="R407" s="456"/>
    </row>
    <row r="408" spans="1:18" ht="9.75" customHeight="1" x14ac:dyDescent="0.25">
      <c r="A408" s="456"/>
      <c r="B408" s="456"/>
      <c r="C408" s="456"/>
      <c r="D408" s="456"/>
      <c r="E408" s="456"/>
      <c r="F408" s="456"/>
      <c r="G408" s="456"/>
      <c r="H408" s="456"/>
      <c r="I408" s="456"/>
      <c r="J408" s="456"/>
      <c r="K408" s="456"/>
      <c r="L408" s="456"/>
      <c r="M408" s="456"/>
      <c r="N408" s="456"/>
      <c r="O408" s="456"/>
      <c r="P408" s="456"/>
      <c r="Q408" s="456"/>
      <c r="R408" s="456"/>
    </row>
    <row r="409" spans="1:18" ht="9.75" customHeight="1" x14ac:dyDescent="0.25">
      <c r="A409" s="456"/>
      <c r="B409" s="456"/>
      <c r="C409" s="456"/>
      <c r="D409" s="456"/>
      <c r="E409" s="456"/>
      <c r="F409" s="456"/>
      <c r="G409" s="456"/>
      <c r="H409" s="456"/>
      <c r="I409" s="456"/>
      <c r="J409" s="456"/>
      <c r="K409" s="456"/>
      <c r="L409" s="456"/>
      <c r="M409" s="456"/>
      <c r="N409" s="456"/>
      <c r="O409" s="456"/>
      <c r="P409" s="456"/>
      <c r="Q409" s="456"/>
      <c r="R409" s="456"/>
    </row>
    <row r="410" spans="1:18" ht="9.75" customHeight="1" x14ac:dyDescent="0.25">
      <c r="A410" s="456"/>
      <c r="B410" s="456"/>
      <c r="C410" s="456"/>
      <c r="D410" s="456"/>
      <c r="E410" s="456"/>
      <c r="F410" s="456"/>
      <c r="G410" s="456"/>
      <c r="H410" s="456"/>
      <c r="I410" s="456"/>
      <c r="J410" s="456"/>
      <c r="K410" s="456"/>
      <c r="L410" s="456"/>
      <c r="M410" s="456"/>
      <c r="N410" s="456"/>
      <c r="O410" s="456"/>
      <c r="P410" s="456"/>
      <c r="Q410" s="456"/>
      <c r="R410" s="456"/>
    </row>
    <row r="411" spans="1:18" ht="9.75" customHeight="1" x14ac:dyDescent="0.25">
      <c r="A411" s="456"/>
      <c r="B411" s="456"/>
      <c r="C411" s="456"/>
      <c r="D411" s="456"/>
      <c r="E411" s="456"/>
      <c r="F411" s="456"/>
      <c r="G411" s="456"/>
      <c r="H411" s="456"/>
      <c r="I411" s="456"/>
      <c r="J411" s="456"/>
      <c r="K411" s="456"/>
      <c r="L411" s="456"/>
      <c r="M411" s="456"/>
      <c r="N411" s="456"/>
      <c r="O411" s="456"/>
      <c r="P411" s="456"/>
      <c r="Q411" s="456"/>
      <c r="R411" s="456"/>
    </row>
    <row r="412" spans="1:18" ht="9.75" customHeight="1" x14ac:dyDescent="0.25">
      <c r="A412" s="456"/>
      <c r="B412" s="456"/>
      <c r="C412" s="456"/>
      <c r="D412" s="456"/>
      <c r="E412" s="456"/>
      <c r="F412" s="456"/>
      <c r="G412" s="456"/>
      <c r="H412" s="456"/>
      <c r="I412" s="456"/>
      <c r="J412" s="456"/>
      <c r="K412" s="456"/>
      <c r="L412" s="456"/>
      <c r="M412" s="456"/>
      <c r="N412" s="456"/>
      <c r="O412" s="456"/>
      <c r="P412" s="456"/>
      <c r="Q412" s="456"/>
      <c r="R412" s="456"/>
    </row>
    <row r="413" spans="1:18" ht="9.75" customHeight="1" x14ac:dyDescent="0.25">
      <c r="A413" s="456"/>
      <c r="B413" s="456"/>
      <c r="C413" s="456"/>
      <c r="D413" s="456"/>
      <c r="E413" s="456"/>
      <c r="F413" s="456"/>
      <c r="G413" s="456"/>
      <c r="H413" s="456"/>
      <c r="I413" s="456"/>
      <c r="J413" s="456"/>
      <c r="K413" s="456"/>
      <c r="L413" s="456"/>
      <c r="M413" s="456"/>
      <c r="N413" s="456"/>
      <c r="O413" s="456"/>
      <c r="P413" s="456"/>
      <c r="Q413" s="456"/>
      <c r="R413" s="456"/>
    </row>
    <row r="414" spans="1:18" ht="9.75" customHeight="1" x14ac:dyDescent="0.25">
      <c r="A414" s="456"/>
      <c r="B414" s="456"/>
      <c r="C414" s="456"/>
      <c r="D414" s="456"/>
      <c r="E414" s="456"/>
      <c r="F414" s="456"/>
      <c r="G414" s="456"/>
      <c r="H414" s="456"/>
      <c r="I414" s="456"/>
      <c r="J414" s="456"/>
      <c r="K414" s="456"/>
      <c r="L414" s="456"/>
      <c r="M414" s="456"/>
      <c r="N414" s="456"/>
      <c r="O414" s="456"/>
      <c r="P414" s="456"/>
      <c r="Q414" s="456"/>
      <c r="R414" s="456"/>
    </row>
    <row r="415" spans="1:18" ht="9.75" customHeight="1" x14ac:dyDescent="0.25">
      <c r="A415" s="456"/>
      <c r="B415" s="456"/>
      <c r="C415" s="456"/>
      <c r="D415" s="456"/>
      <c r="E415" s="456"/>
      <c r="F415" s="456"/>
      <c r="G415" s="456"/>
      <c r="H415" s="456"/>
      <c r="I415" s="456"/>
      <c r="J415" s="456"/>
      <c r="K415" s="456"/>
      <c r="L415" s="456"/>
      <c r="M415" s="456"/>
      <c r="N415" s="456"/>
      <c r="O415" s="456"/>
      <c r="P415" s="456"/>
      <c r="Q415" s="456"/>
      <c r="R415" s="456"/>
    </row>
    <row r="416" spans="1:18" ht="9.75" customHeight="1" x14ac:dyDescent="0.25">
      <c r="A416" s="456"/>
      <c r="B416" s="456"/>
      <c r="C416" s="456"/>
      <c r="D416" s="456"/>
      <c r="E416" s="456"/>
      <c r="F416" s="456"/>
      <c r="G416" s="456"/>
      <c r="H416" s="456"/>
      <c r="I416" s="456"/>
      <c r="J416" s="456"/>
      <c r="K416" s="456"/>
      <c r="L416" s="456"/>
      <c r="M416" s="456"/>
      <c r="N416" s="456"/>
      <c r="O416" s="456"/>
      <c r="P416" s="456"/>
      <c r="Q416" s="456"/>
      <c r="R416" s="456"/>
    </row>
    <row r="417" spans="1:18" ht="9.75" customHeight="1" x14ac:dyDescent="0.25">
      <c r="A417" s="456"/>
      <c r="B417" s="456"/>
      <c r="C417" s="456"/>
      <c r="D417" s="456"/>
      <c r="E417" s="456"/>
      <c r="F417" s="456"/>
      <c r="G417" s="456"/>
      <c r="H417" s="456"/>
      <c r="I417" s="456"/>
      <c r="J417" s="456"/>
      <c r="K417" s="456"/>
      <c r="L417" s="456"/>
      <c r="M417" s="456"/>
      <c r="N417" s="456"/>
      <c r="O417" s="456"/>
      <c r="P417" s="456"/>
      <c r="Q417" s="456"/>
      <c r="R417" s="456"/>
    </row>
    <row r="418" spans="1:18" ht="9.75" customHeight="1" x14ac:dyDescent="0.25">
      <c r="A418" s="456"/>
      <c r="B418" s="456"/>
      <c r="C418" s="456"/>
      <c r="D418" s="456"/>
      <c r="E418" s="456"/>
      <c r="F418" s="456"/>
      <c r="G418" s="456"/>
      <c r="H418" s="456"/>
      <c r="I418" s="456"/>
      <c r="J418" s="456"/>
      <c r="K418" s="456"/>
      <c r="L418" s="456"/>
      <c r="M418" s="456"/>
      <c r="N418" s="456"/>
      <c r="O418" s="456"/>
      <c r="P418" s="456"/>
      <c r="Q418" s="456"/>
      <c r="R418" s="456"/>
    </row>
    <row r="419" spans="1:18" ht="9.75" customHeight="1" x14ac:dyDescent="0.25">
      <c r="A419" s="456"/>
      <c r="B419" s="456"/>
      <c r="C419" s="456"/>
      <c r="D419" s="456"/>
      <c r="E419" s="456"/>
      <c r="F419" s="456"/>
      <c r="G419" s="456"/>
      <c r="H419" s="456"/>
      <c r="I419" s="456"/>
      <c r="J419" s="456"/>
      <c r="K419" s="456"/>
      <c r="L419" s="456"/>
      <c r="M419" s="456"/>
      <c r="N419" s="456"/>
      <c r="O419" s="456"/>
      <c r="P419" s="456"/>
      <c r="Q419" s="456"/>
      <c r="R419" s="456"/>
    </row>
    <row r="420" spans="1:18" ht="9.75" customHeight="1" x14ac:dyDescent="0.25">
      <c r="A420" s="456"/>
      <c r="B420" s="456"/>
      <c r="C420" s="456"/>
      <c r="D420" s="456"/>
      <c r="E420" s="456"/>
      <c r="F420" s="456"/>
      <c r="G420" s="456"/>
      <c r="H420" s="456"/>
      <c r="I420" s="456"/>
      <c r="J420" s="456"/>
      <c r="K420" s="456"/>
      <c r="L420" s="456"/>
      <c r="M420" s="456"/>
      <c r="N420" s="456"/>
      <c r="O420" s="456"/>
      <c r="P420" s="456"/>
      <c r="Q420" s="456"/>
      <c r="R420" s="456"/>
    </row>
    <row r="421" spans="1:18" ht="9.75" customHeight="1" x14ac:dyDescent="0.25">
      <c r="A421" s="456"/>
      <c r="B421" s="456"/>
      <c r="C421" s="456"/>
      <c r="D421" s="456"/>
      <c r="E421" s="456"/>
      <c r="F421" s="456"/>
      <c r="G421" s="456"/>
      <c r="H421" s="456"/>
      <c r="I421" s="456"/>
      <c r="J421" s="456"/>
      <c r="K421" s="456"/>
      <c r="L421" s="456"/>
      <c r="M421" s="456"/>
      <c r="N421" s="456"/>
      <c r="O421" s="456"/>
      <c r="P421" s="456"/>
      <c r="Q421" s="456"/>
      <c r="R421" s="456"/>
    </row>
    <row r="422" spans="1:18" ht="9.75" customHeight="1" x14ac:dyDescent="0.25">
      <c r="A422" s="456"/>
      <c r="B422" s="456"/>
      <c r="C422" s="456"/>
      <c r="D422" s="456"/>
      <c r="E422" s="456"/>
      <c r="F422" s="456"/>
      <c r="G422" s="456"/>
      <c r="H422" s="456"/>
      <c r="I422" s="456"/>
      <c r="J422" s="456"/>
      <c r="K422" s="456"/>
      <c r="L422" s="456"/>
      <c r="M422" s="456"/>
      <c r="N422" s="456"/>
      <c r="O422" s="456"/>
      <c r="P422" s="456"/>
      <c r="Q422" s="456"/>
      <c r="R422" s="456"/>
    </row>
    <row r="423" spans="1:18" ht="9.75" customHeight="1" x14ac:dyDescent="0.25">
      <c r="A423" s="456"/>
      <c r="B423" s="456"/>
      <c r="C423" s="456"/>
      <c r="D423" s="456"/>
      <c r="E423" s="456"/>
      <c r="F423" s="456"/>
      <c r="G423" s="456"/>
      <c r="H423" s="456"/>
      <c r="I423" s="456"/>
      <c r="J423" s="456"/>
      <c r="K423" s="456"/>
      <c r="L423" s="456"/>
      <c r="M423" s="456"/>
      <c r="N423" s="456"/>
      <c r="O423" s="456"/>
      <c r="P423" s="456"/>
      <c r="Q423" s="456"/>
      <c r="R423" s="456"/>
    </row>
    <row r="424" spans="1:18" ht="9.75" customHeight="1" x14ac:dyDescent="0.25">
      <c r="A424" s="456"/>
      <c r="B424" s="456"/>
      <c r="C424" s="456"/>
      <c r="D424" s="456"/>
      <c r="E424" s="456"/>
      <c r="F424" s="456"/>
      <c r="G424" s="456"/>
      <c r="H424" s="456"/>
      <c r="I424" s="456"/>
      <c r="J424" s="456"/>
      <c r="K424" s="456"/>
      <c r="L424" s="456"/>
      <c r="M424" s="456"/>
      <c r="N424" s="456"/>
      <c r="O424" s="456"/>
      <c r="P424" s="456"/>
      <c r="Q424" s="456"/>
      <c r="R424" s="456"/>
    </row>
    <row r="425" spans="1:18" ht="9.75" customHeight="1" x14ac:dyDescent="0.25">
      <c r="A425" s="456"/>
      <c r="B425" s="456"/>
      <c r="C425" s="456"/>
      <c r="D425" s="456"/>
      <c r="E425" s="456"/>
      <c r="F425" s="456"/>
      <c r="G425" s="456"/>
      <c r="H425" s="456"/>
      <c r="I425" s="456"/>
      <c r="J425" s="456"/>
      <c r="K425" s="456"/>
      <c r="L425" s="456"/>
      <c r="M425" s="456"/>
      <c r="N425" s="456"/>
      <c r="O425" s="456"/>
      <c r="P425" s="456"/>
      <c r="Q425" s="456"/>
      <c r="R425" s="456"/>
    </row>
    <row r="426" spans="1:18" ht="9.75" customHeight="1" x14ac:dyDescent="0.25">
      <c r="A426" s="456"/>
      <c r="B426" s="456"/>
      <c r="C426" s="456"/>
      <c r="D426" s="456"/>
      <c r="E426" s="456"/>
      <c r="F426" s="456"/>
      <c r="G426" s="456"/>
      <c r="H426" s="456"/>
      <c r="I426" s="456"/>
      <c r="J426" s="456"/>
      <c r="K426" s="456"/>
      <c r="L426" s="456"/>
      <c r="M426" s="456"/>
      <c r="N426" s="456"/>
      <c r="O426" s="456"/>
      <c r="P426" s="456"/>
      <c r="Q426" s="456"/>
      <c r="R426" s="456"/>
    </row>
    <row r="427" spans="1:18" ht="9.75" customHeight="1" x14ac:dyDescent="0.25">
      <c r="A427" s="456"/>
      <c r="B427" s="456"/>
      <c r="C427" s="456"/>
      <c r="D427" s="456"/>
      <c r="E427" s="456"/>
      <c r="F427" s="456"/>
      <c r="G427" s="456"/>
      <c r="H427" s="456"/>
      <c r="I427" s="456"/>
      <c r="J427" s="456"/>
      <c r="K427" s="456"/>
      <c r="L427" s="456"/>
      <c r="M427" s="456"/>
      <c r="N427" s="456"/>
      <c r="O427" s="456"/>
      <c r="P427" s="456"/>
      <c r="Q427" s="456"/>
      <c r="R427" s="456"/>
    </row>
    <row r="428" spans="1:18" ht="9.75" customHeight="1" x14ac:dyDescent="0.25">
      <c r="A428" s="456"/>
      <c r="B428" s="456"/>
      <c r="C428" s="456"/>
      <c r="D428" s="456"/>
      <c r="E428" s="456"/>
      <c r="F428" s="456"/>
      <c r="G428" s="456"/>
      <c r="H428" s="456"/>
      <c r="I428" s="456"/>
      <c r="J428" s="456"/>
      <c r="K428" s="456"/>
      <c r="L428" s="456"/>
      <c r="M428" s="456"/>
      <c r="N428" s="456"/>
      <c r="O428" s="456"/>
      <c r="P428" s="456"/>
      <c r="Q428" s="456"/>
      <c r="R428" s="456"/>
    </row>
    <row r="429" spans="1:18" ht="9.75" customHeight="1" x14ac:dyDescent="0.25">
      <c r="A429" s="456"/>
      <c r="B429" s="456"/>
      <c r="C429" s="456"/>
      <c r="D429" s="456"/>
      <c r="E429" s="456"/>
      <c r="F429" s="456"/>
      <c r="G429" s="456"/>
      <c r="H429" s="456"/>
      <c r="I429" s="456"/>
      <c r="J429" s="456"/>
      <c r="K429" s="456"/>
      <c r="L429" s="456"/>
      <c r="M429" s="456"/>
      <c r="N429" s="456"/>
      <c r="O429" s="456"/>
      <c r="P429" s="456"/>
      <c r="Q429" s="456"/>
      <c r="R429" s="456"/>
    </row>
    <row r="430" spans="1:18" ht="9.75" customHeight="1" x14ac:dyDescent="0.25">
      <c r="A430" s="456"/>
      <c r="B430" s="456"/>
      <c r="C430" s="456"/>
      <c r="D430" s="456"/>
      <c r="E430" s="456"/>
      <c r="F430" s="456"/>
      <c r="G430" s="456"/>
      <c r="H430" s="456"/>
      <c r="I430" s="456"/>
      <c r="J430" s="456"/>
      <c r="K430" s="456"/>
      <c r="L430" s="456"/>
      <c r="M430" s="456"/>
      <c r="N430" s="456"/>
      <c r="O430" s="456"/>
      <c r="P430" s="456"/>
      <c r="Q430" s="456"/>
      <c r="R430" s="456"/>
    </row>
    <row r="431" spans="1:18" ht="9.75" customHeight="1" x14ac:dyDescent="0.25">
      <c r="A431" s="456"/>
      <c r="B431" s="456"/>
      <c r="C431" s="456"/>
      <c r="D431" s="456"/>
      <c r="E431" s="456"/>
      <c r="F431" s="456"/>
      <c r="G431" s="456"/>
      <c r="H431" s="456"/>
      <c r="I431" s="456"/>
      <c r="J431" s="456"/>
      <c r="K431" s="456"/>
      <c r="L431" s="456"/>
      <c r="M431" s="456"/>
      <c r="N431" s="456"/>
      <c r="O431" s="456"/>
      <c r="P431" s="456"/>
      <c r="Q431" s="456"/>
      <c r="R431" s="456"/>
    </row>
    <row r="432" spans="1:18" ht="9.75" customHeight="1" x14ac:dyDescent="0.25">
      <c r="A432" s="456"/>
      <c r="B432" s="456"/>
      <c r="C432" s="456"/>
      <c r="D432" s="456"/>
      <c r="E432" s="456"/>
      <c r="F432" s="456"/>
      <c r="G432" s="456"/>
      <c r="H432" s="456"/>
      <c r="I432" s="456"/>
      <c r="J432" s="456"/>
      <c r="K432" s="456"/>
      <c r="L432" s="456"/>
      <c r="M432" s="456"/>
      <c r="N432" s="456"/>
      <c r="O432" s="456"/>
      <c r="P432" s="456"/>
      <c r="Q432" s="456"/>
      <c r="R432" s="456"/>
    </row>
    <row r="433" spans="1:18" ht="9.75" customHeight="1" x14ac:dyDescent="0.25">
      <c r="A433" s="456"/>
      <c r="B433" s="456"/>
      <c r="C433" s="456"/>
      <c r="D433" s="456"/>
      <c r="E433" s="456"/>
      <c r="F433" s="456"/>
      <c r="G433" s="456"/>
      <c r="H433" s="456"/>
      <c r="I433" s="456"/>
      <c r="J433" s="456"/>
      <c r="K433" s="456"/>
      <c r="L433" s="456"/>
      <c r="M433" s="456"/>
      <c r="N433" s="456"/>
      <c r="O433" s="456"/>
      <c r="P433" s="456"/>
      <c r="Q433" s="456"/>
      <c r="R433" s="456"/>
    </row>
    <row r="434" spans="1:18" ht="9.75" customHeight="1" x14ac:dyDescent="0.25">
      <c r="A434" s="456"/>
      <c r="B434" s="456"/>
      <c r="C434" s="456"/>
      <c r="D434" s="456"/>
      <c r="E434" s="456"/>
      <c r="F434" s="456"/>
      <c r="G434" s="456"/>
      <c r="H434" s="456"/>
      <c r="I434" s="456"/>
      <c r="J434" s="456"/>
      <c r="K434" s="456"/>
      <c r="L434" s="456"/>
      <c r="M434" s="456"/>
      <c r="N434" s="456"/>
      <c r="O434" s="456"/>
      <c r="P434" s="456"/>
      <c r="Q434" s="456"/>
      <c r="R434" s="456"/>
    </row>
    <row r="435" spans="1:18" ht="9.75" customHeight="1" x14ac:dyDescent="0.25">
      <c r="A435" s="456"/>
      <c r="B435" s="456"/>
      <c r="C435" s="456"/>
      <c r="D435" s="456"/>
      <c r="E435" s="456"/>
      <c r="F435" s="456"/>
      <c r="G435" s="456"/>
      <c r="H435" s="456"/>
      <c r="I435" s="456"/>
      <c r="J435" s="456"/>
      <c r="K435" s="456"/>
      <c r="L435" s="456"/>
      <c r="M435" s="456"/>
      <c r="N435" s="456"/>
      <c r="O435" s="456"/>
      <c r="P435" s="456"/>
      <c r="Q435" s="456"/>
      <c r="R435" s="456"/>
    </row>
    <row r="436" spans="1:18" ht="9.75" customHeight="1" x14ac:dyDescent="0.25">
      <c r="A436" s="456"/>
      <c r="B436" s="456"/>
      <c r="C436" s="456"/>
      <c r="D436" s="456"/>
      <c r="E436" s="456"/>
      <c r="F436" s="456"/>
      <c r="G436" s="456"/>
      <c r="H436" s="456"/>
      <c r="I436" s="456"/>
      <c r="J436" s="456"/>
      <c r="K436" s="456"/>
      <c r="L436" s="456"/>
      <c r="M436" s="456"/>
      <c r="N436" s="456"/>
      <c r="O436" s="456"/>
      <c r="P436" s="456"/>
      <c r="Q436" s="456"/>
      <c r="R436" s="456"/>
    </row>
    <row r="437" spans="1:18" ht="9.75" customHeight="1" x14ac:dyDescent="0.25">
      <c r="A437" s="456"/>
      <c r="B437" s="456"/>
      <c r="C437" s="456"/>
      <c r="D437" s="456"/>
      <c r="E437" s="456"/>
      <c r="F437" s="456"/>
      <c r="G437" s="456"/>
      <c r="H437" s="456"/>
      <c r="I437" s="456"/>
      <c r="J437" s="456"/>
      <c r="K437" s="456"/>
      <c r="L437" s="456"/>
      <c r="M437" s="456"/>
      <c r="N437" s="456"/>
      <c r="O437" s="456"/>
      <c r="P437" s="456"/>
      <c r="Q437" s="456"/>
      <c r="R437" s="456"/>
    </row>
    <row r="438" spans="1:18" ht="9.75" customHeight="1" x14ac:dyDescent="0.25">
      <c r="A438" s="456"/>
      <c r="B438" s="456"/>
      <c r="C438" s="456"/>
      <c r="D438" s="456"/>
      <c r="E438" s="456"/>
      <c r="F438" s="456"/>
      <c r="G438" s="456"/>
      <c r="H438" s="456"/>
      <c r="I438" s="456"/>
      <c r="J438" s="456"/>
      <c r="K438" s="456"/>
      <c r="L438" s="456"/>
      <c r="M438" s="456"/>
      <c r="N438" s="456"/>
      <c r="O438" s="456"/>
      <c r="P438" s="456"/>
      <c r="Q438" s="456"/>
      <c r="R438" s="456"/>
    </row>
    <row r="439" spans="1:18" ht="9.75" customHeight="1" x14ac:dyDescent="0.25">
      <c r="A439" s="456"/>
      <c r="B439" s="456"/>
      <c r="C439" s="456"/>
      <c r="D439" s="456"/>
      <c r="E439" s="456"/>
      <c r="F439" s="456"/>
      <c r="G439" s="456"/>
      <c r="H439" s="456"/>
      <c r="I439" s="456"/>
      <c r="J439" s="456"/>
      <c r="K439" s="456"/>
      <c r="L439" s="456"/>
      <c r="M439" s="456"/>
      <c r="N439" s="456"/>
      <c r="O439" s="456"/>
      <c r="P439" s="456"/>
      <c r="Q439" s="456"/>
      <c r="R439" s="456"/>
    </row>
    <row r="440" spans="1:18" ht="9.75" customHeight="1" x14ac:dyDescent="0.25">
      <c r="A440" s="456"/>
      <c r="B440" s="456"/>
      <c r="C440" s="456"/>
      <c r="D440" s="456"/>
      <c r="E440" s="456"/>
      <c r="F440" s="456"/>
      <c r="G440" s="456"/>
      <c r="H440" s="456"/>
      <c r="I440" s="456"/>
      <c r="J440" s="456"/>
      <c r="K440" s="456"/>
      <c r="L440" s="456"/>
      <c r="M440" s="456"/>
      <c r="N440" s="456"/>
      <c r="O440" s="456"/>
      <c r="P440" s="456"/>
      <c r="Q440" s="456"/>
      <c r="R440" s="456"/>
    </row>
    <row r="441" spans="1:18" ht="9.75" customHeight="1" x14ac:dyDescent="0.25">
      <c r="A441" s="456"/>
      <c r="B441" s="456"/>
      <c r="C441" s="456"/>
      <c r="D441" s="456"/>
      <c r="E441" s="456"/>
      <c r="F441" s="456"/>
      <c r="G441" s="456"/>
      <c r="H441" s="456"/>
      <c r="I441" s="456"/>
      <c r="J441" s="456"/>
      <c r="K441" s="456"/>
      <c r="L441" s="456"/>
      <c r="M441" s="456"/>
      <c r="N441" s="456"/>
      <c r="O441" s="456"/>
      <c r="P441" s="456"/>
      <c r="Q441" s="456"/>
      <c r="R441" s="456"/>
    </row>
    <row r="442" spans="1:18" ht="9.75" customHeight="1" x14ac:dyDescent="0.25">
      <c r="A442" s="456"/>
      <c r="B442" s="456"/>
      <c r="C442" s="456"/>
      <c r="D442" s="456"/>
      <c r="E442" s="456"/>
      <c r="F442" s="456"/>
      <c r="G442" s="456"/>
      <c r="H442" s="456"/>
      <c r="I442" s="456"/>
      <c r="J442" s="456"/>
      <c r="K442" s="456"/>
      <c r="L442" s="456"/>
      <c r="M442" s="456"/>
      <c r="N442" s="456"/>
      <c r="O442" s="456"/>
      <c r="P442" s="456"/>
      <c r="Q442" s="456"/>
      <c r="R442" s="456"/>
    </row>
    <row r="443" spans="1:18" ht="9.75" customHeight="1" x14ac:dyDescent="0.25">
      <c r="A443" s="456"/>
      <c r="B443" s="456"/>
      <c r="C443" s="456"/>
      <c r="D443" s="456"/>
      <c r="E443" s="456"/>
      <c r="F443" s="456"/>
      <c r="G443" s="456"/>
      <c r="H443" s="456"/>
      <c r="I443" s="456"/>
      <c r="J443" s="456"/>
      <c r="K443" s="456"/>
      <c r="L443" s="456"/>
      <c r="M443" s="456"/>
      <c r="N443" s="456"/>
      <c r="O443" s="456"/>
      <c r="P443" s="456"/>
      <c r="Q443" s="456"/>
      <c r="R443" s="456"/>
    </row>
    <row r="444" spans="1:18" ht="9.75" customHeight="1" x14ac:dyDescent="0.25">
      <c r="A444" s="456"/>
      <c r="B444" s="456"/>
      <c r="C444" s="456"/>
      <c r="D444" s="456"/>
      <c r="E444" s="456"/>
      <c r="F444" s="456"/>
      <c r="G444" s="456"/>
      <c r="H444" s="456"/>
      <c r="I444" s="456"/>
      <c r="J444" s="456"/>
      <c r="K444" s="456"/>
      <c r="L444" s="456"/>
      <c r="M444" s="456"/>
      <c r="N444" s="456"/>
      <c r="O444" s="456"/>
      <c r="P444" s="456"/>
      <c r="Q444" s="456"/>
      <c r="R444" s="456"/>
    </row>
    <row r="445" spans="1:18" ht="9.75" customHeight="1" x14ac:dyDescent="0.25">
      <c r="A445" s="456"/>
      <c r="B445" s="456"/>
      <c r="C445" s="456"/>
      <c r="D445" s="456"/>
      <c r="E445" s="456"/>
      <c r="F445" s="456"/>
      <c r="G445" s="456"/>
      <c r="H445" s="456"/>
      <c r="I445" s="456"/>
      <c r="J445" s="456"/>
      <c r="K445" s="456"/>
      <c r="L445" s="456"/>
      <c r="M445" s="456"/>
      <c r="N445" s="456"/>
      <c r="O445" s="456"/>
      <c r="P445" s="456"/>
      <c r="Q445" s="456"/>
      <c r="R445" s="456"/>
    </row>
    <row r="446" spans="1:18" ht="9.75" customHeight="1" x14ac:dyDescent="0.25">
      <c r="A446" s="456"/>
      <c r="B446" s="456"/>
      <c r="C446" s="456"/>
      <c r="D446" s="456"/>
      <c r="E446" s="456"/>
      <c r="F446" s="456"/>
      <c r="G446" s="456"/>
      <c r="H446" s="456"/>
      <c r="I446" s="456"/>
      <c r="J446" s="456"/>
      <c r="K446" s="456"/>
      <c r="L446" s="456"/>
      <c r="M446" s="456"/>
      <c r="N446" s="456"/>
      <c r="O446" s="456"/>
      <c r="P446" s="456"/>
      <c r="Q446" s="456"/>
      <c r="R446" s="456"/>
    </row>
    <row r="447" spans="1:18" ht="9.75" customHeight="1" x14ac:dyDescent="0.25">
      <c r="A447" s="456"/>
      <c r="B447" s="456"/>
      <c r="C447" s="456"/>
      <c r="D447" s="456"/>
      <c r="E447" s="456"/>
      <c r="F447" s="456"/>
      <c r="G447" s="456"/>
      <c r="H447" s="456"/>
      <c r="I447" s="456"/>
      <c r="J447" s="456"/>
      <c r="K447" s="456"/>
      <c r="L447" s="456"/>
      <c r="M447" s="456"/>
      <c r="N447" s="456"/>
      <c r="O447" s="456"/>
      <c r="P447" s="456"/>
      <c r="Q447" s="456"/>
      <c r="R447" s="456"/>
    </row>
    <row r="448" spans="1:18" ht="9.75" customHeight="1" x14ac:dyDescent="0.25">
      <c r="A448" s="456"/>
      <c r="B448" s="456"/>
      <c r="C448" s="456"/>
      <c r="D448" s="456"/>
      <c r="E448" s="456"/>
      <c r="F448" s="456"/>
      <c r="G448" s="456"/>
      <c r="H448" s="456"/>
      <c r="I448" s="456"/>
      <c r="J448" s="456"/>
      <c r="K448" s="456"/>
      <c r="L448" s="456"/>
      <c r="M448" s="456"/>
      <c r="N448" s="456"/>
      <c r="O448" s="456"/>
      <c r="P448" s="456"/>
      <c r="Q448" s="456"/>
      <c r="R448" s="456"/>
    </row>
    <row r="449" spans="1:18" ht="9.75" customHeight="1" x14ac:dyDescent="0.25">
      <c r="A449" s="456"/>
      <c r="B449" s="456"/>
      <c r="C449" s="456"/>
      <c r="D449" s="456"/>
      <c r="E449" s="456"/>
      <c r="F449" s="456"/>
      <c r="G449" s="456"/>
      <c r="H449" s="456"/>
      <c r="I449" s="456"/>
      <c r="J449" s="456"/>
      <c r="K449" s="456"/>
      <c r="L449" s="456"/>
      <c r="M449" s="456"/>
      <c r="N449" s="456"/>
      <c r="O449" s="456"/>
      <c r="P449" s="456"/>
      <c r="Q449" s="456"/>
      <c r="R449" s="456"/>
    </row>
    <row r="450" spans="1:18" ht="9.75" customHeight="1" x14ac:dyDescent="0.25">
      <c r="A450" s="456"/>
      <c r="B450" s="456"/>
      <c r="C450" s="456"/>
      <c r="D450" s="456"/>
      <c r="E450" s="456"/>
      <c r="F450" s="456"/>
      <c r="G450" s="456"/>
      <c r="H450" s="456"/>
      <c r="I450" s="456"/>
      <c r="J450" s="456"/>
      <c r="K450" s="456"/>
      <c r="L450" s="456"/>
      <c r="M450" s="456"/>
      <c r="N450" s="456"/>
      <c r="O450" s="456"/>
      <c r="P450" s="456"/>
      <c r="Q450" s="456"/>
      <c r="R450" s="456"/>
    </row>
    <row r="451" spans="1:18" ht="9.75" customHeight="1" x14ac:dyDescent="0.25">
      <c r="A451" s="456"/>
      <c r="B451" s="456"/>
      <c r="C451" s="456"/>
      <c r="D451" s="456"/>
      <c r="E451" s="456"/>
      <c r="F451" s="456"/>
      <c r="G451" s="456"/>
      <c r="H451" s="456"/>
      <c r="I451" s="456"/>
      <c r="J451" s="456"/>
      <c r="K451" s="456"/>
      <c r="L451" s="456"/>
      <c r="M451" s="456"/>
      <c r="N451" s="456"/>
      <c r="O451" s="456"/>
      <c r="P451" s="456"/>
      <c r="Q451" s="456"/>
      <c r="R451" s="456"/>
    </row>
    <row r="452" spans="1:18" ht="9.75" customHeight="1" x14ac:dyDescent="0.25">
      <c r="A452" s="456"/>
      <c r="B452" s="456"/>
      <c r="C452" s="456"/>
      <c r="D452" s="456"/>
      <c r="E452" s="456"/>
      <c r="F452" s="456"/>
      <c r="G452" s="456"/>
      <c r="H452" s="456"/>
      <c r="I452" s="456"/>
      <c r="J452" s="456"/>
      <c r="K452" s="456"/>
      <c r="L452" s="456"/>
      <c r="M452" s="456"/>
      <c r="N452" s="456"/>
      <c r="O452" s="456"/>
      <c r="P452" s="456"/>
      <c r="Q452" s="456"/>
      <c r="R452" s="456"/>
    </row>
    <row r="453" spans="1:18" ht="9.75" customHeight="1" x14ac:dyDescent="0.25">
      <c r="A453" s="456"/>
      <c r="B453" s="456"/>
      <c r="C453" s="456"/>
      <c r="D453" s="456"/>
      <c r="E453" s="456"/>
      <c r="F453" s="456"/>
      <c r="G453" s="456"/>
      <c r="H453" s="456"/>
      <c r="I453" s="456"/>
      <c r="J453" s="456"/>
      <c r="K453" s="456"/>
      <c r="L453" s="456"/>
      <c r="M453" s="456"/>
      <c r="N453" s="456"/>
      <c r="O453" s="456"/>
      <c r="P453" s="456"/>
      <c r="Q453" s="456"/>
      <c r="R453" s="456"/>
    </row>
    <row r="454" spans="1:18" ht="9.75" customHeight="1" x14ac:dyDescent="0.25">
      <c r="A454" s="456"/>
      <c r="B454" s="456"/>
      <c r="C454" s="456"/>
      <c r="D454" s="456"/>
      <c r="E454" s="456"/>
      <c r="F454" s="456"/>
      <c r="G454" s="456"/>
      <c r="H454" s="456"/>
      <c r="I454" s="456"/>
      <c r="J454" s="456"/>
      <c r="K454" s="456"/>
      <c r="L454" s="456"/>
      <c r="M454" s="456"/>
      <c r="N454" s="456"/>
      <c r="O454" s="456"/>
      <c r="P454" s="456"/>
      <c r="Q454" s="456"/>
      <c r="R454" s="456"/>
    </row>
    <row r="455" spans="1:18" ht="9.75" customHeight="1" x14ac:dyDescent="0.25">
      <c r="A455" s="456"/>
      <c r="B455" s="456"/>
      <c r="C455" s="456"/>
      <c r="D455" s="456"/>
      <c r="E455" s="456"/>
      <c r="F455" s="456"/>
      <c r="G455" s="456"/>
      <c r="H455" s="456"/>
      <c r="I455" s="456"/>
      <c r="J455" s="456"/>
      <c r="K455" s="456"/>
      <c r="L455" s="456"/>
      <c r="M455" s="456"/>
      <c r="N455" s="456"/>
      <c r="O455" s="456"/>
      <c r="P455" s="456"/>
      <c r="Q455" s="456"/>
      <c r="R455" s="456"/>
    </row>
    <row r="456" spans="1:18" ht="9.75" customHeight="1" x14ac:dyDescent="0.25">
      <c r="A456" s="456"/>
      <c r="B456" s="456"/>
      <c r="C456" s="456"/>
      <c r="D456" s="456"/>
      <c r="E456" s="456"/>
      <c r="F456" s="456"/>
      <c r="G456" s="456"/>
      <c r="H456" s="456"/>
      <c r="I456" s="456"/>
      <c r="J456" s="456"/>
      <c r="K456" s="456"/>
      <c r="L456" s="456"/>
      <c r="M456" s="456"/>
      <c r="N456" s="456"/>
      <c r="O456" s="456"/>
      <c r="P456" s="456"/>
      <c r="Q456" s="456"/>
      <c r="R456" s="456"/>
    </row>
    <row r="457" spans="1:18" ht="9.75" customHeight="1" x14ac:dyDescent="0.25">
      <c r="A457" s="456"/>
      <c r="B457" s="456"/>
      <c r="C457" s="456"/>
      <c r="D457" s="456"/>
      <c r="E457" s="456"/>
      <c r="F457" s="456"/>
      <c r="G457" s="456"/>
      <c r="H457" s="456"/>
      <c r="I457" s="456"/>
      <c r="J457" s="456"/>
      <c r="K457" s="456"/>
      <c r="L457" s="456"/>
      <c r="M457" s="456"/>
      <c r="N457" s="456"/>
      <c r="O457" s="456"/>
      <c r="P457" s="456"/>
      <c r="Q457" s="456"/>
      <c r="R457" s="456"/>
    </row>
    <row r="458" spans="1:18" ht="9.75" customHeight="1" x14ac:dyDescent="0.25">
      <c r="A458" s="456"/>
      <c r="B458" s="456"/>
      <c r="C458" s="456"/>
      <c r="D458" s="456"/>
      <c r="E458" s="456"/>
      <c r="F458" s="456"/>
      <c r="G458" s="456"/>
      <c r="H458" s="456"/>
      <c r="I458" s="456"/>
      <c r="J458" s="456"/>
      <c r="K458" s="456"/>
      <c r="L458" s="456"/>
      <c r="M458" s="456"/>
      <c r="N458" s="456"/>
      <c r="O458" s="456"/>
      <c r="P458" s="456"/>
      <c r="Q458" s="456"/>
      <c r="R458" s="456"/>
    </row>
    <row r="459" spans="1:18" ht="9.75" customHeight="1" x14ac:dyDescent="0.25">
      <c r="A459" s="456"/>
      <c r="B459" s="456"/>
      <c r="C459" s="456"/>
      <c r="D459" s="456"/>
      <c r="E459" s="456"/>
      <c r="F459" s="456"/>
      <c r="G459" s="456"/>
      <c r="H459" s="456"/>
      <c r="I459" s="456"/>
      <c r="J459" s="456"/>
      <c r="K459" s="456"/>
      <c r="L459" s="456"/>
      <c r="M459" s="456"/>
      <c r="N459" s="456"/>
      <c r="O459" s="456"/>
      <c r="P459" s="456"/>
      <c r="Q459" s="456"/>
      <c r="R459" s="456"/>
    </row>
    <row r="460" spans="1:18" ht="9.75" customHeight="1" x14ac:dyDescent="0.25">
      <c r="A460" s="456"/>
      <c r="B460" s="456"/>
      <c r="C460" s="456"/>
      <c r="D460" s="456"/>
      <c r="E460" s="456"/>
      <c r="F460" s="456"/>
      <c r="G460" s="456"/>
      <c r="H460" s="456"/>
      <c r="I460" s="456"/>
      <c r="J460" s="456"/>
      <c r="K460" s="456"/>
      <c r="L460" s="456"/>
      <c r="M460" s="456"/>
      <c r="N460" s="456"/>
      <c r="O460" s="456"/>
      <c r="P460" s="456"/>
      <c r="Q460" s="456"/>
      <c r="R460" s="456"/>
    </row>
    <row r="461" spans="1:18" ht="9.75" customHeight="1" x14ac:dyDescent="0.25">
      <c r="A461" s="456"/>
      <c r="B461" s="456"/>
      <c r="C461" s="456"/>
      <c r="D461" s="456"/>
      <c r="E461" s="456"/>
      <c r="F461" s="456"/>
      <c r="G461" s="456"/>
      <c r="H461" s="456"/>
      <c r="I461" s="456"/>
      <c r="J461" s="456"/>
      <c r="K461" s="456"/>
      <c r="L461" s="456"/>
      <c r="M461" s="456"/>
      <c r="N461" s="456"/>
      <c r="O461" s="456"/>
      <c r="P461" s="456"/>
      <c r="Q461" s="456"/>
      <c r="R461" s="456"/>
    </row>
    <row r="462" spans="1:18" ht="9.75" customHeight="1" x14ac:dyDescent="0.25">
      <c r="A462" s="456"/>
      <c r="B462" s="456"/>
      <c r="C462" s="456"/>
      <c r="D462" s="456"/>
      <c r="E462" s="456"/>
      <c r="F462" s="456"/>
      <c r="G462" s="456"/>
      <c r="H462" s="456"/>
      <c r="I462" s="456"/>
      <c r="J462" s="456"/>
      <c r="K462" s="456"/>
      <c r="L462" s="456"/>
      <c r="M462" s="456"/>
      <c r="N462" s="456"/>
      <c r="O462" s="456"/>
      <c r="P462" s="456"/>
      <c r="Q462" s="456"/>
      <c r="R462" s="456"/>
    </row>
    <row r="463" spans="1:18" ht="9.75" customHeight="1" x14ac:dyDescent="0.25">
      <c r="A463" s="456"/>
      <c r="B463" s="456"/>
      <c r="C463" s="456"/>
      <c r="D463" s="456"/>
      <c r="E463" s="456"/>
      <c r="F463" s="456"/>
      <c r="G463" s="456"/>
      <c r="H463" s="456"/>
      <c r="I463" s="456"/>
      <c r="J463" s="456"/>
      <c r="K463" s="456"/>
      <c r="L463" s="456"/>
      <c r="M463" s="456"/>
      <c r="N463" s="456"/>
      <c r="O463" s="456"/>
      <c r="P463" s="456"/>
      <c r="Q463" s="456"/>
      <c r="R463" s="456"/>
    </row>
    <row r="464" spans="1:18" ht="9.75" customHeight="1" x14ac:dyDescent="0.25">
      <c r="A464" s="456"/>
      <c r="B464" s="456"/>
      <c r="C464" s="456"/>
      <c r="D464" s="456"/>
      <c r="E464" s="456"/>
      <c r="F464" s="456"/>
      <c r="G464" s="456"/>
      <c r="H464" s="456"/>
      <c r="I464" s="456"/>
      <c r="J464" s="456"/>
      <c r="K464" s="456"/>
      <c r="L464" s="456"/>
      <c r="M464" s="456"/>
      <c r="N464" s="456"/>
      <c r="O464" s="456"/>
      <c r="P464" s="456"/>
      <c r="Q464" s="456"/>
      <c r="R464" s="456"/>
    </row>
    <row r="465" spans="1:18" ht="9.75" customHeight="1" x14ac:dyDescent="0.25">
      <c r="A465" s="456"/>
      <c r="B465" s="456"/>
      <c r="C465" s="456"/>
      <c r="D465" s="456"/>
      <c r="E465" s="456"/>
      <c r="F465" s="456"/>
      <c r="G465" s="456"/>
      <c r="H465" s="456"/>
      <c r="I465" s="456"/>
      <c r="J465" s="456"/>
      <c r="K465" s="456"/>
      <c r="L465" s="456"/>
      <c r="M465" s="456"/>
      <c r="N465" s="456"/>
      <c r="O465" s="456"/>
      <c r="P465" s="456"/>
      <c r="Q465" s="456"/>
      <c r="R465" s="456"/>
    </row>
    <row r="466" spans="1:18" ht="9.75" customHeight="1" x14ac:dyDescent="0.25">
      <c r="A466" s="456"/>
      <c r="B466" s="456"/>
      <c r="C466" s="456"/>
      <c r="D466" s="456"/>
      <c r="E466" s="456"/>
      <c r="F466" s="456"/>
      <c r="G466" s="456"/>
      <c r="H466" s="456"/>
      <c r="I466" s="456"/>
      <c r="J466" s="456"/>
      <c r="K466" s="456"/>
      <c r="L466" s="456"/>
      <c r="M466" s="456"/>
      <c r="N466" s="456"/>
      <c r="O466" s="456"/>
      <c r="P466" s="456"/>
      <c r="Q466" s="456"/>
      <c r="R466" s="456"/>
    </row>
    <row r="467" spans="1:18" ht="9.75" customHeight="1" x14ac:dyDescent="0.25">
      <c r="A467" s="456"/>
      <c r="B467" s="456"/>
      <c r="C467" s="456"/>
      <c r="D467" s="456"/>
      <c r="E467" s="456"/>
      <c r="F467" s="456"/>
      <c r="G467" s="456"/>
      <c r="H467" s="456"/>
      <c r="I467" s="456"/>
      <c r="J467" s="456"/>
      <c r="K467" s="456"/>
      <c r="L467" s="456"/>
      <c r="M467" s="456"/>
      <c r="N467" s="456"/>
      <c r="O467" s="456"/>
      <c r="P467" s="456"/>
      <c r="Q467" s="456"/>
      <c r="R467" s="456"/>
    </row>
    <row r="468" spans="1:18" ht="9.75" customHeight="1" x14ac:dyDescent="0.25">
      <c r="A468" s="456"/>
      <c r="B468" s="456"/>
      <c r="C468" s="456"/>
      <c r="D468" s="456"/>
      <c r="E468" s="456"/>
      <c r="F468" s="456"/>
      <c r="G468" s="456"/>
      <c r="H468" s="456"/>
      <c r="I468" s="456"/>
      <c r="J468" s="456"/>
      <c r="K468" s="456"/>
      <c r="L468" s="456"/>
      <c r="M468" s="456"/>
      <c r="N468" s="456"/>
      <c r="O468" s="456"/>
      <c r="P468" s="456"/>
      <c r="Q468" s="456"/>
      <c r="R468" s="456"/>
    </row>
    <row r="469" spans="1:18" ht="9.75" customHeight="1" x14ac:dyDescent="0.25">
      <c r="A469" s="456"/>
      <c r="B469" s="456"/>
      <c r="C469" s="456"/>
      <c r="D469" s="456"/>
      <c r="E469" s="456"/>
      <c r="F469" s="456"/>
      <c r="G469" s="456"/>
      <c r="H469" s="456"/>
      <c r="I469" s="456"/>
      <c r="J469" s="456"/>
      <c r="K469" s="456"/>
      <c r="L469" s="456"/>
      <c r="M469" s="456"/>
      <c r="N469" s="456"/>
      <c r="O469" s="456"/>
      <c r="P469" s="456"/>
      <c r="Q469" s="456"/>
      <c r="R469" s="456"/>
    </row>
    <row r="470" spans="1:18" ht="9.75" customHeight="1" x14ac:dyDescent="0.25">
      <c r="A470" s="456"/>
      <c r="B470" s="456"/>
      <c r="C470" s="456"/>
      <c r="D470" s="456"/>
      <c r="E470" s="456"/>
      <c r="F470" s="456"/>
      <c r="G470" s="456"/>
      <c r="H470" s="456"/>
      <c r="I470" s="456"/>
      <c r="J470" s="456"/>
      <c r="K470" s="456"/>
      <c r="L470" s="456"/>
      <c r="M470" s="456"/>
      <c r="N470" s="456"/>
      <c r="O470" s="456"/>
      <c r="P470" s="456"/>
      <c r="Q470" s="456"/>
      <c r="R470" s="456"/>
    </row>
    <row r="471" spans="1:18" ht="9.75" customHeight="1" x14ac:dyDescent="0.25">
      <c r="A471" s="456"/>
      <c r="B471" s="456"/>
      <c r="C471" s="456"/>
      <c r="D471" s="456"/>
      <c r="E471" s="456"/>
      <c r="F471" s="456"/>
      <c r="G471" s="456"/>
      <c r="H471" s="456"/>
      <c r="I471" s="456"/>
      <c r="J471" s="456"/>
      <c r="K471" s="456"/>
      <c r="L471" s="456"/>
      <c r="M471" s="456"/>
      <c r="N471" s="456"/>
      <c r="O471" s="456"/>
      <c r="P471" s="456"/>
      <c r="Q471" s="456"/>
      <c r="R471" s="456"/>
    </row>
    <row r="472" spans="1:18" ht="9.75" customHeight="1" x14ac:dyDescent="0.25">
      <c r="A472" s="456"/>
      <c r="B472" s="456"/>
      <c r="C472" s="456"/>
      <c r="D472" s="456"/>
      <c r="E472" s="456"/>
      <c r="F472" s="456"/>
      <c r="G472" s="456"/>
      <c r="H472" s="456"/>
      <c r="I472" s="456"/>
      <c r="J472" s="456"/>
      <c r="K472" s="456"/>
      <c r="L472" s="456"/>
      <c r="M472" s="456"/>
      <c r="N472" s="456"/>
      <c r="O472" s="456"/>
      <c r="P472" s="456"/>
      <c r="Q472" s="456"/>
      <c r="R472" s="456"/>
    </row>
    <row r="473" spans="1:18" ht="9.75" customHeight="1" x14ac:dyDescent="0.25">
      <c r="A473" s="456"/>
      <c r="B473" s="456"/>
      <c r="C473" s="456"/>
      <c r="D473" s="456"/>
      <c r="E473" s="456"/>
      <c r="F473" s="456"/>
      <c r="G473" s="456"/>
      <c r="H473" s="456"/>
      <c r="I473" s="456"/>
      <c r="J473" s="456"/>
      <c r="K473" s="456"/>
      <c r="L473" s="456"/>
      <c r="M473" s="456"/>
      <c r="N473" s="456"/>
      <c r="O473" s="456"/>
      <c r="P473" s="456"/>
      <c r="Q473" s="456"/>
      <c r="R473" s="456"/>
    </row>
    <row r="474" spans="1:18" ht="9.75" customHeight="1" x14ac:dyDescent="0.25">
      <c r="A474" s="456"/>
      <c r="B474" s="456"/>
      <c r="C474" s="456"/>
      <c r="D474" s="456"/>
      <c r="E474" s="456"/>
      <c r="F474" s="456"/>
      <c r="G474" s="456"/>
      <c r="H474" s="456"/>
      <c r="I474" s="456"/>
      <c r="J474" s="456"/>
      <c r="K474" s="456"/>
      <c r="L474" s="456"/>
      <c r="M474" s="456"/>
      <c r="N474" s="456"/>
      <c r="O474" s="456"/>
      <c r="P474" s="456"/>
      <c r="Q474" s="456"/>
      <c r="R474" s="456"/>
    </row>
    <row r="475" spans="1:18" ht="9.75" customHeight="1" x14ac:dyDescent="0.25">
      <c r="A475" s="456"/>
      <c r="B475" s="456"/>
      <c r="C475" s="456"/>
      <c r="D475" s="456"/>
      <c r="E475" s="456"/>
      <c r="F475" s="456"/>
      <c r="G475" s="456"/>
      <c r="H475" s="456"/>
      <c r="I475" s="456"/>
      <c r="J475" s="456"/>
      <c r="K475" s="456"/>
      <c r="L475" s="456"/>
      <c r="M475" s="456"/>
      <c r="N475" s="456"/>
      <c r="O475" s="456"/>
      <c r="P475" s="456"/>
      <c r="Q475" s="456"/>
      <c r="R475" s="456"/>
    </row>
    <row r="476" spans="1:18" ht="9.75" customHeight="1" x14ac:dyDescent="0.25">
      <c r="A476" s="456"/>
      <c r="B476" s="456"/>
      <c r="C476" s="456"/>
      <c r="D476" s="456"/>
      <c r="E476" s="456"/>
      <c r="F476" s="456"/>
      <c r="G476" s="456"/>
      <c r="H476" s="456"/>
      <c r="I476" s="456"/>
      <c r="J476" s="456"/>
      <c r="K476" s="456"/>
      <c r="L476" s="456"/>
      <c r="M476" s="456"/>
      <c r="N476" s="456"/>
      <c r="O476" s="456"/>
      <c r="P476" s="456"/>
      <c r="Q476" s="456"/>
      <c r="R476" s="456"/>
    </row>
    <row r="477" spans="1:18" ht="9.75" customHeight="1" x14ac:dyDescent="0.25">
      <c r="A477" s="456"/>
      <c r="B477" s="456"/>
      <c r="C477" s="456"/>
      <c r="D477" s="456"/>
      <c r="E477" s="456"/>
      <c r="F477" s="456"/>
      <c r="G477" s="456"/>
      <c r="H477" s="456"/>
      <c r="I477" s="456"/>
      <c r="J477" s="456"/>
      <c r="K477" s="456"/>
      <c r="L477" s="456"/>
      <c r="M477" s="456"/>
      <c r="N477" s="456"/>
      <c r="O477" s="456"/>
      <c r="P477" s="456"/>
      <c r="Q477" s="456"/>
      <c r="R477" s="456"/>
    </row>
    <row r="478" spans="1:18" ht="9.75" customHeight="1" x14ac:dyDescent="0.25">
      <c r="A478" s="456"/>
      <c r="B478" s="456"/>
      <c r="C478" s="456"/>
      <c r="D478" s="456"/>
      <c r="E478" s="456"/>
      <c r="F478" s="456"/>
      <c r="G478" s="456"/>
      <c r="H478" s="456"/>
      <c r="I478" s="456"/>
      <c r="J478" s="456"/>
      <c r="K478" s="456"/>
      <c r="L478" s="456"/>
      <c r="M478" s="456"/>
      <c r="N478" s="456"/>
      <c r="O478" s="456"/>
      <c r="P478" s="456"/>
      <c r="Q478" s="456"/>
      <c r="R478" s="456"/>
    </row>
    <row r="479" spans="1:18" ht="9.75" customHeight="1" x14ac:dyDescent="0.25">
      <c r="A479" s="456"/>
      <c r="B479" s="456"/>
      <c r="C479" s="456"/>
      <c r="D479" s="456"/>
      <c r="E479" s="456"/>
      <c r="F479" s="456"/>
      <c r="G479" s="456"/>
      <c r="H479" s="456"/>
      <c r="I479" s="456"/>
      <c r="J479" s="456"/>
      <c r="K479" s="456"/>
      <c r="L479" s="456"/>
      <c r="M479" s="456"/>
      <c r="N479" s="456"/>
      <c r="O479" s="456"/>
      <c r="P479" s="456"/>
      <c r="Q479" s="456"/>
      <c r="R479" s="456"/>
    </row>
    <row r="480" spans="1:18" ht="9.75" customHeight="1" x14ac:dyDescent="0.25">
      <c r="A480" s="456"/>
      <c r="B480" s="456"/>
      <c r="C480" s="456"/>
      <c r="D480" s="456"/>
      <c r="E480" s="456"/>
      <c r="F480" s="456"/>
      <c r="G480" s="456"/>
      <c r="H480" s="456"/>
      <c r="I480" s="456"/>
      <c r="J480" s="456"/>
      <c r="K480" s="456"/>
      <c r="L480" s="456"/>
      <c r="M480" s="456"/>
      <c r="N480" s="456"/>
      <c r="O480" s="456"/>
      <c r="P480" s="456"/>
      <c r="Q480" s="456"/>
      <c r="R480" s="456"/>
    </row>
    <row r="481" spans="1:18" ht="9.75" customHeight="1" x14ac:dyDescent="0.25">
      <c r="A481" s="456"/>
      <c r="B481" s="456"/>
      <c r="C481" s="456"/>
      <c r="D481" s="456"/>
      <c r="E481" s="456"/>
      <c r="F481" s="456"/>
      <c r="G481" s="456"/>
      <c r="H481" s="456"/>
      <c r="I481" s="456"/>
      <c r="J481" s="456"/>
      <c r="K481" s="456"/>
      <c r="L481" s="456"/>
      <c r="M481" s="456"/>
      <c r="N481" s="456"/>
      <c r="O481" s="456"/>
      <c r="P481" s="456"/>
      <c r="Q481" s="456"/>
      <c r="R481" s="456"/>
    </row>
    <row r="482" spans="1:18" ht="9.75" customHeight="1" x14ac:dyDescent="0.25">
      <c r="A482" s="456"/>
      <c r="B482" s="456"/>
      <c r="C482" s="456"/>
      <c r="D482" s="456"/>
      <c r="E482" s="456"/>
      <c r="F482" s="456"/>
      <c r="G482" s="456"/>
      <c r="H482" s="456"/>
      <c r="I482" s="456"/>
      <c r="J482" s="456"/>
      <c r="K482" s="456"/>
      <c r="L482" s="456"/>
      <c r="M482" s="456"/>
      <c r="N482" s="456"/>
      <c r="O482" s="456"/>
      <c r="P482" s="456"/>
      <c r="Q482" s="456"/>
      <c r="R482" s="456"/>
    </row>
    <row r="483" spans="1:18" ht="9.75" customHeight="1" x14ac:dyDescent="0.25">
      <c r="A483" s="456"/>
      <c r="B483" s="456"/>
      <c r="C483" s="456"/>
      <c r="D483" s="456"/>
      <c r="E483" s="456"/>
      <c r="F483" s="456"/>
      <c r="G483" s="456"/>
      <c r="H483" s="456"/>
      <c r="I483" s="456"/>
      <c r="J483" s="456"/>
      <c r="K483" s="456"/>
      <c r="L483" s="456"/>
      <c r="M483" s="456"/>
      <c r="N483" s="456"/>
      <c r="O483" s="456"/>
      <c r="P483" s="456"/>
      <c r="Q483" s="456"/>
      <c r="R483" s="456"/>
    </row>
    <row r="484" spans="1:18" ht="9.75" customHeight="1" x14ac:dyDescent="0.25">
      <c r="A484" s="456"/>
      <c r="B484" s="456"/>
      <c r="C484" s="456"/>
      <c r="D484" s="456"/>
      <c r="E484" s="456"/>
      <c r="F484" s="456"/>
      <c r="G484" s="456"/>
      <c r="H484" s="456"/>
      <c r="I484" s="456"/>
      <c r="J484" s="456"/>
      <c r="K484" s="456"/>
      <c r="L484" s="456"/>
      <c r="M484" s="456"/>
      <c r="N484" s="456"/>
      <c r="O484" s="456"/>
      <c r="P484" s="456"/>
      <c r="Q484" s="456"/>
      <c r="R484" s="456"/>
    </row>
    <row r="485" spans="1:18" ht="9.75" customHeight="1" x14ac:dyDescent="0.25">
      <c r="A485" s="456"/>
      <c r="B485" s="456"/>
      <c r="C485" s="456"/>
      <c r="D485" s="456"/>
      <c r="E485" s="456"/>
      <c r="F485" s="456"/>
      <c r="G485" s="456"/>
      <c r="H485" s="456"/>
      <c r="I485" s="456"/>
      <c r="J485" s="456"/>
      <c r="K485" s="456"/>
      <c r="L485" s="456"/>
      <c r="M485" s="456"/>
      <c r="N485" s="456"/>
      <c r="O485" s="456"/>
      <c r="P485" s="456"/>
      <c r="Q485" s="456"/>
      <c r="R485" s="456"/>
    </row>
    <row r="486" spans="1:18" ht="9.75" customHeight="1" x14ac:dyDescent="0.25">
      <c r="A486" s="456"/>
      <c r="B486" s="456"/>
      <c r="C486" s="456"/>
      <c r="D486" s="456"/>
      <c r="E486" s="456"/>
      <c r="F486" s="456"/>
      <c r="G486" s="456"/>
      <c r="H486" s="456"/>
      <c r="I486" s="456"/>
      <c r="J486" s="456"/>
      <c r="K486" s="456"/>
      <c r="L486" s="456"/>
      <c r="M486" s="456"/>
      <c r="N486" s="456"/>
      <c r="O486" s="456"/>
      <c r="P486" s="456"/>
      <c r="Q486" s="456"/>
      <c r="R486" s="456"/>
    </row>
    <row r="487" spans="1:18" ht="9.75" customHeight="1" x14ac:dyDescent="0.25">
      <c r="A487" s="456"/>
      <c r="B487" s="456"/>
      <c r="C487" s="456"/>
      <c r="D487" s="456"/>
      <c r="E487" s="456"/>
      <c r="F487" s="456"/>
      <c r="G487" s="456"/>
      <c r="H487" s="456"/>
      <c r="I487" s="456"/>
      <c r="J487" s="456"/>
      <c r="K487" s="456"/>
      <c r="L487" s="456"/>
      <c r="M487" s="456"/>
      <c r="N487" s="456"/>
      <c r="O487" s="456"/>
      <c r="P487" s="456"/>
      <c r="Q487" s="456"/>
      <c r="R487" s="456"/>
    </row>
    <row r="488" spans="1:18" ht="9.75" customHeight="1" x14ac:dyDescent="0.25">
      <c r="A488" s="456"/>
      <c r="B488" s="456"/>
      <c r="C488" s="456"/>
      <c r="D488" s="456"/>
      <c r="E488" s="456"/>
      <c r="F488" s="456"/>
      <c r="G488" s="456"/>
      <c r="H488" s="456"/>
      <c r="I488" s="456"/>
      <c r="J488" s="456"/>
      <c r="K488" s="456"/>
      <c r="L488" s="456"/>
      <c r="M488" s="456"/>
      <c r="N488" s="456"/>
      <c r="O488" s="456"/>
      <c r="P488" s="456"/>
      <c r="Q488" s="456"/>
      <c r="R488" s="456"/>
    </row>
    <row r="489" spans="1:18" ht="9.75" customHeight="1" x14ac:dyDescent="0.25">
      <c r="A489" s="456"/>
      <c r="B489" s="456"/>
      <c r="C489" s="456"/>
      <c r="D489" s="456"/>
      <c r="E489" s="456"/>
      <c r="F489" s="456"/>
      <c r="G489" s="456"/>
      <c r="H489" s="456"/>
      <c r="I489" s="456"/>
      <c r="J489" s="456"/>
      <c r="K489" s="456"/>
      <c r="L489" s="456"/>
      <c r="M489" s="456"/>
      <c r="N489" s="456"/>
      <c r="O489" s="456"/>
      <c r="P489" s="456"/>
      <c r="Q489" s="456"/>
      <c r="R489" s="456"/>
    </row>
    <row r="490" spans="1:18" ht="9.75" customHeight="1" x14ac:dyDescent="0.25">
      <c r="A490" s="456"/>
      <c r="B490" s="456"/>
      <c r="C490" s="456"/>
      <c r="D490" s="456"/>
      <c r="E490" s="456"/>
      <c r="F490" s="456"/>
      <c r="G490" s="456"/>
      <c r="H490" s="456"/>
      <c r="I490" s="456"/>
      <c r="J490" s="456"/>
      <c r="K490" s="456"/>
      <c r="L490" s="456"/>
      <c r="M490" s="456"/>
      <c r="N490" s="456"/>
      <c r="O490" s="456"/>
      <c r="P490" s="456"/>
      <c r="Q490" s="456"/>
      <c r="R490" s="456"/>
    </row>
    <row r="491" spans="1:18" ht="9.75" customHeight="1" x14ac:dyDescent="0.25">
      <c r="A491" s="456"/>
      <c r="B491" s="456"/>
      <c r="C491" s="456"/>
      <c r="D491" s="456"/>
      <c r="E491" s="456"/>
      <c r="F491" s="456"/>
      <c r="G491" s="456"/>
      <c r="H491" s="456"/>
      <c r="I491" s="456"/>
      <c r="J491" s="456"/>
      <c r="K491" s="456"/>
      <c r="L491" s="456"/>
      <c r="M491" s="456"/>
      <c r="N491" s="456"/>
      <c r="O491" s="456"/>
      <c r="P491" s="456"/>
      <c r="Q491" s="456"/>
      <c r="R491" s="456"/>
    </row>
    <row r="492" spans="1:18" ht="9.75" customHeight="1" x14ac:dyDescent="0.25">
      <c r="A492" s="456"/>
      <c r="B492" s="456"/>
      <c r="C492" s="456"/>
      <c r="D492" s="456"/>
      <c r="E492" s="456"/>
      <c r="F492" s="456"/>
      <c r="G492" s="456"/>
      <c r="H492" s="456"/>
      <c r="I492" s="456"/>
      <c r="J492" s="456"/>
      <c r="K492" s="456"/>
      <c r="L492" s="456"/>
      <c r="M492" s="456"/>
      <c r="N492" s="456"/>
      <c r="O492" s="456"/>
      <c r="P492" s="456"/>
      <c r="Q492" s="456"/>
      <c r="R492" s="456"/>
    </row>
    <row r="493" spans="1:18" ht="9.75" customHeight="1" x14ac:dyDescent="0.25">
      <c r="A493" s="456"/>
      <c r="B493" s="456"/>
      <c r="C493" s="456"/>
      <c r="D493" s="456"/>
      <c r="E493" s="456"/>
      <c r="F493" s="456"/>
      <c r="G493" s="456"/>
      <c r="H493" s="456"/>
      <c r="I493" s="456"/>
      <c r="J493" s="456"/>
      <c r="K493" s="456"/>
      <c r="L493" s="456"/>
      <c r="M493" s="456"/>
      <c r="N493" s="456"/>
      <c r="O493" s="456"/>
      <c r="P493" s="456"/>
      <c r="Q493" s="456"/>
      <c r="R493" s="456"/>
    </row>
    <row r="494" spans="1:18" ht="9.75" customHeight="1" x14ac:dyDescent="0.25">
      <c r="A494" s="456"/>
      <c r="B494" s="456"/>
      <c r="C494" s="456"/>
      <c r="D494" s="456"/>
      <c r="E494" s="456"/>
      <c r="F494" s="456"/>
      <c r="G494" s="456"/>
      <c r="H494" s="456"/>
      <c r="I494" s="456"/>
      <c r="J494" s="456"/>
      <c r="K494" s="456"/>
      <c r="L494" s="456"/>
      <c r="M494" s="456"/>
      <c r="N494" s="456"/>
      <c r="O494" s="456"/>
      <c r="P494" s="456"/>
      <c r="Q494" s="456"/>
      <c r="R494" s="456"/>
    </row>
    <row r="495" spans="1:18" ht="9.75" customHeight="1" x14ac:dyDescent="0.25">
      <c r="A495" s="456"/>
      <c r="B495" s="456"/>
      <c r="C495" s="456"/>
      <c r="D495" s="456"/>
      <c r="E495" s="456"/>
      <c r="F495" s="456"/>
      <c r="G495" s="456"/>
      <c r="H495" s="456"/>
      <c r="I495" s="456"/>
      <c r="J495" s="456"/>
      <c r="K495" s="456"/>
      <c r="L495" s="456"/>
      <c r="M495" s="456"/>
      <c r="N495" s="456"/>
      <c r="O495" s="456"/>
      <c r="P495" s="456"/>
      <c r="Q495" s="456"/>
      <c r="R495" s="456"/>
    </row>
    <row r="496" spans="1:18" ht="9.75" customHeight="1" x14ac:dyDescent="0.25">
      <c r="A496" s="456"/>
      <c r="B496" s="456"/>
      <c r="C496" s="456"/>
      <c r="D496" s="456"/>
      <c r="E496" s="456"/>
      <c r="F496" s="456"/>
      <c r="G496" s="456"/>
      <c r="H496" s="456"/>
      <c r="I496" s="456"/>
      <c r="J496" s="456"/>
      <c r="K496" s="456"/>
      <c r="L496" s="456"/>
      <c r="M496" s="456"/>
      <c r="N496" s="456"/>
      <c r="O496" s="456"/>
      <c r="P496" s="456"/>
      <c r="Q496" s="456"/>
      <c r="R496" s="456"/>
    </row>
    <row r="497" spans="1:18" ht="9.75" customHeight="1" x14ac:dyDescent="0.25">
      <c r="A497" s="456"/>
      <c r="B497" s="456"/>
      <c r="C497" s="456"/>
      <c r="D497" s="456"/>
      <c r="E497" s="456"/>
      <c r="F497" s="456"/>
      <c r="G497" s="456"/>
      <c r="H497" s="456"/>
      <c r="I497" s="456"/>
      <c r="J497" s="456"/>
      <c r="K497" s="456"/>
      <c r="L497" s="456"/>
      <c r="M497" s="456"/>
      <c r="N497" s="456"/>
      <c r="O497" s="456"/>
      <c r="P497" s="456"/>
      <c r="Q497" s="456"/>
      <c r="R497" s="456"/>
    </row>
    <row r="498" spans="1:18" ht="9.75" customHeight="1" x14ac:dyDescent="0.25">
      <c r="A498" s="456"/>
      <c r="B498" s="456"/>
      <c r="C498" s="456"/>
      <c r="D498" s="456"/>
      <c r="E498" s="456"/>
      <c r="F498" s="456"/>
      <c r="G498" s="456"/>
      <c r="H498" s="456"/>
      <c r="I498" s="456"/>
      <c r="J498" s="456"/>
      <c r="K498" s="456"/>
      <c r="L498" s="456"/>
      <c r="M498" s="456"/>
      <c r="N498" s="456"/>
      <c r="O498" s="456"/>
      <c r="P498" s="456"/>
      <c r="Q498" s="456"/>
      <c r="R498" s="456"/>
    </row>
    <row r="499" spans="1:18" ht="9.75" customHeight="1" x14ac:dyDescent="0.25">
      <c r="A499" s="456"/>
      <c r="B499" s="456"/>
      <c r="C499" s="456"/>
      <c r="D499" s="456"/>
      <c r="E499" s="456"/>
      <c r="F499" s="456"/>
      <c r="G499" s="456"/>
      <c r="H499" s="456"/>
      <c r="I499" s="456"/>
      <c r="J499" s="456"/>
      <c r="K499" s="456"/>
      <c r="L499" s="456"/>
      <c r="M499" s="456"/>
      <c r="N499" s="456"/>
      <c r="O499" s="456"/>
      <c r="P499" s="456"/>
      <c r="Q499" s="456"/>
      <c r="R499" s="456"/>
    </row>
    <row r="500" spans="1:18" ht="9.75" customHeight="1" x14ac:dyDescent="0.25">
      <c r="A500" s="456"/>
      <c r="B500" s="456"/>
      <c r="C500" s="456"/>
      <c r="D500" s="456"/>
      <c r="E500" s="456"/>
      <c r="F500" s="456"/>
      <c r="G500" s="456"/>
      <c r="H500" s="456"/>
      <c r="I500" s="456"/>
      <c r="J500" s="456"/>
      <c r="K500" s="456"/>
      <c r="L500" s="456"/>
      <c r="M500" s="456"/>
      <c r="N500" s="456"/>
      <c r="O500" s="456"/>
      <c r="P500" s="456"/>
      <c r="Q500" s="456"/>
      <c r="R500" s="456"/>
    </row>
    <row r="501" spans="1:18" ht="9.75" customHeight="1" x14ac:dyDescent="0.25">
      <c r="A501" s="456"/>
      <c r="B501" s="456"/>
      <c r="C501" s="456"/>
      <c r="D501" s="456"/>
      <c r="E501" s="456"/>
      <c r="F501" s="456"/>
      <c r="G501" s="456"/>
      <c r="H501" s="456"/>
      <c r="I501" s="456"/>
      <c r="J501" s="456"/>
      <c r="K501" s="456"/>
      <c r="L501" s="456"/>
      <c r="M501" s="456"/>
      <c r="N501" s="456"/>
      <c r="O501" s="456"/>
      <c r="P501" s="456"/>
      <c r="Q501" s="456"/>
      <c r="R501" s="456"/>
    </row>
    <row r="502" spans="1:18" ht="9.75" customHeight="1" x14ac:dyDescent="0.25">
      <c r="A502" s="456"/>
      <c r="B502" s="456"/>
      <c r="C502" s="456"/>
      <c r="D502" s="456"/>
      <c r="E502" s="456"/>
      <c r="F502" s="456"/>
      <c r="G502" s="456"/>
      <c r="H502" s="456"/>
      <c r="I502" s="456"/>
      <c r="J502" s="456"/>
      <c r="K502" s="456"/>
      <c r="L502" s="456"/>
      <c r="M502" s="456"/>
      <c r="N502" s="456"/>
      <c r="O502" s="456"/>
      <c r="P502" s="456"/>
      <c r="Q502" s="456"/>
      <c r="R502" s="456"/>
    </row>
    <row r="503" spans="1:18" ht="9.75" customHeight="1" x14ac:dyDescent="0.25">
      <c r="A503" s="456"/>
      <c r="B503" s="456"/>
      <c r="C503" s="456"/>
      <c r="D503" s="456"/>
      <c r="E503" s="456"/>
      <c r="F503" s="456"/>
      <c r="G503" s="456"/>
      <c r="H503" s="456"/>
      <c r="I503" s="456"/>
      <c r="J503" s="456"/>
      <c r="K503" s="456"/>
      <c r="L503" s="456"/>
      <c r="M503" s="456"/>
      <c r="N503" s="456"/>
      <c r="O503" s="456"/>
      <c r="P503" s="456"/>
      <c r="Q503" s="456"/>
      <c r="R503" s="456"/>
    </row>
    <row r="504" spans="1:18" ht="9.75" customHeight="1" x14ac:dyDescent="0.25">
      <c r="A504" s="456"/>
      <c r="B504" s="456"/>
      <c r="C504" s="456"/>
      <c r="D504" s="456"/>
      <c r="E504" s="456"/>
      <c r="F504" s="456"/>
      <c r="G504" s="456"/>
      <c r="H504" s="456"/>
      <c r="I504" s="456"/>
      <c r="J504" s="456"/>
      <c r="K504" s="456"/>
      <c r="L504" s="456"/>
      <c r="M504" s="456"/>
      <c r="N504" s="456"/>
      <c r="O504" s="456"/>
      <c r="P504" s="456"/>
      <c r="Q504" s="456"/>
      <c r="R504" s="456"/>
    </row>
    <row r="505" spans="1:18" ht="9.75" customHeight="1" x14ac:dyDescent="0.25">
      <c r="A505" s="456"/>
      <c r="B505" s="456"/>
      <c r="C505" s="456"/>
      <c r="D505" s="456"/>
      <c r="E505" s="456"/>
      <c r="F505" s="456"/>
      <c r="G505" s="456"/>
      <c r="H505" s="456"/>
      <c r="I505" s="456"/>
      <c r="J505" s="456"/>
      <c r="K505" s="456"/>
      <c r="L505" s="456"/>
      <c r="M505" s="456"/>
      <c r="N505" s="456"/>
      <c r="O505" s="456"/>
      <c r="P505" s="456"/>
      <c r="Q505" s="456"/>
      <c r="R505" s="456"/>
    </row>
    <row r="506" spans="1:18" ht="9.75" customHeight="1" x14ac:dyDescent="0.25">
      <c r="A506" s="456"/>
      <c r="B506" s="456"/>
      <c r="C506" s="456"/>
      <c r="D506" s="456"/>
      <c r="E506" s="456"/>
      <c r="F506" s="456"/>
      <c r="G506" s="456"/>
      <c r="H506" s="456"/>
      <c r="I506" s="456"/>
      <c r="J506" s="456"/>
      <c r="K506" s="456"/>
      <c r="L506" s="456"/>
      <c r="M506" s="456"/>
      <c r="N506" s="456"/>
      <c r="O506" s="456"/>
      <c r="P506" s="456"/>
      <c r="Q506" s="456"/>
      <c r="R506" s="456"/>
    </row>
    <row r="507" spans="1:18" ht="9.75" customHeight="1" x14ac:dyDescent="0.25">
      <c r="A507" s="456"/>
      <c r="B507" s="456"/>
      <c r="C507" s="456"/>
      <c r="D507" s="456"/>
      <c r="E507" s="456"/>
      <c r="F507" s="456"/>
      <c r="G507" s="456"/>
      <c r="H507" s="456"/>
      <c r="I507" s="456"/>
      <c r="J507" s="456"/>
      <c r="K507" s="456"/>
      <c r="L507" s="456"/>
      <c r="M507" s="456"/>
      <c r="N507" s="456"/>
      <c r="O507" s="456"/>
      <c r="P507" s="456"/>
      <c r="Q507" s="456"/>
      <c r="R507" s="456"/>
    </row>
    <row r="508" spans="1:18" ht="9.75" customHeight="1" x14ac:dyDescent="0.25">
      <c r="A508" s="456"/>
      <c r="B508" s="456"/>
      <c r="C508" s="456"/>
      <c r="D508" s="456"/>
      <c r="E508" s="456"/>
      <c r="F508" s="456"/>
      <c r="G508" s="456"/>
      <c r="H508" s="456"/>
      <c r="I508" s="456"/>
      <c r="J508" s="456"/>
      <c r="K508" s="456"/>
      <c r="L508" s="456"/>
      <c r="M508" s="456"/>
      <c r="N508" s="456"/>
      <c r="O508" s="456"/>
      <c r="P508" s="456"/>
      <c r="Q508" s="456"/>
      <c r="R508" s="456"/>
    </row>
    <row r="509" spans="1:18" ht="9.75" customHeight="1" x14ac:dyDescent="0.25">
      <c r="A509" s="456"/>
      <c r="B509" s="456"/>
      <c r="C509" s="456"/>
      <c r="D509" s="456"/>
      <c r="E509" s="456"/>
      <c r="F509" s="456"/>
      <c r="G509" s="456"/>
      <c r="H509" s="456"/>
      <c r="I509" s="456"/>
      <c r="J509" s="456"/>
      <c r="K509" s="456"/>
      <c r="L509" s="456"/>
      <c r="M509" s="456"/>
      <c r="N509" s="456"/>
      <c r="O509" s="456"/>
      <c r="P509" s="456"/>
      <c r="Q509" s="456"/>
      <c r="R509" s="456"/>
    </row>
    <row r="510" spans="1:18" ht="9.75" customHeight="1" x14ac:dyDescent="0.25">
      <c r="A510" s="456"/>
      <c r="B510" s="456"/>
      <c r="C510" s="456"/>
      <c r="D510" s="456"/>
      <c r="E510" s="456"/>
      <c r="F510" s="456"/>
      <c r="G510" s="456"/>
      <c r="H510" s="456"/>
      <c r="I510" s="456"/>
      <c r="J510" s="456"/>
      <c r="K510" s="456"/>
      <c r="L510" s="456"/>
      <c r="M510" s="456"/>
      <c r="N510" s="456"/>
      <c r="O510" s="456"/>
      <c r="P510" s="456"/>
      <c r="Q510" s="456"/>
      <c r="R510" s="456"/>
    </row>
    <row r="511" spans="1:18" ht="9.75" customHeight="1" x14ac:dyDescent="0.25">
      <c r="A511" s="456"/>
      <c r="B511" s="456"/>
      <c r="C511" s="456"/>
      <c r="D511" s="456"/>
      <c r="E511" s="456"/>
      <c r="F511" s="456"/>
      <c r="G511" s="456"/>
      <c r="H511" s="456"/>
      <c r="I511" s="456"/>
      <c r="J511" s="456"/>
      <c r="K511" s="456"/>
      <c r="L511" s="456"/>
      <c r="M511" s="456"/>
      <c r="N511" s="456"/>
      <c r="O511" s="456"/>
      <c r="P511" s="456"/>
      <c r="Q511" s="456"/>
      <c r="R511" s="456"/>
    </row>
    <row r="512" spans="1:18" ht="9.75" customHeight="1" x14ac:dyDescent="0.25">
      <c r="A512" s="456"/>
      <c r="B512" s="456"/>
      <c r="C512" s="456"/>
      <c r="D512" s="456"/>
      <c r="E512" s="456"/>
      <c r="F512" s="456"/>
      <c r="G512" s="456"/>
      <c r="H512" s="456"/>
      <c r="I512" s="456"/>
      <c r="J512" s="456"/>
      <c r="K512" s="456"/>
      <c r="L512" s="456"/>
      <c r="M512" s="456"/>
      <c r="N512" s="456"/>
      <c r="O512" s="456"/>
      <c r="P512" s="456"/>
      <c r="Q512" s="456"/>
      <c r="R512" s="456"/>
    </row>
    <row r="513" spans="1:18" ht="9.75" customHeight="1" x14ac:dyDescent="0.25">
      <c r="A513" s="456"/>
      <c r="B513" s="456"/>
      <c r="C513" s="456"/>
      <c r="D513" s="456"/>
      <c r="E513" s="456"/>
      <c r="F513" s="456"/>
      <c r="G513" s="456"/>
      <c r="H513" s="456"/>
      <c r="I513" s="456"/>
      <c r="J513" s="456"/>
      <c r="K513" s="456"/>
      <c r="L513" s="456"/>
      <c r="M513" s="456"/>
      <c r="N513" s="456"/>
      <c r="O513" s="456"/>
      <c r="P513" s="456"/>
      <c r="Q513" s="456"/>
      <c r="R513" s="456"/>
    </row>
    <row r="514" spans="1:18" ht="9.75" customHeight="1" x14ac:dyDescent="0.25">
      <c r="A514" s="456"/>
      <c r="B514" s="456"/>
      <c r="C514" s="456"/>
      <c r="D514" s="456"/>
      <c r="E514" s="456"/>
      <c r="F514" s="456"/>
      <c r="G514" s="456"/>
      <c r="H514" s="456"/>
      <c r="I514" s="456"/>
      <c r="J514" s="456"/>
      <c r="K514" s="456"/>
      <c r="L514" s="456"/>
      <c r="M514" s="456"/>
      <c r="N514" s="456"/>
      <c r="O514" s="456"/>
      <c r="P514" s="456"/>
      <c r="Q514" s="456"/>
      <c r="R514" s="456"/>
    </row>
    <row r="515" spans="1:18" ht="9.75" customHeight="1" x14ac:dyDescent="0.25">
      <c r="A515" s="456"/>
      <c r="B515" s="456"/>
      <c r="C515" s="456"/>
      <c r="D515" s="456"/>
      <c r="E515" s="456"/>
      <c r="F515" s="456"/>
      <c r="G515" s="456"/>
      <c r="H515" s="456"/>
      <c r="I515" s="456"/>
      <c r="J515" s="456"/>
      <c r="K515" s="456"/>
      <c r="L515" s="456"/>
      <c r="M515" s="456"/>
      <c r="N515" s="456"/>
      <c r="O515" s="456"/>
      <c r="P515" s="456"/>
      <c r="Q515" s="456"/>
      <c r="R515" s="456"/>
    </row>
    <row r="516" spans="1:18" ht="9.75" customHeight="1" x14ac:dyDescent="0.25">
      <c r="A516" s="456"/>
      <c r="B516" s="456"/>
      <c r="C516" s="456"/>
      <c r="D516" s="456"/>
      <c r="E516" s="456"/>
      <c r="F516" s="456"/>
      <c r="G516" s="456"/>
      <c r="H516" s="456"/>
      <c r="I516" s="456"/>
      <c r="J516" s="456"/>
      <c r="K516" s="456"/>
      <c r="L516" s="456"/>
      <c r="M516" s="456"/>
      <c r="N516" s="456"/>
      <c r="O516" s="456"/>
      <c r="P516" s="456"/>
      <c r="Q516" s="456"/>
      <c r="R516" s="456"/>
    </row>
    <row r="517" spans="1:18" ht="9.75" customHeight="1" x14ac:dyDescent="0.25">
      <c r="A517" s="456"/>
      <c r="B517" s="456"/>
      <c r="C517" s="456"/>
      <c r="D517" s="456"/>
      <c r="E517" s="456"/>
      <c r="F517" s="456"/>
      <c r="G517" s="456"/>
      <c r="H517" s="456"/>
      <c r="I517" s="456"/>
      <c r="J517" s="456"/>
      <c r="K517" s="456"/>
      <c r="L517" s="456"/>
      <c r="M517" s="456"/>
      <c r="N517" s="456"/>
      <c r="O517" s="456"/>
      <c r="P517" s="456"/>
      <c r="Q517" s="456"/>
      <c r="R517" s="456"/>
    </row>
    <row r="518" spans="1:18" ht="9.75" customHeight="1" x14ac:dyDescent="0.25">
      <c r="A518" s="456"/>
      <c r="B518" s="456"/>
      <c r="C518" s="456"/>
      <c r="D518" s="456"/>
      <c r="E518" s="456"/>
      <c r="F518" s="456"/>
      <c r="G518" s="456"/>
      <c r="H518" s="456"/>
      <c r="I518" s="456"/>
      <c r="J518" s="456"/>
      <c r="K518" s="456"/>
      <c r="L518" s="456"/>
      <c r="M518" s="456"/>
      <c r="N518" s="456"/>
      <c r="O518" s="456"/>
      <c r="P518" s="456"/>
      <c r="Q518" s="456"/>
      <c r="R518" s="456"/>
    </row>
    <row r="519" spans="1:18" ht="9.75" customHeight="1" x14ac:dyDescent="0.25">
      <c r="A519" s="456"/>
      <c r="B519" s="456"/>
      <c r="C519" s="456"/>
      <c r="D519" s="456"/>
      <c r="E519" s="456"/>
      <c r="F519" s="456"/>
      <c r="G519" s="456"/>
      <c r="H519" s="456"/>
      <c r="I519" s="456"/>
      <c r="J519" s="456"/>
      <c r="K519" s="456"/>
      <c r="L519" s="456"/>
      <c r="M519" s="456"/>
      <c r="N519" s="456"/>
      <c r="O519" s="456"/>
      <c r="P519" s="456"/>
      <c r="Q519" s="456"/>
      <c r="R519" s="456"/>
    </row>
    <row r="520" spans="1:18" ht="9.75" customHeight="1" x14ac:dyDescent="0.25">
      <c r="A520" s="456"/>
      <c r="B520" s="456"/>
      <c r="C520" s="456"/>
      <c r="D520" s="456"/>
      <c r="E520" s="456"/>
      <c r="F520" s="456"/>
      <c r="G520" s="456"/>
      <c r="H520" s="456"/>
      <c r="I520" s="456"/>
      <c r="J520" s="456"/>
      <c r="K520" s="456"/>
      <c r="L520" s="456"/>
      <c r="M520" s="456"/>
      <c r="N520" s="456"/>
      <c r="O520" s="456"/>
      <c r="P520" s="456"/>
      <c r="Q520" s="456"/>
      <c r="R520" s="456"/>
    </row>
    <row r="521" spans="1:18" ht="9.75" customHeight="1" x14ac:dyDescent="0.25">
      <c r="A521" s="456"/>
      <c r="B521" s="456"/>
      <c r="C521" s="456"/>
      <c r="D521" s="456"/>
      <c r="E521" s="456"/>
      <c r="F521" s="456"/>
      <c r="G521" s="456"/>
      <c r="H521" s="456"/>
      <c r="I521" s="456"/>
      <c r="J521" s="456"/>
      <c r="K521" s="456"/>
      <c r="L521" s="456"/>
      <c r="M521" s="456"/>
      <c r="N521" s="456"/>
      <c r="O521" s="456"/>
      <c r="P521" s="456"/>
      <c r="Q521" s="456"/>
      <c r="R521" s="456"/>
    </row>
    <row r="522" spans="1:18" ht="9.75" customHeight="1" x14ac:dyDescent="0.25">
      <c r="A522" s="456"/>
      <c r="B522" s="456"/>
      <c r="C522" s="456"/>
      <c r="D522" s="456"/>
      <c r="E522" s="456"/>
      <c r="F522" s="456"/>
      <c r="G522" s="456"/>
      <c r="H522" s="456"/>
      <c r="I522" s="456"/>
      <c r="J522" s="456"/>
      <c r="K522" s="456"/>
      <c r="L522" s="456"/>
      <c r="M522" s="456"/>
      <c r="N522" s="456"/>
      <c r="O522" s="456"/>
      <c r="P522" s="456"/>
      <c r="Q522" s="456"/>
      <c r="R522" s="456"/>
    </row>
    <row r="523" spans="1:18" ht="9.75" customHeight="1" x14ac:dyDescent="0.25">
      <c r="A523" s="456"/>
      <c r="B523" s="456"/>
      <c r="C523" s="456"/>
      <c r="D523" s="456"/>
      <c r="E523" s="456"/>
      <c r="F523" s="456"/>
      <c r="G523" s="456"/>
      <c r="H523" s="456"/>
      <c r="I523" s="456"/>
      <c r="J523" s="456"/>
      <c r="K523" s="456"/>
      <c r="L523" s="456"/>
      <c r="M523" s="456"/>
      <c r="N523" s="456"/>
      <c r="O523" s="456"/>
      <c r="P523" s="456"/>
      <c r="Q523" s="456"/>
      <c r="R523" s="456"/>
    </row>
    <row r="524" spans="1:18" ht="9.75" customHeight="1" x14ac:dyDescent="0.25">
      <c r="A524" s="456"/>
      <c r="B524" s="456"/>
      <c r="C524" s="456"/>
      <c r="D524" s="456"/>
      <c r="E524" s="456"/>
      <c r="F524" s="456"/>
      <c r="G524" s="456"/>
      <c r="H524" s="456"/>
      <c r="I524" s="456"/>
      <c r="J524" s="456"/>
      <c r="K524" s="456"/>
      <c r="L524" s="456"/>
      <c r="M524" s="456"/>
      <c r="N524" s="456"/>
      <c r="O524" s="456"/>
      <c r="P524" s="456"/>
      <c r="Q524" s="456"/>
      <c r="R524" s="456"/>
    </row>
    <row r="525" spans="1:18" ht="9.75" customHeight="1" x14ac:dyDescent="0.25">
      <c r="A525" s="456"/>
      <c r="B525" s="456"/>
      <c r="C525" s="456"/>
      <c r="D525" s="456"/>
      <c r="E525" s="456"/>
      <c r="F525" s="456"/>
      <c r="G525" s="456"/>
      <c r="H525" s="456"/>
      <c r="I525" s="456"/>
      <c r="J525" s="456"/>
      <c r="K525" s="456"/>
      <c r="L525" s="456"/>
      <c r="M525" s="456"/>
      <c r="N525" s="456"/>
      <c r="O525" s="456"/>
      <c r="P525" s="456"/>
      <c r="Q525" s="456"/>
      <c r="R525" s="456"/>
    </row>
    <row r="526" spans="1:18" ht="9.75" customHeight="1" x14ac:dyDescent="0.25">
      <c r="A526" s="456"/>
      <c r="B526" s="456"/>
      <c r="C526" s="456"/>
      <c r="D526" s="456"/>
      <c r="E526" s="456"/>
      <c r="F526" s="456"/>
      <c r="G526" s="456"/>
      <c r="H526" s="456"/>
      <c r="I526" s="456"/>
      <c r="J526" s="456"/>
      <c r="K526" s="456"/>
      <c r="L526" s="456"/>
      <c r="M526" s="456"/>
      <c r="N526" s="456"/>
      <c r="O526" s="456"/>
      <c r="P526" s="456"/>
      <c r="Q526" s="456"/>
      <c r="R526" s="456"/>
    </row>
    <row r="527" spans="1:18" ht="9.75" customHeight="1" x14ac:dyDescent="0.25">
      <c r="A527" s="456"/>
      <c r="B527" s="456"/>
      <c r="C527" s="456"/>
      <c r="D527" s="456"/>
      <c r="E527" s="456"/>
      <c r="F527" s="456"/>
      <c r="G527" s="456"/>
      <c r="H527" s="456"/>
      <c r="I527" s="456"/>
      <c r="J527" s="456"/>
      <c r="K527" s="456"/>
      <c r="L527" s="456"/>
      <c r="M527" s="456"/>
      <c r="N527" s="456"/>
      <c r="O527" s="456"/>
      <c r="P527" s="456"/>
      <c r="Q527" s="456"/>
      <c r="R527" s="456"/>
    </row>
    <row r="528" spans="1:18" ht="9.75" customHeight="1" x14ac:dyDescent="0.25">
      <c r="A528" s="456"/>
      <c r="B528" s="456"/>
      <c r="C528" s="456"/>
      <c r="D528" s="456"/>
      <c r="E528" s="456"/>
      <c r="F528" s="456"/>
      <c r="G528" s="456"/>
      <c r="H528" s="456"/>
      <c r="I528" s="456"/>
      <c r="J528" s="456"/>
      <c r="K528" s="456"/>
      <c r="L528" s="456"/>
      <c r="M528" s="456"/>
      <c r="N528" s="456"/>
      <c r="O528" s="456"/>
      <c r="P528" s="456"/>
      <c r="Q528" s="456"/>
      <c r="R528" s="456"/>
    </row>
    <row r="529" spans="1:18" ht="9.75" customHeight="1" x14ac:dyDescent="0.25">
      <c r="A529" s="456"/>
      <c r="B529" s="456"/>
      <c r="C529" s="456"/>
      <c r="D529" s="456"/>
      <c r="E529" s="456"/>
      <c r="F529" s="456"/>
      <c r="G529" s="456"/>
      <c r="H529" s="456"/>
      <c r="I529" s="456"/>
      <c r="J529" s="456"/>
      <c r="K529" s="456"/>
      <c r="L529" s="456"/>
      <c r="M529" s="456"/>
      <c r="N529" s="456"/>
      <c r="O529" s="456"/>
      <c r="P529" s="456"/>
      <c r="Q529" s="456"/>
      <c r="R529" s="456"/>
    </row>
    <row r="530" spans="1:18" ht="9.75" customHeight="1" x14ac:dyDescent="0.25">
      <c r="A530" s="456"/>
      <c r="B530" s="456"/>
      <c r="C530" s="456"/>
      <c r="D530" s="456"/>
      <c r="E530" s="456"/>
      <c r="F530" s="456"/>
      <c r="G530" s="456"/>
      <c r="H530" s="456"/>
      <c r="I530" s="456"/>
      <c r="J530" s="456"/>
      <c r="K530" s="456"/>
      <c r="L530" s="456"/>
      <c r="M530" s="456"/>
      <c r="N530" s="456"/>
      <c r="O530" s="456"/>
      <c r="P530" s="456"/>
      <c r="Q530" s="456"/>
      <c r="R530" s="456"/>
    </row>
    <row r="531" spans="1:18" ht="9.75" customHeight="1" x14ac:dyDescent="0.25">
      <c r="A531" s="456"/>
      <c r="B531" s="456"/>
      <c r="C531" s="456"/>
      <c r="D531" s="456"/>
      <c r="E531" s="456"/>
      <c r="F531" s="456"/>
      <c r="G531" s="456"/>
      <c r="H531" s="456"/>
      <c r="I531" s="456"/>
      <c r="J531" s="456"/>
      <c r="K531" s="456"/>
      <c r="L531" s="456"/>
      <c r="M531" s="456"/>
      <c r="N531" s="456"/>
      <c r="O531" s="456"/>
      <c r="P531" s="456"/>
      <c r="Q531" s="456"/>
      <c r="R531" s="456"/>
    </row>
    <row r="532" spans="1:18" ht="9.75" customHeight="1" x14ac:dyDescent="0.25">
      <c r="A532" s="456"/>
      <c r="B532" s="456"/>
      <c r="C532" s="456"/>
      <c r="D532" s="456"/>
      <c r="E532" s="456"/>
      <c r="F532" s="456"/>
      <c r="G532" s="456"/>
      <c r="H532" s="456"/>
      <c r="I532" s="456"/>
      <c r="J532" s="456"/>
      <c r="K532" s="456"/>
      <c r="L532" s="456"/>
      <c r="M532" s="456"/>
      <c r="N532" s="456"/>
      <c r="O532" s="456"/>
      <c r="P532" s="456"/>
      <c r="Q532" s="456"/>
      <c r="R532" s="456"/>
    </row>
    <row r="533" spans="1:18" ht="9.75" customHeight="1" x14ac:dyDescent="0.25">
      <c r="A533" s="456"/>
      <c r="B533" s="456"/>
      <c r="C533" s="456"/>
      <c r="D533" s="456"/>
      <c r="E533" s="456"/>
      <c r="F533" s="456"/>
      <c r="G533" s="456"/>
      <c r="H533" s="456"/>
      <c r="I533" s="456"/>
      <c r="J533" s="456"/>
      <c r="K533" s="456"/>
      <c r="L533" s="456"/>
      <c r="M533" s="456"/>
      <c r="N533" s="456"/>
      <c r="O533" s="456"/>
      <c r="P533" s="456"/>
      <c r="Q533" s="456"/>
      <c r="R533" s="456"/>
    </row>
    <row r="534" spans="1:18" ht="9.75" customHeight="1" x14ac:dyDescent="0.25">
      <c r="A534" s="456"/>
      <c r="B534" s="456"/>
      <c r="C534" s="456"/>
      <c r="D534" s="456"/>
      <c r="E534" s="456"/>
      <c r="F534" s="456"/>
      <c r="G534" s="456"/>
      <c r="H534" s="456"/>
      <c r="I534" s="456"/>
      <c r="J534" s="456"/>
      <c r="K534" s="456"/>
      <c r="L534" s="456"/>
      <c r="M534" s="456"/>
      <c r="N534" s="456"/>
      <c r="O534" s="456"/>
      <c r="P534" s="456"/>
      <c r="Q534" s="456"/>
      <c r="R534" s="456"/>
    </row>
    <row r="535" spans="1:18" ht="9.75" customHeight="1" x14ac:dyDescent="0.25">
      <c r="A535" s="456"/>
      <c r="B535" s="456"/>
      <c r="C535" s="456"/>
      <c r="D535" s="456"/>
      <c r="E535" s="456"/>
      <c r="F535" s="456"/>
      <c r="G535" s="456"/>
      <c r="H535" s="456"/>
      <c r="I535" s="456"/>
      <c r="J535" s="456"/>
      <c r="K535" s="456"/>
      <c r="L535" s="456"/>
      <c r="M535" s="456"/>
      <c r="N535" s="456"/>
      <c r="O535" s="456"/>
      <c r="P535" s="456"/>
      <c r="Q535" s="456"/>
      <c r="R535" s="456"/>
    </row>
    <row r="536" spans="1:18" ht="9.75" customHeight="1" x14ac:dyDescent="0.25">
      <c r="A536" s="456"/>
      <c r="B536" s="456"/>
      <c r="C536" s="456"/>
      <c r="D536" s="456"/>
      <c r="E536" s="456"/>
      <c r="F536" s="456"/>
      <c r="G536" s="456"/>
      <c r="H536" s="456"/>
      <c r="I536" s="456"/>
      <c r="J536" s="456"/>
      <c r="K536" s="456"/>
      <c r="L536" s="456"/>
      <c r="M536" s="456"/>
      <c r="N536" s="456"/>
      <c r="O536" s="456"/>
      <c r="P536" s="456"/>
      <c r="Q536" s="456"/>
      <c r="R536" s="456"/>
    </row>
    <row r="537" spans="1:18" ht="9.75" customHeight="1" x14ac:dyDescent="0.25">
      <c r="A537" s="456"/>
      <c r="B537" s="456"/>
      <c r="C537" s="456"/>
      <c r="D537" s="456"/>
      <c r="E537" s="456"/>
      <c r="F537" s="456"/>
      <c r="G537" s="456"/>
      <c r="H537" s="456"/>
      <c r="I537" s="456"/>
      <c r="J537" s="456"/>
      <c r="K537" s="456"/>
      <c r="L537" s="456"/>
      <c r="M537" s="456"/>
      <c r="N537" s="456"/>
      <c r="O537" s="456"/>
      <c r="P537" s="456"/>
      <c r="Q537" s="456"/>
      <c r="R537" s="456"/>
    </row>
    <row r="538" spans="1:18" ht="9.75" customHeight="1" x14ac:dyDescent="0.25">
      <c r="A538" s="456"/>
      <c r="B538" s="456"/>
      <c r="C538" s="456"/>
      <c r="D538" s="456"/>
      <c r="E538" s="456"/>
      <c r="F538" s="456"/>
      <c r="G538" s="456"/>
      <c r="H538" s="456"/>
      <c r="I538" s="456"/>
      <c r="J538" s="456"/>
      <c r="K538" s="456"/>
      <c r="L538" s="456"/>
      <c r="M538" s="456"/>
      <c r="N538" s="456"/>
      <c r="O538" s="456"/>
      <c r="P538" s="456"/>
      <c r="Q538" s="456"/>
      <c r="R538" s="456"/>
    </row>
    <row r="539" spans="1:18" ht="9.75" customHeight="1" x14ac:dyDescent="0.25">
      <c r="A539" s="456"/>
      <c r="B539" s="456"/>
      <c r="C539" s="456"/>
      <c r="D539" s="456"/>
      <c r="E539" s="456"/>
      <c r="F539" s="456"/>
      <c r="G539" s="456"/>
      <c r="H539" s="456"/>
      <c r="I539" s="456"/>
      <c r="J539" s="456"/>
      <c r="K539" s="456"/>
      <c r="L539" s="456"/>
      <c r="M539" s="456"/>
      <c r="N539" s="456"/>
      <c r="O539" s="456"/>
      <c r="P539" s="456"/>
      <c r="Q539" s="456"/>
      <c r="R539" s="456"/>
    </row>
    <row r="540" spans="1:18" ht="9.75" customHeight="1" x14ac:dyDescent="0.25">
      <c r="A540" s="456"/>
      <c r="B540" s="456"/>
      <c r="C540" s="456"/>
      <c r="D540" s="456"/>
      <c r="E540" s="456"/>
      <c r="F540" s="456"/>
      <c r="G540" s="456"/>
      <c r="H540" s="456"/>
      <c r="I540" s="456"/>
      <c r="J540" s="456"/>
      <c r="K540" s="456"/>
      <c r="L540" s="456"/>
      <c r="M540" s="456"/>
      <c r="N540" s="456"/>
      <c r="O540" s="456"/>
      <c r="P540" s="456"/>
      <c r="Q540" s="456"/>
      <c r="R540" s="456"/>
    </row>
    <row r="541" spans="1:18" ht="9.75" customHeight="1" x14ac:dyDescent="0.25">
      <c r="A541" s="456"/>
      <c r="B541" s="456"/>
      <c r="C541" s="456"/>
      <c r="D541" s="456"/>
      <c r="E541" s="456"/>
      <c r="F541" s="456"/>
      <c r="G541" s="456"/>
      <c r="H541" s="456"/>
      <c r="I541" s="456"/>
      <c r="J541" s="456"/>
      <c r="K541" s="456"/>
      <c r="L541" s="456"/>
      <c r="M541" s="456"/>
      <c r="N541" s="456"/>
      <c r="O541" s="456"/>
      <c r="P541" s="456"/>
      <c r="Q541" s="456"/>
      <c r="R541" s="456"/>
    </row>
    <row r="542" spans="1:18" ht="9.75" customHeight="1" x14ac:dyDescent="0.25">
      <c r="A542" s="456"/>
      <c r="B542" s="456"/>
      <c r="C542" s="456"/>
      <c r="D542" s="456"/>
      <c r="E542" s="456"/>
      <c r="F542" s="456"/>
      <c r="G542" s="456"/>
      <c r="H542" s="456"/>
      <c r="I542" s="456"/>
      <c r="J542" s="456"/>
      <c r="K542" s="456"/>
      <c r="L542" s="456"/>
      <c r="M542" s="456"/>
      <c r="N542" s="456"/>
      <c r="O542" s="456"/>
      <c r="P542" s="456"/>
      <c r="Q542" s="456"/>
      <c r="R542" s="456"/>
    </row>
    <row r="543" spans="1:18" ht="9.75" customHeight="1" x14ac:dyDescent="0.25">
      <c r="A543" s="456"/>
      <c r="B543" s="456"/>
      <c r="C543" s="456"/>
      <c r="D543" s="456"/>
      <c r="E543" s="456"/>
      <c r="F543" s="456"/>
      <c r="G543" s="456"/>
      <c r="H543" s="456"/>
      <c r="I543" s="456"/>
      <c r="J543" s="456"/>
      <c r="K543" s="456"/>
      <c r="L543" s="456"/>
      <c r="M543" s="456"/>
      <c r="N543" s="456"/>
      <c r="O543" s="456"/>
      <c r="P543" s="456"/>
      <c r="Q543" s="456"/>
      <c r="R543" s="456"/>
    </row>
    <row r="544" spans="1:18" ht="9.75" customHeight="1" x14ac:dyDescent="0.25">
      <c r="A544" s="456"/>
      <c r="B544" s="456"/>
      <c r="C544" s="456"/>
      <c r="D544" s="456"/>
      <c r="E544" s="456"/>
      <c r="F544" s="456"/>
      <c r="G544" s="456"/>
      <c r="H544" s="456"/>
      <c r="I544" s="456"/>
      <c r="J544" s="456"/>
      <c r="K544" s="456"/>
      <c r="L544" s="456"/>
      <c r="M544" s="456"/>
      <c r="N544" s="456"/>
      <c r="O544" s="456"/>
      <c r="P544" s="456"/>
      <c r="Q544" s="456"/>
      <c r="R544" s="456"/>
    </row>
    <row r="545" spans="1:18" ht="9.75" customHeight="1" x14ac:dyDescent="0.25">
      <c r="A545" s="456"/>
      <c r="B545" s="456"/>
      <c r="C545" s="456"/>
      <c r="D545" s="456"/>
      <c r="E545" s="456"/>
      <c r="F545" s="456"/>
      <c r="G545" s="456"/>
      <c r="H545" s="456"/>
      <c r="I545" s="456"/>
      <c r="J545" s="456"/>
      <c r="K545" s="456"/>
      <c r="L545" s="456"/>
      <c r="M545" s="456"/>
      <c r="N545" s="456"/>
      <c r="O545" s="456"/>
      <c r="P545" s="456"/>
      <c r="Q545" s="456"/>
      <c r="R545" s="456"/>
    </row>
    <row r="546" spans="1:18" ht="9.75" customHeight="1" x14ac:dyDescent="0.25">
      <c r="A546" s="456"/>
      <c r="B546" s="456"/>
      <c r="C546" s="456"/>
      <c r="D546" s="456"/>
      <c r="E546" s="456"/>
      <c r="F546" s="456"/>
      <c r="G546" s="456"/>
      <c r="H546" s="456"/>
      <c r="I546" s="456"/>
      <c r="J546" s="456"/>
      <c r="K546" s="456"/>
      <c r="L546" s="456"/>
      <c r="M546" s="456"/>
      <c r="N546" s="456"/>
      <c r="O546" s="456"/>
      <c r="P546" s="456"/>
      <c r="Q546" s="456"/>
      <c r="R546" s="456"/>
    </row>
    <row r="547" spans="1:18" ht="9.75" customHeight="1" x14ac:dyDescent="0.25">
      <c r="A547" s="456"/>
      <c r="B547" s="456"/>
      <c r="C547" s="456"/>
      <c r="D547" s="456"/>
      <c r="E547" s="456"/>
      <c r="F547" s="456"/>
      <c r="G547" s="456"/>
      <c r="H547" s="456"/>
      <c r="I547" s="456"/>
      <c r="J547" s="456"/>
      <c r="K547" s="456"/>
      <c r="L547" s="456"/>
      <c r="M547" s="456"/>
      <c r="N547" s="456"/>
      <c r="O547" s="456"/>
      <c r="P547" s="456"/>
      <c r="Q547" s="456"/>
      <c r="R547" s="456"/>
    </row>
    <row r="548" spans="1:18" ht="9.75" customHeight="1" x14ac:dyDescent="0.25">
      <c r="A548" s="456"/>
      <c r="B548" s="456"/>
      <c r="C548" s="456"/>
      <c r="D548" s="456"/>
      <c r="E548" s="456"/>
      <c r="F548" s="456"/>
      <c r="G548" s="456"/>
      <c r="H548" s="456"/>
      <c r="I548" s="456"/>
      <c r="J548" s="456"/>
      <c r="K548" s="456"/>
      <c r="L548" s="456"/>
      <c r="M548" s="456"/>
      <c r="N548" s="456"/>
      <c r="O548" s="456"/>
      <c r="P548" s="456"/>
      <c r="Q548" s="456"/>
      <c r="R548" s="456"/>
    </row>
    <row r="549" spans="1:18" ht="9.75" customHeight="1" x14ac:dyDescent="0.25">
      <c r="A549" s="456"/>
      <c r="B549" s="456"/>
      <c r="C549" s="456"/>
      <c r="D549" s="456"/>
      <c r="E549" s="456"/>
      <c r="F549" s="456"/>
      <c r="G549" s="456"/>
      <c r="H549" s="456"/>
      <c r="I549" s="456"/>
      <c r="J549" s="456"/>
      <c r="K549" s="456"/>
      <c r="L549" s="456"/>
      <c r="M549" s="456"/>
      <c r="N549" s="456"/>
      <c r="O549" s="456"/>
      <c r="P549" s="456"/>
      <c r="Q549" s="456"/>
      <c r="R549" s="456"/>
    </row>
    <row r="550" spans="1:18" ht="9.75" customHeight="1" x14ac:dyDescent="0.25">
      <c r="A550" s="456"/>
      <c r="B550" s="456"/>
      <c r="C550" s="456"/>
      <c r="D550" s="456"/>
      <c r="E550" s="456"/>
      <c r="F550" s="456"/>
      <c r="G550" s="456"/>
      <c r="H550" s="456"/>
      <c r="I550" s="456"/>
      <c r="J550" s="456"/>
      <c r="K550" s="456"/>
      <c r="L550" s="456"/>
      <c r="M550" s="456"/>
      <c r="N550" s="456"/>
      <c r="O550" s="456"/>
      <c r="P550" s="456"/>
      <c r="Q550" s="456"/>
      <c r="R550" s="456"/>
    </row>
    <row r="551" spans="1:18" ht="9.75" customHeight="1" x14ac:dyDescent="0.25">
      <c r="A551" s="456"/>
      <c r="B551" s="456"/>
      <c r="C551" s="456"/>
      <c r="D551" s="456"/>
      <c r="E551" s="456"/>
      <c r="F551" s="456"/>
      <c r="G551" s="456"/>
      <c r="H551" s="456"/>
      <c r="I551" s="456"/>
      <c r="J551" s="456"/>
      <c r="K551" s="456"/>
      <c r="L551" s="456"/>
      <c r="M551" s="456"/>
      <c r="N551" s="456"/>
      <c r="O551" s="456"/>
      <c r="P551" s="456"/>
      <c r="Q551" s="456"/>
      <c r="R551" s="456"/>
    </row>
    <row r="552" spans="1:18" ht="9.75" customHeight="1" x14ac:dyDescent="0.25">
      <c r="A552" s="456"/>
      <c r="B552" s="456"/>
      <c r="C552" s="456"/>
      <c r="D552" s="456"/>
      <c r="E552" s="456"/>
      <c r="F552" s="456"/>
      <c r="G552" s="456"/>
      <c r="H552" s="456"/>
      <c r="I552" s="456"/>
      <c r="J552" s="456"/>
      <c r="K552" s="456"/>
      <c r="L552" s="456"/>
      <c r="M552" s="456"/>
      <c r="N552" s="456"/>
      <c r="O552" s="456"/>
      <c r="P552" s="456"/>
      <c r="Q552" s="456"/>
      <c r="R552" s="456"/>
    </row>
    <row r="553" spans="1:18" ht="9.75" customHeight="1" x14ac:dyDescent="0.25">
      <c r="A553" s="456"/>
      <c r="B553" s="456"/>
      <c r="C553" s="456"/>
      <c r="D553" s="456"/>
      <c r="E553" s="456"/>
      <c r="F553" s="456"/>
      <c r="G553" s="456"/>
      <c r="H553" s="456"/>
      <c r="I553" s="456"/>
      <c r="J553" s="456"/>
      <c r="K553" s="456"/>
      <c r="L553" s="456"/>
      <c r="M553" s="456"/>
      <c r="N553" s="456"/>
      <c r="O553" s="456"/>
      <c r="P553" s="456"/>
      <c r="Q553" s="456"/>
      <c r="R553" s="456"/>
    </row>
    <row r="554" spans="1:18" ht="9.75" customHeight="1" x14ac:dyDescent="0.25">
      <c r="A554" s="456"/>
      <c r="B554" s="456"/>
      <c r="C554" s="456"/>
      <c r="D554" s="456"/>
      <c r="E554" s="456"/>
      <c r="F554" s="456"/>
      <c r="G554" s="456"/>
      <c r="H554" s="456"/>
      <c r="I554" s="456"/>
      <c r="J554" s="456"/>
      <c r="K554" s="456"/>
      <c r="L554" s="456"/>
      <c r="M554" s="456"/>
      <c r="N554" s="456"/>
      <c r="O554" s="456"/>
      <c r="P554" s="456"/>
      <c r="Q554" s="456"/>
      <c r="R554" s="456"/>
    </row>
    <row r="555" spans="1:18" ht="9.75" customHeight="1" x14ac:dyDescent="0.25">
      <c r="A555" s="456"/>
      <c r="B555" s="456"/>
      <c r="C555" s="456"/>
      <c r="D555" s="456"/>
      <c r="E555" s="456"/>
      <c r="F555" s="456"/>
      <c r="G555" s="456"/>
      <c r="H555" s="456"/>
      <c r="I555" s="456"/>
      <c r="J555" s="456"/>
      <c r="K555" s="456"/>
      <c r="L555" s="456"/>
      <c r="M555" s="456"/>
      <c r="N555" s="456"/>
      <c r="O555" s="456"/>
      <c r="P555" s="456"/>
      <c r="Q555" s="456"/>
      <c r="R555" s="456"/>
    </row>
    <row r="556" spans="1:18" ht="9.75" customHeight="1" x14ac:dyDescent="0.25">
      <c r="A556" s="456"/>
      <c r="B556" s="456"/>
      <c r="C556" s="456"/>
      <c r="D556" s="456"/>
      <c r="E556" s="456"/>
      <c r="F556" s="456"/>
      <c r="G556" s="456"/>
      <c r="H556" s="456"/>
      <c r="I556" s="456"/>
      <c r="J556" s="456"/>
      <c r="K556" s="456"/>
      <c r="L556" s="456"/>
      <c r="M556" s="456"/>
      <c r="N556" s="456"/>
      <c r="O556" s="456"/>
      <c r="P556" s="456"/>
      <c r="Q556" s="456"/>
      <c r="R556" s="456"/>
    </row>
    <row r="557" spans="1:18" ht="9.75" customHeight="1" x14ac:dyDescent="0.25">
      <c r="A557" s="456"/>
      <c r="B557" s="456"/>
      <c r="C557" s="456"/>
      <c r="D557" s="456"/>
      <c r="E557" s="456"/>
      <c r="F557" s="456"/>
      <c r="G557" s="456"/>
      <c r="H557" s="456"/>
      <c r="I557" s="456"/>
      <c r="J557" s="456"/>
      <c r="K557" s="456"/>
      <c r="L557" s="456"/>
      <c r="M557" s="456"/>
      <c r="N557" s="456"/>
      <c r="O557" s="456"/>
      <c r="P557" s="456"/>
      <c r="Q557" s="456"/>
      <c r="R557" s="456"/>
    </row>
    <row r="558" spans="1:18" ht="9.75" customHeight="1" x14ac:dyDescent="0.25">
      <c r="A558" s="456"/>
      <c r="B558" s="456"/>
      <c r="C558" s="456"/>
      <c r="D558" s="456"/>
      <c r="E558" s="456"/>
      <c r="F558" s="456"/>
      <c r="G558" s="456"/>
      <c r="H558" s="456"/>
      <c r="I558" s="456"/>
      <c r="J558" s="456"/>
      <c r="K558" s="456"/>
      <c r="L558" s="456"/>
      <c r="M558" s="456"/>
      <c r="N558" s="456"/>
      <c r="O558" s="456"/>
      <c r="P558" s="456"/>
      <c r="Q558" s="456"/>
      <c r="R558" s="456"/>
    </row>
    <row r="559" spans="1:18" ht="9.75" customHeight="1" x14ac:dyDescent="0.25">
      <c r="A559" s="456"/>
      <c r="B559" s="456"/>
      <c r="C559" s="456"/>
      <c r="D559" s="456"/>
      <c r="E559" s="456"/>
      <c r="F559" s="456"/>
      <c r="G559" s="456"/>
      <c r="H559" s="456"/>
      <c r="I559" s="456"/>
      <c r="J559" s="456"/>
      <c r="K559" s="456"/>
      <c r="L559" s="456"/>
      <c r="M559" s="456"/>
      <c r="N559" s="456"/>
      <c r="O559" s="456"/>
      <c r="P559" s="456"/>
      <c r="Q559" s="456"/>
      <c r="R559" s="456"/>
    </row>
    <row r="560" spans="1:18" ht="9.75" customHeight="1" x14ac:dyDescent="0.25">
      <c r="A560" s="456"/>
      <c r="B560" s="456"/>
      <c r="C560" s="456"/>
      <c r="D560" s="456"/>
      <c r="E560" s="456"/>
      <c r="F560" s="456"/>
      <c r="G560" s="456"/>
      <c r="H560" s="456"/>
      <c r="I560" s="456"/>
      <c r="J560" s="456"/>
      <c r="K560" s="456"/>
      <c r="L560" s="456"/>
      <c r="M560" s="456"/>
      <c r="N560" s="456"/>
      <c r="O560" s="456"/>
      <c r="P560" s="456"/>
      <c r="Q560" s="456"/>
      <c r="R560" s="456"/>
    </row>
    <row r="561" spans="1:18" ht="9.75" customHeight="1" x14ac:dyDescent="0.25">
      <c r="A561" s="456"/>
      <c r="B561" s="456"/>
      <c r="C561" s="456"/>
      <c r="D561" s="456"/>
      <c r="E561" s="456"/>
      <c r="F561" s="456"/>
      <c r="G561" s="456"/>
      <c r="H561" s="456"/>
      <c r="I561" s="456"/>
      <c r="J561" s="456"/>
      <c r="K561" s="456"/>
      <c r="L561" s="456"/>
      <c r="M561" s="456"/>
      <c r="N561" s="456"/>
      <c r="O561" s="456"/>
      <c r="P561" s="456"/>
      <c r="Q561" s="456"/>
      <c r="R561" s="456"/>
    </row>
    <row r="562" spans="1:18" ht="9.75" customHeight="1" x14ac:dyDescent="0.25">
      <c r="A562" s="456"/>
      <c r="B562" s="456"/>
      <c r="C562" s="456"/>
      <c r="D562" s="456"/>
      <c r="E562" s="456"/>
      <c r="F562" s="456"/>
      <c r="G562" s="456"/>
      <c r="H562" s="456"/>
      <c r="I562" s="456"/>
      <c r="J562" s="456"/>
      <c r="K562" s="456"/>
      <c r="L562" s="456"/>
      <c r="M562" s="456"/>
      <c r="N562" s="456"/>
      <c r="O562" s="456"/>
      <c r="P562" s="456"/>
      <c r="Q562" s="456"/>
      <c r="R562" s="456"/>
    </row>
    <row r="563" spans="1:18" ht="9.75" customHeight="1" x14ac:dyDescent="0.25">
      <c r="A563" s="456"/>
      <c r="B563" s="456"/>
      <c r="C563" s="456"/>
      <c r="D563" s="456"/>
      <c r="E563" s="456"/>
      <c r="F563" s="456"/>
      <c r="G563" s="456"/>
      <c r="H563" s="456"/>
      <c r="I563" s="456"/>
      <c r="J563" s="456"/>
      <c r="K563" s="456"/>
      <c r="L563" s="456"/>
      <c r="M563" s="456"/>
      <c r="N563" s="456"/>
      <c r="O563" s="456"/>
      <c r="P563" s="456"/>
      <c r="Q563" s="456"/>
      <c r="R563" s="456"/>
    </row>
    <row r="564" spans="1:18" ht="9.75" customHeight="1" x14ac:dyDescent="0.25">
      <c r="A564" s="456"/>
      <c r="B564" s="456"/>
      <c r="C564" s="456"/>
      <c r="D564" s="456"/>
      <c r="E564" s="456"/>
      <c r="F564" s="456"/>
      <c r="G564" s="456"/>
      <c r="H564" s="456"/>
      <c r="I564" s="456"/>
      <c r="J564" s="456"/>
      <c r="K564" s="456"/>
      <c r="L564" s="456"/>
      <c r="M564" s="456"/>
      <c r="N564" s="456"/>
      <c r="O564" s="456"/>
      <c r="P564" s="456"/>
      <c r="Q564" s="456"/>
      <c r="R564" s="456"/>
    </row>
    <row r="565" spans="1:18" ht="9.75" customHeight="1" x14ac:dyDescent="0.25">
      <c r="A565" s="456"/>
      <c r="B565" s="456"/>
      <c r="C565" s="456"/>
      <c r="D565" s="456"/>
      <c r="E565" s="456"/>
      <c r="F565" s="456"/>
      <c r="G565" s="456"/>
      <c r="H565" s="456"/>
      <c r="I565" s="456"/>
      <c r="J565" s="456"/>
      <c r="K565" s="456"/>
      <c r="L565" s="456"/>
      <c r="M565" s="456"/>
      <c r="N565" s="456"/>
      <c r="O565" s="456"/>
      <c r="P565" s="456"/>
      <c r="Q565" s="456"/>
      <c r="R565" s="456"/>
    </row>
    <row r="566" spans="1:18" ht="9.75" customHeight="1" x14ac:dyDescent="0.25">
      <c r="A566" s="456"/>
      <c r="B566" s="456"/>
      <c r="C566" s="456"/>
      <c r="D566" s="456"/>
      <c r="E566" s="456"/>
      <c r="F566" s="456"/>
      <c r="G566" s="456"/>
      <c r="H566" s="456"/>
      <c r="I566" s="456"/>
      <c r="J566" s="456"/>
      <c r="K566" s="456"/>
      <c r="L566" s="456"/>
      <c r="M566" s="456"/>
      <c r="N566" s="456"/>
      <c r="O566" s="456"/>
      <c r="P566" s="456"/>
      <c r="Q566" s="456"/>
      <c r="R566" s="456"/>
    </row>
    <row r="567" spans="1:18" ht="9.75" customHeight="1" x14ac:dyDescent="0.25">
      <c r="A567" s="456"/>
      <c r="B567" s="456"/>
      <c r="C567" s="456"/>
      <c r="D567" s="456"/>
      <c r="E567" s="456"/>
      <c r="F567" s="456"/>
      <c r="G567" s="456"/>
      <c r="H567" s="456"/>
      <c r="I567" s="456"/>
      <c r="J567" s="456"/>
      <c r="K567" s="456"/>
      <c r="L567" s="456"/>
      <c r="M567" s="456"/>
      <c r="N567" s="456"/>
      <c r="O567" s="456"/>
      <c r="P567" s="456"/>
      <c r="Q567" s="456"/>
      <c r="R567" s="456"/>
    </row>
    <row r="568" spans="1:18" ht="9.75" customHeight="1" x14ac:dyDescent="0.25">
      <c r="A568" s="456"/>
      <c r="B568" s="456"/>
      <c r="C568" s="456"/>
      <c r="D568" s="456"/>
      <c r="E568" s="456"/>
      <c r="F568" s="456"/>
      <c r="G568" s="456"/>
      <c r="H568" s="456"/>
      <c r="I568" s="456"/>
      <c r="J568" s="456"/>
      <c r="K568" s="456"/>
      <c r="L568" s="456"/>
      <c r="M568" s="456"/>
      <c r="N568" s="456"/>
      <c r="O568" s="456"/>
      <c r="P568" s="456"/>
      <c r="Q568" s="456"/>
      <c r="R568" s="456"/>
    </row>
    <row r="569" spans="1:18" ht="9.75" customHeight="1" x14ac:dyDescent="0.25">
      <c r="A569" s="456"/>
      <c r="B569" s="456"/>
      <c r="C569" s="456"/>
      <c r="D569" s="456"/>
      <c r="E569" s="456"/>
      <c r="F569" s="456"/>
      <c r="G569" s="456"/>
      <c r="H569" s="456"/>
      <c r="I569" s="456"/>
      <c r="J569" s="456"/>
      <c r="K569" s="456"/>
      <c r="L569" s="456"/>
      <c r="M569" s="456"/>
      <c r="N569" s="456"/>
      <c r="O569" s="456"/>
      <c r="P569" s="456"/>
      <c r="Q569" s="456"/>
      <c r="R569" s="456"/>
    </row>
    <row r="570" spans="1:18" ht="9.75" customHeight="1" x14ac:dyDescent="0.25">
      <c r="A570" s="456"/>
      <c r="B570" s="456"/>
      <c r="C570" s="456"/>
      <c r="D570" s="456"/>
      <c r="E570" s="456"/>
      <c r="F570" s="456"/>
      <c r="G570" s="456"/>
      <c r="H570" s="456"/>
      <c r="I570" s="456"/>
      <c r="J570" s="456"/>
      <c r="K570" s="456"/>
      <c r="L570" s="456"/>
      <c r="M570" s="456"/>
      <c r="N570" s="456"/>
      <c r="O570" s="456"/>
      <c r="P570" s="456"/>
      <c r="Q570" s="456"/>
      <c r="R570" s="456"/>
    </row>
    <row r="571" spans="1:18" ht="9.75" customHeight="1" x14ac:dyDescent="0.25">
      <c r="A571" s="456"/>
      <c r="B571" s="456"/>
      <c r="C571" s="456"/>
      <c r="D571" s="456"/>
      <c r="E571" s="456"/>
      <c r="F571" s="456"/>
      <c r="G571" s="456"/>
      <c r="H571" s="456"/>
      <c r="I571" s="456"/>
      <c r="J571" s="456"/>
      <c r="K571" s="456"/>
      <c r="L571" s="456"/>
      <c r="M571" s="456"/>
      <c r="N571" s="456"/>
      <c r="O571" s="456"/>
      <c r="P571" s="456"/>
      <c r="Q571" s="456"/>
      <c r="R571" s="456"/>
    </row>
    <row r="572" spans="1:18" ht="9.75" customHeight="1" x14ac:dyDescent="0.25">
      <c r="A572" s="456"/>
      <c r="B572" s="456"/>
      <c r="C572" s="456"/>
      <c r="D572" s="456"/>
      <c r="E572" s="456"/>
      <c r="F572" s="456"/>
      <c r="G572" s="456"/>
      <c r="H572" s="456"/>
      <c r="I572" s="456"/>
      <c r="J572" s="456"/>
      <c r="K572" s="456"/>
      <c r="L572" s="456"/>
      <c r="M572" s="456"/>
      <c r="N572" s="456"/>
      <c r="O572" s="456"/>
      <c r="P572" s="456"/>
      <c r="Q572" s="456"/>
      <c r="R572" s="456"/>
    </row>
    <row r="573" spans="1:18" ht="9.75" customHeight="1" x14ac:dyDescent="0.25">
      <c r="A573" s="456"/>
      <c r="B573" s="456"/>
      <c r="C573" s="456"/>
      <c r="D573" s="456"/>
      <c r="E573" s="456"/>
      <c r="F573" s="456"/>
      <c r="G573" s="456"/>
      <c r="H573" s="456"/>
      <c r="I573" s="456"/>
      <c r="J573" s="456"/>
      <c r="K573" s="456"/>
      <c r="L573" s="456"/>
      <c r="M573" s="456"/>
      <c r="N573" s="456"/>
      <c r="O573" s="456"/>
      <c r="P573" s="456"/>
      <c r="Q573" s="456"/>
      <c r="R573" s="456"/>
    </row>
    <row r="574" spans="1:18" ht="9.75" customHeight="1" x14ac:dyDescent="0.25">
      <c r="A574" s="456"/>
      <c r="B574" s="456"/>
      <c r="C574" s="456"/>
      <c r="D574" s="456"/>
      <c r="E574" s="456"/>
      <c r="F574" s="456"/>
      <c r="G574" s="456"/>
      <c r="H574" s="456"/>
      <c r="I574" s="456"/>
      <c r="J574" s="456"/>
      <c r="K574" s="456"/>
      <c r="L574" s="456"/>
      <c r="M574" s="456"/>
      <c r="N574" s="456"/>
      <c r="O574" s="456"/>
      <c r="P574" s="456"/>
      <c r="Q574" s="456"/>
      <c r="R574" s="456"/>
    </row>
    <row r="575" spans="1:18" ht="9.75" customHeight="1" x14ac:dyDescent="0.25">
      <c r="A575" s="456"/>
      <c r="B575" s="456"/>
      <c r="C575" s="456"/>
      <c r="D575" s="456"/>
      <c r="E575" s="456"/>
      <c r="F575" s="456"/>
      <c r="G575" s="456"/>
      <c r="H575" s="456"/>
      <c r="I575" s="456"/>
      <c r="J575" s="456"/>
      <c r="K575" s="456"/>
      <c r="L575" s="456"/>
      <c r="M575" s="456"/>
      <c r="N575" s="456"/>
      <c r="O575" s="456"/>
      <c r="P575" s="456"/>
      <c r="Q575" s="456"/>
      <c r="R575" s="456"/>
    </row>
    <row r="576" spans="1:18" ht="9.75" customHeight="1" x14ac:dyDescent="0.25">
      <c r="A576" s="456"/>
      <c r="B576" s="456"/>
      <c r="C576" s="456"/>
      <c r="D576" s="456"/>
      <c r="E576" s="456"/>
      <c r="F576" s="456"/>
      <c r="G576" s="456"/>
      <c r="H576" s="456"/>
      <c r="I576" s="456"/>
      <c r="J576" s="456"/>
      <c r="K576" s="456"/>
      <c r="L576" s="456"/>
      <c r="M576" s="456"/>
      <c r="N576" s="456"/>
      <c r="O576" s="456"/>
      <c r="P576" s="456"/>
      <c r="Q576" s="456"/>
      <c r="R576" s="456"/>
    </row>
    <row r="577" spans="1:18" ht="9.75" customHeight="1" x14ac:dyDescent="0.25">
      <c r="A577" s="456"/>
      <c r="B577" s="456"/>
      <c r="C577" s="456"/>
      <c r="D577" s="456"/>
      <c r="E577" s="456"/>
      <c r="F577" s="456"/>
      <c r="G577" s="456"/>
      <c r="H577" s="456"/>
      <c r="I577" s="456"/>
      <c r="J577" s="456"/>
      <c r="K577" s="456"/>
      <c r="L577" s="456"/>
      <c r="M577" s="456"/>
      <c r="N577" s="456"/>
      <c r="O577" s="456"/>
      <c r="P577" s="456"/>
      <c r="Q577" s="456"/>
      <c r="R577" s="456"/>
    </row>
    <row r="578" spans="1:18" ht="9.75" customHeight="1" x14ac:dyDescent="0.25">
      <c r="A578" s="456"/>
      <c r="B578" s="456"/>
      <c r="C578" s="456"/>
      <c r="D578" s="456"/>
      <c r="E578" s="456"/>
      <c r="F578" s="456"/>
      <c r="G578" s="456"/>
      <c r="H578" s="456"/>
      <c r="I578" s="456"/>
      <c r="J578" s="456"/>
      <c r="K578" s="456"/>
      <c r="L578" s="456"/>
      <c r="M578" s="456"/>
      <c r="N578" s="456"/>
      <c r="O578" s="456"/>
      <c r="P578" s="456"/>
      <c r="Q578" s="456"/>
      <c r="R578" s="456"/>
    </row>
    <row r="579" spans="1:18" ht="9.75" customHeight="1" x14ac:dyDescent="0.25">
      <c r="A579" s="456"/>
      <c r="B579" s="456"/>
      <c r="C579" s="456"/>
      <c r="D579" s="456"/>
      <c r="E579" s="456"/>
      <c r="F579" s="456"/>
      <c r="G579" s="456"/>
      <c r="H579" s="456"/>
      <c r="I579" s="456"/>
      <c r="J579" s="456"/>
      <c r="K579" s="456"/>
      <c r="L579" s="456"/>
      <c r="M579" s="456"/>
      <c r="N579" s="456"/>
      <c r="O579" s="456"/>
      <c r="P579" s="456"/>
      <c r="Q579" s="456"/>
      <c r="R579" s="456"/>
    </row>
    <row r="580" spans="1:18" ht="9.75" customHeight="1" x14ac:dyDescent="0.25">
      <c r="A580" s="456"/>
      <c r="B580" s="456"/>
      <c r="C580" s="456"/>
      <c r="D580" s="456"/>
      <c r="E580" s="456"/>
      <c r="F580" s="456"/>
      <c r="G580" s="456"/>
      <c r="H580" s="456"/>
      <c r="I580" s="456"/>
      <c r="J580" s="456"/>
      <c r="K580" s="456"/>
      <c r="L580" s="456"/>
      <c r="M580" s="456"/>
      <c r="N580" s="456"/>
      <c r="O580" s="456"/>
      <c r="P580" s="456"/>
      <c r="Q580" s="456"/>
      <c r="R580" s="456"/>
    </row>
    <row r="581" spans="1:18" ht="9.75" customHeight="1" x14ac:dyDescent="0.25">
      <c r="A581" s="456"/>
      <c r="B581" s="456"/>
      <c r="C581" s="456"/>
      <c r="D581" s="456"/>
      <c r="E581" s="456"/>
      <c r="F581" s="456"/>
      <c r="G581" s="456"/>
      <c r="H581" s="456"/>
      <c r="I581" s="456"/>
      <c r="J581" s="456"/>
      <c r="K581" s="456"/>
      <c r="L581" s="456"/>
      <c r="M581" s="456"/>
      <c r="N581" s="456"/>
      <c r="O581" s="456"/>
      <c r="P581" s="456"/>
      <c r="Q581" s="456"/>
      <c r="R581" s="456"/>
    </row>
    <row r="582" spans="1:18" ht="9.75" customHeight="1" x14ac:dyDescent="0.25">
      <c r="A582" s="456"/>
      <c r="B582" s="456"/>
      <c r="C582" s="456"/>
      <c r="D582" s="456"/>
      <c r="E582" s="456"/>
      <c r="F582" s="456"/>
      <c r="G582" s="456"/>
      <c r="H582" s="456"/>
      <c r="I582" s="456"/>
      <c r="J582" s="456"/>
      <c r="K582" s="456"/>
      <c r="L582" s="456"/>
      <c r="M582" s="456"/>
      <c r="N582" s="456"/>
      <c r="O582" s="456"/>
      <c r="P582" s="456"/>
      <c r="Q582" s="456"/>
      <c r="R582" s="456"/>
    </row>
    <row r="583" spans="1:18" ht="9.75" customHeight="1" x14ac:dyDescent="0.25">
      <c r="A583" s="456"/>
      <c r="B583" s="456"/>
      <c r="C583" s="456"/>
      <c r="D583" s="456"/>
      <c r="E583" s="456"/>
      <c r="F583" s="456"/>
      <c r="G583" s="456"/>
      <c r="H583" s="456"/>
      <c r="I583" s="456"/>
      <c r="J583" s="456"/>
      <c r="K583" s="456"/>
      <c r="L583" s="456"/>
      <c r="M583" s="456"/>
      <c r="N583" s="456"/>
      <c r="O583" s="456"/>
      <c r="P583" s="456"/>
      <c r="Q583" s="456"/>
      <c r="R583" s="456"/>
    </row>
    <row r="584" spans="1:18" ht="9.75" customHeight="1" x14ac:dyDescent="0.25">
      <c r="A584" s="456"/>
      <c r="B584" s="456"/>
      <c r="C584" s="456"/>
      <c r="D584" s="456"/>
      <c r="E584" s="456"/>
      <c r="F584" s="456"/>
      <c r="G584" s="456"/>
      <c r="H584" s="456"/>
      <c r="I584" s="456"/>
      <c r="J584" s="456"/>
      <c r="K584" s="456"/>
      <c r="L584" s="456"/>
      <c r="M584" s="456"/>
      <c r="N584" s="456"/>
      <c r="O584" s="456"/>
      <c r="P584" s="456"/>
      <c r="Q584" s="456"/>
      <c r="R584" s="456"/>
    </row>
    <row r="585" spans="1:18" ht="9.75" customHeight="1" x14ac:dyDescent="0.25">
      <c r="A585" s="456"/>
      <c r="B585" s="456"/>
      <c r="C585" s="456"/>
      <c r="D585" s="456"/>
      <c r="E585" s="456"/>
      <c r="F585" s="456"/>
      <c r="G585" s="456"/>
      <c r="H585" s="456"/>
      <c r="I585" s="456"/>
      <c r="J585" s="456"/>
      <c r="K585" s="456"/>
      <c r="L585" s="456"/>
      <c r="M585" s="456"/>
      <c r="N585" s="456"/>
      <c r="O585" s="456"/>
      <c r="P585" s="456"/>
      <c r="Q585" s="456"/>
      <c r="R585" s="456"/>
    </row>
    <row r="586" spans="1:18" ht="9.75" customHeight="1" x14ac:dyDescent="0.25">
      <c r="A586" s="456"/>
      <c r="B586" s="456"/>
      <c r="C586" s="456"/>
      <c r="D586" s="456"/>
      <c r="E586" s="456"/>
      <c r="F586" s="456"/>
      <c r="G586" s="456"/>
      <c r="H586" s="456"/>
      <c r="I586" s="456"/>
      <c r="J586" s="456"/>
      <c r="K586" s="456"/>
      <c r="L586" s="456"/>
      <c r="M586" s="456"/>
      <c r="N586" s="456"/>
      <c r="O586" s="456"/>
      <c r="P586" s="456"/>
      <c r="Q586" s="456"/>
      <c r="R586" s="456"/>
    </row>
    <row r="587" spans="1:18" ht="9.75" customHeight="1" x14ac:dyDescent="0.25">
      <c r="A587" s="456"/>
      <c r="B587" s="456"/>
      <c r="C587" s="456"/>
      <c r="D587" s="456"/>
      <c r="E587" s="456"/>
      <c r="F587" s="456"/>
      <c r="G587" s="456"/>
      <c r="H587" s="456"/>
      <c r="I587" s="456"/>
      <c r="J587" s="456"/>
      <c r="K587" s="456"/>
      <c r="L587" s="456"/>
      <c r="M587" s="456"/>
      <c r="N587" s="456"/>
      <c r="O587" s="456"/>
      <c r="P587" s="456"/>
      <c r="Q587" s="456"/>
      <c r="R587" s="456"/>
    </row>
    <row r="588" spans="1:18" ht="9.75" customHeight="1" x14ac:dyDescent="0.25">
      <c r="A588" s="456"/>
      <c r="B588" s="456"/>
      <c r="C588" s="456"/>
      <c r="D588" s="456"/>
      <c r="E588" s="456"/>
      <c r="F588" s="456"/>
      <c r="G588" s="456"/>
      <c r="H588" s="456"/>
      <c r="I588" s="456"/>
      <c r="J588" s="456"/>
      <c r="K588" s="456"/>
      <c r="L588" s="456"/>
      <c r="M588" s="456"/>
      <c r="N588" s="456"/>
      <c r="O588" s="456"/>
      <c r="P588" s="456"/>
      <c r="Q588" s="456"/>
      <c r="R588" s="456"/>
    </row>
    <row r="589" spans="1:18" ht="9.75" customHeight="1" x14ac:dyDescent="0.25">
      <c r="A589" s="456"/>
      <c r="B589" s="456"/>
      <c r="C589" s="456"/>
      <c r="D589" s="456"/>
      <c r="E589" s="456"/>
      <c r="F589" s="456"/>
      <c r="G589" s="456"/>
      <c r="H589" s="456"/>
      <c r="I589" s="456"/>
      <c r="J589" s="456"/>
      <c r="K589" s="456"/>
      <c r="L589" s="456"/>
      <c r="M589" s="456"/>
      <c r="N589" s="456"/>
      <c r="O589" s="456"/>
      <c r="P589" s="456"/>
      <c r="Q589" s="456"/>
      <c r="R589" s="456"/>
    </row>
    <row r="590" spans="1:18" ht="9.75" customHeight="1" x14ac:dyDescent="0.25">
      <c r="A590" s="456"/>
      <c r="B590" s="456"/>
      <c r="C590" s="456"/>
      <c r="D590" s="456"/>
      <c r="E590" s="456"/>
      <c r="F590" s="456"/>
      <c r="G590" s="456"/>
      <c r="H590" s="456"/>
      <c r="I590" s="456"/>
      <c r="J590" s="456"/>
      <c r="K590" s="456"/>
      <c r="L590" s="456"/>
      <c r="M590" s="456"/>
      <c r="N590" s="456"/>
      <c r="O590" s="456"/>
      <c r="P590" s="456"/>
      <c r="Q590" s="456"/>
      <c r="R590" s="456"/>
    </row>
    <row r="591" spans="1:18" ht="9.75" customHeight="1" x14ac:dyDescent="0.25">
      <c r="A591" s="456"/>
      <c r="B591" s="456"/>
      <c r="C591" s="456"/>
      <c r="D591" s="456"/>
      <c r="E591" s="456"/>
      <c r="F591" s="456"/>
      <c r="G591" s="456"/>
      <c r="H591" s="456"/>
      <c r="I591" s="456"/>
      <c r="J591" s="456"/>
      <c r="K591" s="456"/>
      <c r="L591" s="456"/>
      <c r="M591" s="456"/>
      <c r="N591" s="456"/>
      <c r="O591" s="456"/>
      <c r="P591" s="456"/>
      <c r="Q591" s="456"/>
      <c r="R591" s="456"/>
    </row>
    <row r="592" spans="1:18" ht="9.75" customHeight="1" x14ac:dyDescent="0.25">
      <c r="A592" s="456"/>
      <c r="B592" s="456"/>
      <c r="C592" s="456"/>
      <c r="D592" s="456"/>
      <c r="E592" s="456"/>
      <c r="F592" s="456"/>
      <c r="G592" s="456"/>
      <c r="H592" s="456"/>
      <c r="I592" s="456"/>
      <c r="J592" s="456"/>
      <c r="K592" s="456"/>
      <c r="L592" s="456"/>
      <c r="M592" s="456"/>
      <c r="N592" s="456"/>
      <c r="O592" s="456"/>
      <c r="P592" s="456"/>
      <c r="Q592" s="456"/>
      <c r="R592" s="456"/>
    </row>
    <row r="593" spans="1:18" ht="9.75" customHeight="1" x14ac:dyDescent="0.25">
      <c r="A593" s="456"/>
      <c r="B593" s="456"/>
      <c r="C593" s="456"/>
      <c r="D593" s="456"/>
      <c r="E593" s="456"/>
      <c r="F593" s="456"/>
      <c r="G593" s="456"/>
      <c r="H593" s="456"/>
      <c r="I593" s="456"/>
      <c r="J593" s="456"/>
      <c r="K593" s="456"/>
      <c r="L593" s="456"/>
      <c r="M593" s="456"/>
      <c r="N593" s="456"/>
      <c r="O593" s="456"/>
      <c r="P593" s="456"/>
      <c r="Q593" s="456"/>
      <c r="R593" s="456"/>
    </row>
    <row r="594" spans="1:18" ht="9.75" customHeight="1" x14ac:dyDescent="0.25">
      <c r="A594" s="456"/>
      <c r="B594" s="456"/>
      <c r="C594" s="456"/>
      <c r="D594" s="456"/>
      <c r="E594" s="456"/>
      <c r="F594" s="456"/>
      <c r="G594" s="456"/>
      <c r="H594" s="456"/>
      <c r="I594" s="456"/>
      <c r="J594" s="456"/>
      <c r="K594" s="456"/>
      <c r="L594" s="456"/>
      <c r="M594" s="456"/>
      <c r="N594" s="456"/>
      <c r="O594" s="456"/>
      <c r="P594" s="456"/>
      <c r="Q594" s="456"/>
      <c r="R594" s="456"/>
    </row>
    <row r="595" spans="1:18" ht="9.75" customHeight="1" x14ac:dyDescent="0.25">
      <c r="A595" s="456"/>
      <c r="B595" s="456"/>
      <c r="C595" s="456"/>
      <c r="D595" s="456"/>
      <c r="E595" s="456"/>
      <c r="F595" s="456"/>
      <c r="G595" s="456"/>
      <c r="H595" s="456"/>
      <c r="I595" s="456"/>
      <c r="J595" s="456"/>
      <c r="K595" s="456"/>
      <c r="L595" s="456"/>
      <c r="M595" s="456"/>
      <c r="N595" s="456"/>
      <c r="O595" s="456"/>
      <c r="P595" s="456"/>
      <c r="Q595" s="456"/>
      <c r="R595" s="456"/>
    </row>
    <row r="596" spans="1:18" ht="9.75" customHeight="1" x14ac:dyDescent="0.25">
      <c r="A596" s="456"/>
      <c r="B596" s="456"/>
      <c r="C596" s="456"/>
      <c r="D596" s="456"/>
      <c r="E596" s="456"/>
      <c r="F596" s="456"/>
      <c r="G596" s="456"/>
      <c r="H596" s="456"/>
      <c r="I596" s="456"/>
      <c r="J596" s="456"/>
      <c r="K596" s="456"/>
      <c r="L596" s="456"/>
      <c r="M596" s="456"/>
      <c r="N596" s="456"/>
      <c r="O596" s="456"/>
      <c r="P596" s="456"/>
      <c r="Q596" s="456"/>
      <c r="R596" s="456"/>
    </row>
    <row r="597" spans="1:18" ht="9.75" customHeight="1" x14ac:dyDescent="0.25">
      <c r="A597" s="456"/>
      <c r="B597" s="456"/>
      <c r="C597" s="456"/>
      <c r="D597" s="456"/>
      <c r="E597" s="456"/>
      <c r="F597" s="456"/>
      <c r="G597" s="456"/>
      <c r="H597" s="456"/>
      <c r="I597" s="456"/>
      <c r="J597" s="456"/>
      <c r="K597" s="456"/>
      <c r="L597" s="456"/>
      <c r="M597" s="456"/>
      <c r="N597" s="456"/>
      <c r="O597" s="456"/>
      <c r="P597" s="456"/>
      <c r="Q597" s="456"/>
      <c r="R597" s="456"/>
    </row>
    <row r="598" spans="1:18" ht="9.75" customHeight="1" x14ac:dyDescent="0.25">
      <c r="A598" s="456"/>
      <c r="B598" s="456"/>
      <c r="C598" s="456"/>
      <c r="D598" s="456"/>
      <c r="E598" s="456"/>
      <c r="F598" s="456"/>
      <c r="G598" s="456"/>
      <c r="H598" s="456"/>
      <c r="I598" s="456"/>
      <c r="J598" s="456"/>
      <c r="K598" s="456"/>
      <c r="L598" s="456"/>
      <c r="M598" s="456"/>
      <c r="N598" s="456"/>
      <c r="O598" s="456"/>
      <c r="P598" s="456"/>
      <c r="Q598" s="456"/>
      <c r="R598" s="456"/>
    </row>
    <row r="599" spans="1:18" ht="9.75" customHeight="1" x14ac:dyDescent="0.25">
      <c r="A599" s="456"/>
      <c r="B599" s="456"/>
      <c r="C599" s="456"/>
      <c r="D599" s="456"/>
      <c r="E599" s="456"/>
      <c r="F599" s="456"/>
      <c r="G599" s="456"/>
      <c r="H599" s="456"/>
      <c r="I599" s="456"/>
      <c r="J599" s="456"/>
      <c r="K599" s="456"/>
      <c r="L599" s="456"/>
      <c r="M599" s="456"/>
      <c r="N599" s="456"/>
      <c r="O599" s="456"/>
      <c r="P599" s="456"/>
      <c r="Q599" s="456"/>
      <c r="R599" s="456"/>
    </row>
    <row r="600" spans="1:18" ht="9.75" customHeight="1" x14ac:dyDescent="0.25">
      <c r="A600" s="456"/>
      <c r="B600" s="456"/>
      <c r="C600" s="456"/>
      <c r="D600" s="456"/>
      <c r="E600" s="456"/>
      <c r="F600" s="456"/>
      <c r="G600" s="456"/>
      <c r="H600" s="456"/>
      <c r="I600" s="456"/>
      <c r="J600" s="456"/>
      <c r="K600" s="456"/>
      <c r="L600" s="456"/>
      <c r="M600" s="456"/>
      <c r="N600" s="456"/>
      <c r="O600" s="456"/>
      <c r="P600" s="456"/>
      <c r="Q600" s="456"/>
      <c r="R600" s="456"/>
    </row>
    <row r="601" spans="1:18" ht="9.75" customHeight="1" x14ac:dyDescent="0.25">
      <c r="A601" s="456"/>
      <c r="B601" s="456"/>
      <c r="C601" s="456"/>
      <c r="D601" s="456"/>
      <c r="E601" s="456"/>
      <c r="F601" s="456"/>
      <c r="G601" s="456"/>
      <c r="H601" s="456"/>
      <c r="I601" s="456"/>
      <c r="J601" s="456"/>
      <c r="K601" s="456"/>
      <c r="L601" s="456"/>
      <c r="M601" s="456"/>
      <c r="N601" s="456"/>
      <c r="O601" s="456"/>
      <c r="P601" s="456"/>
      <c r="Q601" s="456"/>
      <c r="R601" s="456"/>
    </row>
    <row r="602" spans="1:18" ht="9.75" customHeight="1" x14ac:dyDescent="0.25">
      <c r="A602" s="456"/>
      <c r="B602" s="456"/>
      <c r="C602" s="456"/>
      <c r="D602" s="456"/>
      <c r="E602" s="456"/>
      <c r="F602" s="456"/>
      <c r="G602" s="456"/>
      <c r="H602" s="456"/>
      <c r="I602" s="456"/>
      <c r="J602" s="456"/>
      <c r="K602" s="456"/>
      <c r="L602" s="456"/>
      <c r="M602" s="456"/>
      <c r="N602" s="456"/>
      <c r="O602" s="456"/>
      <c r="P602" s="456"/>
      <c r="Q602" s="456"/>
      <c r="R602" s="456"/>
    </row>
    <row r="603" spans="1:18" ht="9.75" customHeight="1" x14ac:dyDescent="0.25">
      <c r="A603" s="456"/>
      <c r="B603" s="456"/>
      <c r="C603" s="456"/>
      <c r="D603" s="456"/>
      <c r="E603" s="456"/>
      <c r="F603" s="456"/>
      <c r="G603" s="456"/>
      <c r="H603" s="456"/>
      <c r="I603" s="456"/>
      <c r="J603" s="456"/>
      <c r="K603" s="456"/>
      <c r="L603" s="456"/>
      <c r="M603" s="456"/>
      <c r="N603" s="456"/>
      <c r="O603" s="456"/>
      <c r="P603" s="456"/>
      <c r="Q603" s="456"/>
      <c r="R603" s="456"/>
    </row>
    <row r="604" spans="1:18" ht="9.75" customHeight="1" x14ac:dyDescent="0.25">
      <c r="A604" s="456"/>
      <c r="B604" s="456"/>
      <c r="C604" s="456"/>
      <c r="D604" s="456"/>
      <c r="E604" s="456"/>
      <c r="F604" s="456"/>
      <c r="G604" s="456"/>
      <c r="H604" s="456"/>
      <c r="I604" s="456"/>
      <c r="J604" s="456"/>
      <c r="K604" s="456"/>
      <c r="L604" s="456"/>
      <c r="M604" s="456"/>
      <c r="N604" s="456"/>
      <c r="O604" s="456"/>
      <c r="P604" s="456"/>
      <c r="Q604" s="456"/>
      <c r="R604" s="456"/>
    </row>
    <row r="605" spans="1:18" ht="9.75" customHeight="1" x14ac:dyDescent="0.25">
      <c r="A605" s="456"/>
      <c r="B605" s="456"/>
      <c r="C605" s="456"/>
      <c r="D605" s="456"/>
      <c r="E605" s="456"/>
      <c r="F605" s="456"/>
      <c r="G605" s="456"/>
      <c r="H605" s="456"/>
      <c r="I605" s="456"/>
      <c r="J605" s="456"/>
      <c r="K605" s="456"/>
      <c r="L605" s="456"/>
      <c r="M605" s="456"/>
      <c r="N605" s="456"/>
      <c r="O605" s="456"/>
      <c r="P605" s="456"/>
      <c r="Q605" s="456"/>
      <c r="R605" s="456"/>
    </row>
    <row r="606" spans="1:18" ht="9.75" customHeight="1" x14ac:dyDescent="0.25">
      <c r="A606" s="456"/>
      <c r="B606" s="456"/>
      <c r="C606" s="456"/>
      <c r="D606" s="456"/>
      <c r="E606" s="456"/>
      <c r="F606" s="456"/>
      <c r="G606" s="456"/>
      <c r="H606" s="456"/>
      <c r="I606" s="456"/>
      <c r="J606" s="456"/>
      <c r="K606" s="456"/>
      <c r="L606" s="456"/>
      <c r="M606" s="456"/>
      <c r="N606" s="456"/>
      <c r="O606" s="456"/>
      <c r="P606" s="456"/>
      <c r="Q606" s="456"/>
      <c r="R606" s="456"/>
    </row>
    <row r="607" spans="1:18" ht="9.75" customHeight="1" x14ac:dyDescent="0.25">
      <c r="A607" s="456"/>
      <c r="B607" s="456"/>
      <c r="C607" s="456"/>
      <c r="D607" s="456"/>
      <c r="E607" s="456"/>
      <c r="F607" s="456"/>
      <c r="G607" s="456"/>
      <c r="H607" s="456"/>
      <c r="I607" s="456"/>
      <c r="J607" s="456"/>
      <c r="K607" s="456"/>
      <c r="L607" s="456"/>
      <c r="M607" s="456"/>
      <c r="N607" s="456"/>
      <c r="O607" s="456"/>
      <c r="P607" s="456"/>
      <c r="Q607" s="456"/>
      <c r="R607" s="456"/>
    </row>
    <row r="608" spans="1:18" ht="9.75" customHeight="1" x14ac:dyDescent="0.25">
      <c r="A608" s="456"/>
      <c r="B608" s="456"/>
      <c r="C608" s="456"/>
      <c r="D608" s="456"/>
      <c r="E608" s="456"/>
      <c r="F608" s="456"/>
      <c r="G608" s="456"/>
      <c r="H608" s="456"/>
      <c r="I608" s="456"/>
      <c r="J608" s="456"/>
      <c r="K608" s="456"/>
      <c r="L608" s="456"/>
      <c r="M608" s="456"/>
      <c r="N608" s="456"/>
      <c r="O608" s="456"/>
      <c r="P608" s="456"/>
      <c r="Q608" s="456"/>
      <c r="R608" s="456"/>
    </row>
    <row r="609" spans="1:18" ht="9.75" customHeight="1" x14ac:dyDescent="0.25">
      <c r="A609" s="456"/>
      <c r="B609" s="456"/>
      <c r="C609" s="456"/>
      <c r="D609" s="456"/>
      <c r="E609" s="456"/>
      <c r="F609" s="456"/>
      <c r="G609" s="456"/>
      <c r="H609" s="456"/>
      <c r="I609" s="456"/>
      <c r="J609" s="456"/>
      <c r="K609" s="456"/>
      <c r="L609" s="456"/>
      <c r="M609" s="456"/>
      <c r="N609" s="456"/>
      <c r="O609" s="456"/>
      <c r="P609" s="456"/>
      <c r="Q609" s="456"/>
      <c r="R609" s="456"/>
    </row>
    <row r="610" spans="1:18" ht="9.75" customHeight="1" x14ac:dyDescent="0.25">
      <c r="A610" s="456"/>
      <c r="B610" s="456"/>
      <c r="C610" s="456"/>
      <c r="D610" s="456"/>
      <c r="E610" s="456"/>
      <c r="F610" s="456"/>
      <c r="G610" s="456"/>
      <c r="H610" s="456"/>
      <c r="I610" s="456"/>
      <c r="J610" s="456"/>
      <c r="K610" s="456"/>
      <c r="L610" s="456"/>
      <c r="M610" s="456"/>
      <c r="N610" s="456"/>
      <c r="O610" s="456"/>
      <c r="P610" s="456"/>
      <c r="Q610" s="456"/>
      <c r="R610" s="456"/>
    </row>
    <row r="611" spans="1:18" ht="9.75" customHeight="1" x14ac:dyDescent="0.25">
      <c r="A611" s="456"/>
      <c r="B611" s="456"/>
      <c r="C611" s="456"/>
      <c r="D611" s="456"/>
      <c r="E611" s="456"/>
      <c r="F611" s="456"/>
      <c r="G611" s="456"/>
      <c r="H611" s="456"/>
      <c r="I611" s="456"/>
      <c r="J611" s="456"/>
      <c r="K611" s="456"/>
      <c r="L611" s="456"/>
      <c r="M611" s="456"/>
      <c r="N611" s="456"/>
      <c r="O611" s="456"/>
      <c r="P611" s="456"/>
      <c r="Q611" s="456"/>
      <c r="R611" s="456"/>
    </row>
    <row r="612" spans="1:18" ht="9.75" customHeight="1" x14ac:dyDescent="0.25">
      <c r="A612" s="456"/>
      <c r="B612" s="456"/>
      <c r="C612" s="456"/>
      <c r="D612" s="456"/>
      <c r="E612" s="456"/>
      <c r="F612" s="456"/>
      <c r="G612" s="456"/>
      <c r="H612" s="456"/>
      <c r="I612" s="456"/>
      <c r="J612" s="456"/>
      <c r="K612" s="456"/>
      <c r="L612" s="456"/>
      <c r="M612" s="456"/>
      <c r="N612" s="456"/>
      <c r="O612" s="456"/>
      <c r="P612" s="456"/>
      <c r="Q612" s="456"/>
      <c r="R612" s="456"/>
    </row>
    <row r="613" spans="1:18" ht="9.75" customHeight="1" x14ac:dyDescent="0.25">
      <c r="A613" s="456"/>
      <c r="B613" s="456"/>
      <c r="C613" s="456"/>
      <c r="D613" s="456"/>
      <c r="E613" s="456"/>
      <c r="F613" s="456"/>
      <c r="G613" s="456"/>
      <c r="H613" s="456"/>
      <c r="I613" s="456"/>
      <c r="J613" s="456"/>
      <c r="K613" s="456"/>
      <c r="L613" s="456"/>
      <c r="M613" s="456"/>
      <c r="N613" s="456"/>
      <c r="O613" s="456"/>
      <c r="P613" s="456"/>
      <c r="Q613" s="456"/>
      <c r="R613" s="456"/>
    </row>
    <row r="614" spans="1:18" ht="9.75" customHeight="1" x14ac:dyDescent="0.25">
      <c r="A614" s="456"/>
      <c r="B614" s="456"/>
      <c r="C614" s="456"/>
      <c r="D614" s="456"/>
      <c r="E614" s="456"/>
      <c r="F614" s="456"/>
      <c r="G614" s="456"/>
      <c r="H614" s="456"/>
      <c r="I614" s="456"/>
      <c r="J614" s="456"/>
      <c r="K614" s="456"/>
      <c r="L614" s="456"/>
      <c r="M614" s="456"/>
      <c r="N614" s="456"/>
      <c r="O614" s="456"/>
      <c r="P614" s="456"/>
      <c r="Q614" s="456"/>
      <c r="R614" s="456"/>
    </row>
    <row r="615" spans="1:18" ht="9.75" customHeight="1" x14ac:dyDescent="0.25">
      <c r="A615" s="456"/>
      <c r="B615" s="456"/>
      <c r="C615" s="456"/>
      <c r="D615" s="456"/>
      <c r="E615" s="456"/>
      <c r="F615" s="456"/>
      <c r="G615" s="456"/>
      <c r="H615" s="456"/>
      <c r="I615" s="456"/>
      <c r="J615" s="456"/>
      <c r="K615" s="456"/>
      <c r="L615" s="456"/>
      <c r="M615" s="456"/>
      <c r="N615" s="456"/>
      <c r="O615" s="456"/>
      <c r="P615" s="456"/>
      <c r="Q615" s="456"/>
      <c r="R615" s="456"/>
    </row>
    <row r="616" spans="1:18" ht="9.75" customHeight="1" x14ac:dyDescent="0.25">
      <c r="A616" s="456"/>
      <c r="B616" s="456"/>
      <c r="C616" s="456"/>
      <c r="D616" s="456"/>
      <c r="E616" s="456"/>
      <c r="F616" s="456"/>
      <c r="G616" s="456"/>
      <c r="H616" s="456"/>
      <c r="I616" s="456"/>
      <c r="J616" s="456"/>
      <c r="K616" s="456"/>
      <c r="L616" s="456"/>
      <c r="M616" s="456"/>
      <c r="N616" s="456"/>
      <c r="O616" s="456"/>
      <c r="P616" s="456"/>
      <c r="Q616" s="456"/>
      <c r="R616" s="456"/>
    </row>
    <row r="617" spans="1:18" ht="9.75" customHeight="1" x14ac:dyDescent="0.25">
      <c r="A617" s="456"/>
      <c r="B617" s="456"/>
      <c r="C617" s="456"/>
      <c r="D617" s="456"/>
      <c r="E617" s="456"/>
      <c r="F617" s="456"/>
      <c r="G617" s="456"/>
      <c r="H617" s="456"/>
      <c r="I617" s="456"/>
      <c r="J617" s="456"/>
      <c r="K617" s="456"/>
      <c r="L617" s="456"/>
      <c r="M617" s="456"/>
      <c r="N617" s="456"/>
      <c r="O617" s="456"/>
      <c r="P617" s="456"/>
      <c r="Q617" s="456"/>
      <c r="R617" s="456"/>
    </row>
    <row r="618" spans="1:18" ht="9.75" customHeight="1" x14ac:dyDescent="0.25">
      <c r="A618" s="456"/>
      <c r="B618" s="456"/>
      <c r="C618" s="456"/>
      <c r="D618" s="456"/>
      <c r="E618" s="456"/>
      <c r="F618" s="456"/>
      <c r="G618" s="456"/>
      <c r="H618" s="456"/>
      <c r="I618" s="456"/>
      <c r="J618" s="456"/>
      <c r="K618" s="456"/>
      <c r="L618" s="456"/>
      <c r="M618" s="456"/>
      <c r="N618" s="456"/>
      <c r="O618" s="456"/>
      <c r="P618" s="456"/>
      <c r="Q618" s="456"/>
      <c r="R618" s="456"/>
    </row>
    <row r="619" spans="1:18" ht="9.75" customHeight="1" x14ac:dyDescent="0.25">
      <c r="A619" s="456"/>
      <c r="B619" s="456"/>
      <c r="C619" s="456"/>
      <c r="D619" s="456"/>
      <c r="E619" s="456"/>
      <c r="F619" s="456"/>
      <c r="G619" s="456"/>
      <c r="H619" s="456"/>
      <c r="I619" s="456"/>
      <c r="J619" s="456"/>
      <c r="K619" s="456"/>
      <c r="L619" s="456"/>
      <c r="M619" s="456"/>
      <c r="N619" s="456"/>
      <c r="O619" s="456"/>
      <c r="P619" s="456"/>
      <c r="Q619" s="456"/>
      <c r="R619" s="456"/>
    </row>
    <row r="620" spans="1:18" ht="9.75" customHeight="1" x14ac:dyDescent="0.25">
      <c r="A620" s="456"/>
      <c r="B620" s="456"/>
      <c r="C620" s="456"/>
      <c r="D620" s="456"/>
      <c r="E620" s="456"/>
      <c r="F620" s="456"/>
      <c r="G620" s="456"/>
      <c r="H620" s="456"/>
      <c r="I620" s="456"/>
      <c r="J620" s="456"/>
      <c r="K620" s="456"/>
      <c r="L620" s="456"/>
      <c r="M620" s="456"/>
      <c r="N620" s="456"/>
      <c r="O620" s="456"/>
      <c r="P620" s="456"/>
      <c r="Q620" s="456"/>
      <c r="R620" s="456"/>
    </row>
    <row r="621" spans="1:18" ht="9.75" customHeight="1" x14ac:dyDescent="0.25">
      <c r="A621" s="456"/>
      <c r="B621" s="456"/>
      <c r="C621" s="456"/>
      <c r="D621" s="456"/>
      <c r="E621" s="456"/>
      <c r="F621" s="456"/>
      <c r="G621" s="456"/>
      <c r="H621" s="456"/>
      <c r="I621" s="456"/>
      <c r="J621" s="456"/>
      <c r="K621" s="456"/>
      <c r="L621" s="456"/>
      <c r="M621" s="456"/>
      <c r="N621" s="456"/>
      <c r="O621" s="456"/>
      <c r="P621" s="456"/>
      <c r="Q621" s="456"/>
      <c r="R621" s="456"/>
    </row>
    <row r="622" spans="1:18" ht="9.75" customHeight="1" x14ac:dyDescent="0.25">
      <c r="A622" s="456"/>
      <c r="B622" s="456"/>
      <c r="C622" s="456"/>
      <c r="D622" s="456"/>
      <c r="E622" s="456"/>
      <c r="F622" s="456"/>
      <c r="G622" s="456"/>
      <c r="H622" s="456"/>
      <c r="I622" s="456"/>
      <c r="J622" s="456"/>
      <c r="K622" s="456"/>
      <c r="L622" s="456"/>
      <c r="M622" s="456"/>
      <c r="N622" s="456"/>
      <c r="O622" s="456"/>
      <c r="P622" s="456"/>
      <c r="Q622" s="456"/>
      <c r="R622" s="456"/>
    </row>
    <row r="623" spans="1:18" ht="9.75" customHeight="1" x14ac:dyDescent="0.25">
      <c r="A623" s="456"/>
      <c r="B623" s="456"/>
      <c r="C623" s="456"/>
      <c r="D623" s="456"/>
      <c r="E623" s="456"/>
      <c r="F623" s="456"/>
      <c r="G623" s="456"/>
      <c r="H623" s="456"/>
      <c r="I623" s="456"/>
      <c r="J623" s="456"/>
      <c r="K623" s="456"/>
      <c r="L623" s="456"/>
      <c r="M623" s="456"/>
      <c r="N623" s="456"/>
      <c r="O623" s="456"/>
      <c r="P623" s="456"/>
      <c r="Q623" s="456"/>
      <c r="R623" s="456"/>
    </row>
    <row r="624" spans="1:18" ht="9.75" customHeight="1" x14ac:dyDescent="0.25">
      <c r="A624" s="456"/>
      <c r="B624" s="456"/>
      <c r="C624" s="456"/>
      <c r="D624" s="456"/>
      <c r="E624" s="456"/>
      <c r="F624" s="456"/>
      <c r="G624" s="456"/>
      <c r="H624" s="456"/>
      <c r="I624" s="456"/>
      <c r="J624" s="456"/>
      <c r="K624" s="456"/>
      <c r="L624" s="456"/>
      <c r="M624" s="456"/>
      <c r="N624" s="456"/>
      <c r="O624" s="456"/>
      <c r="P624" s="456"/>
      <c r="Q624" s="456"/>
      <c r="R624" s="456"/>
    </row>
    <row r="625" spans="1:18" ht="9.75" customHeight="1" x14ac:dyDescent="0.25">
      <c r="A625" s="456"/>
      <c r="B625" s="456"/>
      <c r="C625" s="456"/>
      <c r="D625" s="456"/>
      <c r="E625" s="456"/>
      <c r="F625" s="456"/>
      <c r="G625" s="456"/>
      <c r="H625" s="456"/>
      <c r="I625" s="456"/>
      <c r="J625" s="456"/>
      <c r="K625" s="456"/>
      <c r="L625" s="456"/>
      <c r="M625" s="456"/>
      <c r="N625" s="456"/>
      <c r="O625" s="456"/>
      <c r="P625" s="456"/>
      <c r="Q625" s="456"/>
      <c r="R625" s="456"/>
    </row>
    <row r="626" spans="1:18" ht="9.75" customHeight="1" x14ac:dyDescent="0.25">
      <c r="A626" s="456"/>
      <c r="B626" s="456"/>
      <c r="C626" s="456"/>
      <c r="D626" s="456"/>
      <c r="E626" s="456"/>
      <c r="F626" s="456"/>
      <c r="G626" s="456"/>
      <c r="H626" s="456"/>
      <c r="I626" s="456"/>
      <c r="J626" s="456"/>
      <c r="K626" s="456"/>
      <c r="L626" s="456"/>
      <c r="M626" s="456"/>
      <c r="N626" s="456"/>
      <c r="O626" s="456"/>
      <c r="P626" s="456"/>
      <c r="Q626" s="456"/>
      <c r="R626" s="456"/>
    </row>
    <row r="627" spans="1:18" ht="9.75" customHeight="1" x14ac:dyDescent="0.25">
      <c r="A627" s="456"/>
      <c r="B627" s="456"/>
      <c r="C627" s="456"/>
      <c r="D627" s="456"/>
      <c r="E627" s="456"/>
      <c r="F627" s="456"/>
      <c r="G627" s="456"/>
      <c r="H627" s="456"/>
      <c r="I627" s="456"/>
      <c r="J627" s="456"/>
      <c r="K627" s="456"/>
      <c r="L627" s="456"/>
      <c r="M627" s="456"/>
      <c r="N627" s="456"/>
      <c r="O627" s="456"/>
      <c r="P627" s="456"/>
      <c r="Q627" s="456"/>
      <c r="R627" s="456"/>
    </row>
    <row r="628" spans="1:18" ht="9.75" customHeight="1" x14ac:dyDescent="0.25">
      <c r="A628" s="456"/>
      <c r="B628" s="456"/>
      <c r="C628" s="456"/>
      <c r="D628" s="456"/>
      <c r="E628" s="456"/>
      <c r="F628" s="456"/>
      <c r="G628" s="456"/>
      <c r="H628" s="456"/>
      <c r="I628" s="456"/>
      <c r="J628" s="456"/>
      <c r="K628" s="456"/>
      <c r="L628" s="456"/>
      <c r="M628" s="456"/>
      <c r="N628" s="456"/>
      <c r="O628" s="456"/>
      <c r="P628" s="456"/>
      <c r="Q628" s="456"/>
      <c r="R628" s="456"/>
    </row>
    <row r="629" spans="1:18" ht="9.75" customHeight="1" x14ac:dyDescent="0.25">
      <c r="A629" s="456"/>
      <c r="B629" s="456"/>
      <c r="C629" s="456"/>
      <c r="D629" s="456"/>
      <c r="E629" s="456"/>
      <c r="F629" s="456"/>
      <c r="G629" s="456"/>
      <c r="H629" s="456"/>
      <c r="I629" s="456"/>
      <c r="J629" s="456"/>
      <c r="K629" s="456"/>
      <c r="L629" s="456"/>
      <c r="M629" s="456"/>
      <c r="N629" s="456"/>
      <c r="O629" s="456"/>
      <c r="P629" s="456"/>
      <c r="Q629" s="456"/>
      <c r="R629" s="456"/>
    </row>
    <row r="630" spans="1:18" ht="9.75" customHeight="1" x14ac:dyDescent="0.25">
      <c r="A630" s="456"/>
      <c r="B630" s="456"/>
      <c r="C630" s="456"/>
      <c r="D630" s="456"/>
      <c r="E630" s="456"/>
      <c r="F630" s="456"/>
      <c r="G630" s="456"/>
      <c r="H630" s="456"/>
      <c r="I630" s="456"/>
      <c r="J630" s="456"/>
      <c r="K630" s="456"/>
      <c r="L630" s="456"/>
      <c r="M630" s="456"/>
      <c r="N630" s="456"/>
      <c r="O630" s="456"/>
      <c r="P630" s="456"/>
      <c r="Q630" s="456"/>
      <c r="R630" s="456"/>
    </row>
    <row r="631" spans="1:18" ht="9.75" customHeight="1" x14ac:dyDescent="0.25">
      <c r="A631" s="456"/>
      <c r="B631" s="456"/>
      <c r="C631" s="456"/>
      <c r="D631" s="456"/>
      <c r="E631" s="456"/>
      <c r="F631" s="456"/>
      <c r="G631" s="456"/>
      <c r="H631" s="456"/>
      <c r="I631" s="456"/>
      <c r="J631" s="456"/>
      <c r="K631" s="456"/>
      <c r="L631" s="456"/>
      <c r="M631" s="456"/>
      <c r="N631" s="456"/>
      <c r="O631" s="456"/>
      <c r="P631" s="456"/>
      <c r="Q631" s="456"/>
      <c r="R631" s="456"/>
    </row>
    <row r="632" spans="1:18" ht="9.75" customHeight="1" x14ac:dyDescent="0.25">
      <c r="A632" s="456"/>
      <c r="B632" s="456"/>
      <c r="C632" s="456"/>
      <c r="D632" s="456"/>
      <c r="E632" s="456"/>
      <c r="F632" s="456"/>
      <c r="G632" s="456"/>
      <c r="H632" s="456"/>
      <c r="I632" s="456"/>
      <c r="J632" s="456"/>
      <c r="K632" s="456"/>
      <c r="L632" s="456"/>
      <c r="M632" s="456"/>
      <c r="N632" s="456"/>
      <c r="O632" s="456"/>
      <c r="P632" s="456"/>
      <c r="Q632" s="456"/>
      <c r="R632" s="456"/>
    </row>
    <row r="633" spans="1:18" ht="9.75" customHeight="1" x14ac:dyDescent="0.25">
      <c r="A633" s="456"/>
      <c r="B633" s="456"/>
      <c r="C633" s="456"/>
      <c r="D633" s="456"/>
      <c r="E633" s="456"/>
      <c r="F633" s="456"/>
      <c r="G633" s="456"/>
      <c r="H633" s="456"/>
      <c r="I633" s="456"/>
      <c r="J633" s="456"/>
      <c r="K633" s="456"/>
      <c r="L633" s="456"/>
      <c r="M633" s="456"/>
      <c r="N633" s="456"/>
      <c r="O633" s="456"/>
      <c r="P633" s="456"/>
      <c r="Q633" s="456"/>
      <c r="R633" s="456"/>
    </row>
    <row r="634" spans="1:18" ht="9.75" customHeight="1" x14ac:dyDescent="0.25">
      <c r="A634" s="456"/>
      <c r="B634" s="456"/>
      <c r="C634" s="456"/>
      <c r="D634" s="456"/>
      <c r="E634" s="456"/>
      <c r="F634" s="456"/>
      <c r="G634" s="456"/>
      <c r="H634" s="456"/>
      <c r="I634" s="456"/>
      <c r="J634" s="456"/>
      <c r="K634" s="456"/>
      <c r="L634" s="456"/>
      <c r="M634" s="456"/>
      <c r="N634" s="456"/>
      <c r="O634" s="456"/>
      <c r="P634" s="456"/>
      <c r="Q634" s="456"/>
      <c r="R634" s="456"/>
    </row>
    <row r="635" spans="1:18" ht="9.75" customHeight="1" x14ac:dyDescent="0.25">
      <c r="A635" s="456"/>
      <c r="B635" s="456"/>
      <c r="C635" s="456"/>
      <c r="D635" s="456"/>
      <c r="E635" s="456"/>
      <c r="F635" s="456"/>
      <c r="G635" s="456"/>
      <c r="H635" s="456"/>
      <c r="I635" s="456"/>
      <c r="J635" s="456"/>
      <c r="K635" s="456"/>
      <c r="L635" s="456"/>
      <c r="M635" s="456"/>
      <c r="N635" s="456"/>
      <c r="O635" s="456"/>
      <c r="P635" s="456"/>
      <c r="Q635" s="456"/>
      <c r="R635" s="456"/>
    </row>
    <row r="636" spans="1:18" ht="9.75" customHeight="1" x14ac:dyDescent="0.25">
      <c r="A636" s="456"/>
      <c r="B636" s="456"/>
      <c r="C636" s="456"/>
      <c r="D636" s="456"/>
      <c r="E636" s="456"/>
      <c r="F636" s="456"/>
      <c r="G636" s="456"/>
      <c r="H636" s="456"/>
      <c r="I636" s="456"/>
      <c r="J636" s="456"/>
      <c r="K636" s="456"/>
      <c r="L636" s="456"/>
      <c r="M636" s="456"/>
      <c r="N636" s="456"/>
      <c r="O636" s="456"/>
      <c r="P636" s="456"/>
      <c r="Q636" s="456"/>
      <c r="R636" s="456"/>
    </row>
    <row r="637" spans="1:18" ht="9.75" customHeight="1" x14ac:dyDescent="0.25">
      <c r="A637" s="456"/>
      <c r="B637" s="456"/>
      <c r="C637" s="456"/>
      <c r="D637" s="456"/>
      <c r="E637" s="456"/>
      <c r="F637" s="456"/>
      <c r="G637" s="456"/>
      <c r="H637" s="456"/>
      <c r="I637" s="456"/>
      <c r="J637" s="456"/>
      <c r="K637" s="456"/>
      <c r="L637" s="456"/>
      <c r="M637" s="456"/>
      <c r="N637" s="456"/>
      <c r="O637" s="456"/>
      <c r="P637" s="456"/>
      <c r="Q637" s="456"/>
      <c r="R637" s="456"/>
    </row>
    <row r="638" spans="1:18" ht="9.75" customHeight="1" x14ac:dyDescent="0.25">
      <c r="A638" s="456"/>
      <c r="B638" s="456"/>
      <c r="C638" s="456"/>
      <c r="D638" s="456"/>
      <c r="E638" s="456"/>
      <c r="F638" s="456"/>
      <c r="G638" s="456"/>
      <c r="H638" s="456"/>
      <c r="I638" s="456"/>
      <c r="J638" s="456"/>
      <c r="K638" s="456"/>
      <c r="L638" s="456"/>
      <c r="M638" s="456"/>
      <c r="N638" s="456"/>
      <c r="O638" s="456"/>
      <c r="P638" s="456"/>
      <c r="Q638" s="456"/>
      <c r="R638" s="456"/>
    </row>
    <row r="639" spans="1:18" ht="9.75" customHeight="1" x14ac:dyDescent="0.25">
      <c r="A639" s="456"/>
      <c r="B639" s="456"/>
      <c r="C639" s="456"/>
      <c r="D639" s="456"/>
      <c r="E639" s="456"/>
      <c r="F639" s="456"/>
      <c r="G639" s="456"/>
      <c r="H639" s="456"/>
      <c r="I639" s="456"/>
      <c r="J639" s="456"/>
      <c r="K639" s="456"/>
      <c r="L639" s="456"/>
      <c r="M639" s="456"/>
      <c r="N639" s="456"/>
      <c r="O639" s="456"/>
      <c r="P639" s="456"/>
      <c r="Q639" s="456"/>
      <c r="R639" s="456"/>
    </row>
    <row r="640" spans="1:18" ht="9.75" customHeight="1" x14ac:dyDescent="0.25">
      <c r="A640" s="456"/>
      <c r="B640" s="456"/>
      <c r="C640" s="456"/>
      <c r="D640" s="456"/>
      <c r="E640" s="456"/>
      <c r="F640" s="456"/>
      <c r="G640" s="456"/>
      <c r="H640" s="456"/>
      <c r="I640" s="456"/>
      <c r="J640" s="456"/>
      <c r="K640" s="456"/>
      <c r="L640" s="456"/>
      <c r="M640" s="456"/>
      <c r="N640" s="456"/>
      <c r="O640" s="456"/>
      <c r="P640" s="456"/>
      <c r="Q640" s="456"/>
      <c r="R640" s="456"/>
    </row>
    <row r="641" spans="1:18" ht="9.75" customHeight="1" x14ac:dyDescent="0.25">
      <c r="A641" s="456"/>
      <c r="B641" s="456"/>
      <c r="C641" s="456"/>
      <c r="D641" s="456"/>
      <c r="E641" s="456"/>
      <c r="F641" s="456"/>
      <c r="G641" s="456"/>
      <c r="H641" s="456"/>
      <c r="I641" s="456"/>
      <c r="J641" s="456"/>
      <c r="K641" s="456"/>
      <c r="L641" s="456"/>
      <c r="M641" s="456"/>
      <c r="N641" s="456"/>
      <c r="O641" s="456"/>
      <c r="P641" s="456"/>
      <c r="Q641" s="456"/>
      <c r="R641" s="456"/>
    </row>
    <row r="642" spans="1:18" ht="9.75" customHeight="1" x14ac:dyDescent="0.25">
      <c r="A642" s="456"/>
      <c r="B642" s="456"/>
      <c r="C642" s="456"/>
      <c r="D642" s="456"/>
      <c r="E642" s="456"/>
      <c r="F642" s="456"/>
      <c r="G642" s="456"/>
      <c r="H642" s="456"/>
      <c r="I642" s="456"/>
      <c r="J642" s="456"/>
      <c r="K642" s="456"/>
      <c r="L642" s="456"/>
      <c r="M642" s="456"/>
      <c r="N642" s="456"/>
      <c r="O642" s="456"/>
      <c r="P642" s="456"/>
      <c r="Q642" s="456"/>
      <c r="R642" s="456"/>
    </row>
    <row r="643" spans="1:18" ht="9.75" customHeight="1" x14ac:dyDescent="0.25">
      <c r="A643" s="456"/>
      <c r="B643" s="456"/>
      <c r="C643" s="456"/>
      <c r="D643" s="456"/>
      <c r="E643" s="456"/>
      <c r="F643" s="456"/>
      <c r="G643" s="456"/>
      <c r="H643" s="456"/>
      <c r="I643" s="456"/>
      <c r="J643" s="456"/>
      <c r="K643" s="456"/>
      <c r="L643" s="456"/>
      <c r="M643" s="456"/>
      <c r="N643" s="456"/>
      <c r="O643" s="456"/>
      <c r="P643" s="456"/>
      <c r="Q643" s="456"/>
      <c r="R643" s="456"/>
    </row>
    <row r="644" spans="1:18" ht="9.75" customHeight="1" x14ac:dyDescent="0.25">
      <c r="A644" s="456"/>
      <c r="B644" s="456"/>
      <c r="C644" s="456"/>
      <c r="D644" s="456"/>
      <c r="E644" s="456"/>
      <c r="F644" s="456"/>
      <c r="G644" s="456"/>
      <c r="H644" s="456"/>
      <c r="I644" s="456"/>
      <c r="J644" s="456"/>
      <c r="K644" s="456"/>
      <c r="L644" s="456"/>
      <c r="M644" s="456"/>
      <c r="N644" s="456"/>
      <c r="O644" s="456"/>
      <c r="P644" s="456"/>
      <c r="Q644" s="456"/>
      <c r="R644" s="456"/>
    </row>
    <row r="645" spans="1:18" ht="9.75" customHeight="1" x14ac:dyDescent="0.25">
      <c r="A645" s="456"/>
      <c r="B645" s="456"/>
      <c r="C645" s="456"/>
      <c r="D645" s="456"/>
      <c r="E645" s="456"/>
      <c r="F645" s="456"/>
      <c r="G645" s="456"/>
      <c r="H645" s="456"/>
      <c r="I645" s="456"/>
      <c r="J645" s="456"/>
      <c r="K645" s="456"/>
      <c r="L645" s="456"/>
      <c r="M645" s="456"/>
      <c r="N645" s="456"/>
      <c r="O645" s="456"/>
      <c r="P645" s="456"/>
      <c r="Q645" s="456"/>
      <c r="R645" s="456"/>
    </row>
    <row r="646" spans="1:18" ht="9.75" customHeight="1" x14ac:dyDescent="0.25">
      <c r="A646" s="456"/>
      <c r="B646" s="456"/>
      <c r="C646" s="456"/>
      <c r="D646" s="456"/>
      <c r="E646" s="456"/>
      <c r="F646" s="456"/>
      <c r="G646" s="456"/>
      <c r="H646" s="456"/>
      <c r="I646" s="456"/>
      <c r="J646" s="456"/>
      <c r="K646" s="456"/>
      <c r="L646" s="456"/>
      <c r="M646" s="456"/>
      <c r="N646" s="456"/>
      <c r="O646" s="456"/>
      <c r="P646" s="456"/>
      <c r="Q646" s="456"/>
      <c r="R646" s="456"/>
    </row>
    <row r="647" spans="1:18" ht="9.75" customHeight="1" x14ac:dyDescent="0.25">
      <c r="A647" s="456"/>
      <c r="B647" s="456"/>
      <c r="C647" s="456"/>
      <c r="D647" s="456"/>
      <c r="E647" s="456"/>
      <c r="F647" s="456"/>
      <c r="G647" s="456"/>
      <c r="H647" s="456"/>
      <c r="I647" s="456"/>
      <c r="J647" s="456"/>
      <c r="K647" s="456"/>
      <c r="L647" s="456"/>
      <c r="M647" s="456"/>
      <c r="N647" s="456"/>
      <c r="O647" s="456"/>
      <c r="P647" s="456"/>
      <c r="Q647" s="456"/>
      <c r="R647" s="456"/>
    </row>
    <row r="648" spans="1:18" ht="9.75" customHeight="1" x14ac:dyDescent="0.25">
      <c r="A648" s="456"/>
      <c r="B648" s="456"/>
      <c r="C648" s="456"/>
      <c r="D648" s="456"/>
      <c r="E648" s="456"/>
      <c r="F648" s="456"/>
      <c r="G648" s="456"/>
      <c r="H648" s="456"/>
      <c r="I648" s="456"/>
      <c r="J648" s="456"/>
      <c r="K648" s="456"/>
      <c r="L648" s="456"/>
      <c r="M648" s="456"/>
      <c r="N648" s="456"/>
      <c r="O648" s="456"/>
      <c r="P648" s="456"/>
      <c r="Q648" s="456"/>
      <c r="R648" s="456"/>
    </row>
    <row r="649" spans="1:18" ht="9.75" customHeight="1" x14ac:dyDescent="0.25">
      <c r="A649" s="456"/>
      <c r="B649" s="456"/>
      <c r="C649" s="456"/>
      <c r="D649" s="456"/>
      <c r="E649" s="456"/>
      <c r="F649" s="456"/>
      <c r="G649" s="456"/>
      <c r="H649" s="456"/>
      <c r="I649" s="456"/>
      <c r="J649" s="456"/>
      <c r="K649" s="456"/>
      <c r="L649" s="456"/>
      <c r="M649" s="456"/>
      <c r="N649" s="456"/>
      <c r="O649" s="456"/>
      <c r="P649" s="456"/>
      <c r="Q649" s="456"/>
      <c r="R649" s="456"/>
    </row>
    <row r="650" spans="1:18" ht="9.75" customHeight="1" x14ac:dyDescent="0.25">
      <c r="A650" s="456"/>
      <c r="B650" s="456"/>
      <c r="C650" s="456"/>
      <c r="D650" s="456"/>
      <c r="E650" s="456"/>
      <c r="F650" s="456"/>
      <c r="G650" s="456"/>
      <c r="H650" s="456"/>
      <c r="I650" s="456"/>
      <c r="J650" s="456"/>
      <c r="K650" s="456"/>
      <c r="L650" s="456"/>
      <c r="M650" s="456"/>
      <c r="N650" s="456"/>
      <c r="O650" s="456"/>
      <c r="P650" s="456"/>
      <c r="Q650" s="456"/>
      <c r="R650" s="456"/>
    </row>
    <row r="651" spans="1:18" ht="9.75" customHeight="1" x14ac:dyDescent="0.25">
      <c r="A651" s="456"/>
      <c r="B651" s="456"/>
      <c r="C651" s="456"/>
      <c r="D651" s="456"/>
      <c r="E651" s="456"/>
      <c r="F651" s="456"/>
      <c r="G651" s="456"/>
      <c r="H651" s="456"/>
      <c r="I651" s="456"/>
      <c r="J651" s="456"/>
      <c r="K651" s="456"/>
      <c r="L651" s="456"/>
      <c r="M651" s="456"/>
      <c r="N651" s="456"/>
      <c r="O651" s="456"/>
      <c r="P651" s="456"/>
      <c r="Q651" s="456"/>
      <c r="R651" s="456"/>
    </row>
    <row r="652" spans="1:18" ht="9.75" customHeight="1" x14ac:dyDescent="0.25">
      <c r="A652" s="456"/>
      <c r="B652" s="456"/>
      <c r="C652" s="456"/>
      <c r="D652" s="456"/>
      <c r="E652" s="456"/>
      <c r="F652" s="456"/>
      <c r="G652" s="456"/>
      <c r="H652" s="456"/>
      <c r="I652" s="456"/>
      <c r="J652" s="456"/>
      <c r="K652" s="456"/>
      <c r="L652" s="456"/>
      <c r="M652" s="456"/>
      <c r="N652" s="456"/>
      <c r="O652" s="456"/>
      <c r="P652" s="456"/>
      <c r="Q652" s="456"/>
      <c r="R652" s="456"/>
    </row>
    <row r="653" spans="1:18" ht="9.75" customHeight="1" x14ac:dyDescent="0.25">
      <c r="A653" s="456"/>
      <c r="B653" s="456"/>
      <c r="C653" s="456"/>
      <c r="D653" s="456"/>
      <c r="E653" s="456"/>
      <c r="F653" s="456"/>
      <c r="G653" s="456"/>
      <c r="H653" s="456"/>
      <c r="I653" s="456"/>
      <c r="J653" s="456"/>
      <c r="K653" s="456"/>
      <c r="L653" s="456"/>
      <c r="M653" s="456"/>
      <c r="N653" s="456"/>
      <c r="O653" s="456"/>
      <c r="P653" s="456"/>
      <c r="Q653" s="456"/>
      <c r="R653" s="456"/>
    </row>
    <row r="654" spans="1:18" ht="9.75" customHeight="1" x14ac:dyDescent="0.25">
      <c r="A654" s="456"/>
      <c r="B654" s="456"/>
      <c r="C654" s="456"/>
      <c r="D654" s="456"/>
      <c r="E654" s="456"/>
      <c r="F654" s="456"/>
      <c r="G654" s="456"/>
      <c r="H654" s="456"/>
      <c r="I654" s="456"/>
      <c r="J654" s="456"/>
      <c r="K654" s="456"/>
      <c r="L654" s="456"/>
      <c r="M654" s="456"/>
      <c r="N654" s="456"/>
      <c r="O654" s="456"/>
      <c r="P654" s="456"/>
      <c r="Q654" s="456"/>
      <c r="R654" s="456"/>
    </row>
    <row r="655" spans="1:18" ht="9.75" customHeight="1" x14ac:dyDescent="0.25">
      <c r="A655" s="456"/>
      <c r="B655" s="456"/>
      <c r="C655" s="456"/>
      <c r="D655" s="456"/>
      <c r="E655" s="456"/>
      <c r="F655" s="456"/>
      <c r="G655" s="456"/>
      <c r="H655" s="456"/>
      <c r="I655" s="456"/>
      <c r="J655" s="456"/>
      <c r="K655" s="456"/>
      <c r="L655" s="456"/>
      <c r="M655" s="456"/>
      <c r="N655" s="456"/>
      <c r="O655" s="456"/>
      <c r="P655" s="456"/>
      <c r="Q655" s="456"/>
      <c r="R655" s="456"/>
    </row>
    <row r="656" spans="1:18" ht="9.75" customHeight="1" x14ac:dyDescent="0.25">
      <c r="A656" s="456"/>
      <c r="B656" s="456"/>
      <c r="C656" s="456"/>
      <c r="D656" s="456"/>
      <c r="E656" s="456"/>
      <c r="F656" s="456"/>
      <c r="G656" s="456"/>
      <c r="H656" s="456"/>
      <c r="I656" s="456"/>
      <c r="J656" s="456"/>
      <c r="K656" s="456"/>
      <c r="L656" s="456"/>
      <c r="M656" s="456"/>
      <c r="N656" s="456"/>
      <c r="O656" s="456"/>
      <c r="P656" s="456"/>
      <c r="Q656" s="456"/>
      <c r="R656" s="456"/>
    </row>
    <row r="657" spans="1:18" ht="9.75" customHeight="1" x14ac:dyDescent="0.25">
      <c r="A657" s="456"/>
      <c r="B657" s="456"/>
      <c r="C657" s="456"/>
      <c r="D657" s="456"/>
      <c r="E657" s="456"/>
      <c r="F657" s="456"/>
      <c r="G657" s="456"/>
      <c r="H657" s="456"/>
      <c r="I657" s="456"/>
      <c r="J657" s="456"/>
      <c r="K657" s="456"/>
      <c r="L657" s="456"/>
      <c r="M657" s="456"/>
      <c r="N657" s="456"/>
      <c r="O657" s="456"/>
      <c r="P657" s="456"/>
      <c r="Q657" s="456"/>
      <c r="R657" s="456"/>
    </row>
    <row r="658" spans="1:18" ht="9.75" customHeight="1" x14ac:dyDescent="0.25">
      <c r="A658" s="456"/>
      <c r="B658" s="456"/>
      <c r="C658" s="456"/>
      <c r="D658" s="456"/>
      <c r="E658" s="456"/>
      <c r="F658" s="456"/>
      <c r="G658" s="456"/>
      <c r="H658" s="456"/>
      <c r="I658" s="456"/>
      <c r="J658" s="456"/>
      <c r="K658" s="456"/>
      <c r="L658" s="456"/>
      <c r="M658" s="456"/>
      <c r="N658" s="456"/>
      <c r="O658" s="456"/>
      <c r="P658" s="456"/>
      <c r="Q658" s="456"/>
      <c r="R658" s="456"/>
    </row>
    <row r="659" spans="1:18" ht="9.75" customHeight="1" x14ac:dyDescent="0.25">
      <c r="A659" s="456"/>
      <c r="B659" s="456"/>
      <c r="C659" s="456"/>
      <c r="D659" s="456"/>
      <c r="E659" s="456"/>
      <c r="F659" s="456"/>
      <c r="G659" s="456"/>
      <c r="H659" s="456"/>
      <c r="I659" s="456"/>
      <c r="J659" s="456"/>
      <c r="K659" s="456"/>
      <c r="L659" s="456"/>
      <c r="M659" s="456"/>
      <c r="N659" s="456"/>
      <c r="O659" s="456"/>
      <c r="P659" s="456"/>
      <c r="Q659" s="456"/>
      <c r="R659" s="456"/>
    </row>
    <row r="660" spans="1:18" ht="9.75" customHeight="1" x14ac:dyDescent="0.25">
      <c r="A660" s="456"/>
      <c r="B660" s="456"/>
      <c r="C660" s="456"/>
      <c r="D660" s="456"/>
      <c r="E660" s="456"/>
      <c r="F660" s="456"/>
      <c r="G660" s="456"/>
      <c r="H660" s="456"/>
      <c r="I660" s="456"/>
      <c r="J660" s="456"/>
      <c r="K660" s="456"/>
      <c r="L660" s="456"/>
      <c r="M660" s="456"/>
      <c r="N660" s="456"/>
      <c r="O660" s="456"/>
      <c r="P660" s="456"/>
      <c r="Q660" s="456"/>
      <c r="R660" s="456"/>
    </row>
    <row r="661" spans="1:18" ht="9.75" customHeight="1" x14ac:dyDescent="0.25">
      <c r="A661" s="456"/>
      <c r="B661" s="456"/>
      <c r="C661" s="456"/>
      <c r="D661" s="456"/>
      <c r="E661" s="456"/>
      <c r="F661" s="456"/>
      <c r="G661" s="456"/>
      <c r="H661" s="456"/>
      <c r="I661" s="456"/>
      <c r="J661" s="456"/>
      <c r="K661" s="456"/>
      <c r="L661" s="456"/>
      <c r="M661" s="456"/>
      <c r="N661" s="456"/>
      <c r="O661" s="456"/>
      <c r="P661" s="456"/>
      <c r="Q661" s="456"/>
      <c r="R661" s="456"/>
    </row>
    <row r="662" spans="1:18" ht="9.75" customHeight="1" x14ac:dyDescent="0.25">
      <c r="A662" s="456"/>
      <c r="B662" s="456"/>
      <c r="C662" s="456"/>
      <c r="D662" s="456"/>
      <c r="E662" s="456"/>
      <c r="F662" s="456"/>
      <c r="G662" s="456"/>
      <c r="H662" s="456"/>
      <c r="I662" s="456"/>
      <c r="J662" s="456"/>
      <c r="K662" s="456"/>
      <c r="L662" s="456"/>
      <c r="M662" s="456"/>
      <c r="N662" s="456"/>
      <c r="O662" s="456"/>
      <c r="P662" s="456"/>
      <c r="Q662" s="456"/>
      <c r="R662" s="456"/>
    </row>
    <row r="663" spans="1:18" ht="9.75" customHeight="1" x14ac:dyDescent="0.25">
      <c r="A663" s="456"/>
      <c r="B663" s="456"/>
      <c r="C663" s="456"/>
      <c r="D663" s="456"/>
      <c r="E663" s="456"/>
      <c r="F663" s="456"/>
      <c r="G663" s="456"/>
      <c r="H663" s="456"/>
      <c r="I663" s="456"/>
      <c r="J663" s="456"/>
      <c r="K663" s="456"/>
      <c r="L663" s="456"/>
      <c r="M663" s="456"/>
      <c r="N663" s="456"/>
      <c r="O663" s="456"/>
      <c r="P663" s="456"/>
      <c r="Q663" s="456"/>
      <c r="R663" s="456"/>
    </row>
    <row r="664" spans="1:18" ht="9.75" customHeight="1" x14ac:dyDescent="0.25">
      <c r="A664" s="456"/>
      <c r="B664" s="456"/>
      <c r="C664" s="456"/>
      <c r="D664" s="456"/>
      <c r="E664" s="456"/>
      <c r="F664" s="456"/>
      <c r="G664" s="456"/>
      <c r="H664" s="456"/>
      <c r="I664" s="456"/>
      <c r="J664" s="456"/>
      <c r="K664" s="456"/>
      <c r="L664" s="456"/>
      <c r="M664" s="456"/>
      <c r="N664" s="456"/>
      <c r="O664" s="456"/>
      <c r="P664" s="456"/>
      <c r="Q664" s="456"/>
      <c r="R664" s="456"/>
    </row>
    <row r="665" spans="1:18" ht="9.75" customHeight="1" x14ac:dyDescent="0.25">
      <c r="A665" s="456"/>
      <c r="B665" s="456"/>
      <c r="C665" s="456"/>
      <c r="D665" s="456"/>
      <c r="E665" s="456"/>
      <c r="F665" s="456"/>
      <c r="G665" s="456"/>
      <c r="H665" s="456"/>
      <c r="I665" s="456"/>
      <c r="J665" s="456"/>
      <c r="K665" s="456"/>
      <c r="L665" s="456"/>
      <c r="M665" s="456"/>
      <c r="N665" s="456"/>
      <c r="O665" s="456"/>
      <c r="P665" s="456"/>
      <c r="Q665" s="456"/>
      <c r="R665" s="456"/>
    </row>
    <row r="666" spans="1:18" ht="9.75" customHeight="1" x14ac:dyDescent="0.25">
      <c r="A666" s="456"/>
      <c r="B666" s="456"/>
      <c r="C666" s="456"/>
      <c r="D666" s="456"/>
      <c r="E666" s="456"/>
      <c r="F666" s="456"/>
      <c r="G666" s="456"/>
      <c r="H666" s="456"/>
      <c r="I666" s="456"/>
      <c r="J666" s="456"/>
      <c r="K666" s="456"/>
      <c r="L666" s="456"/>
      <c r="M666" s="456"/>
      <c r="N666" s="456"/>
      <c r="O666" s="456"/>
      <c r="P666" s="456"/>
      <c r="Q666" s="456"/>
      <c r="R666" s="456"/>
    </row>
    <row r="667" spans="1:18" ht="9.75" customHeight="1" x14ac:dyDescent="0.25">
      <c r="A667" s="456"/>
      <c r="B667" s="456"/>
      <c r="C667" s="456"/>
      <c r="D667" s="456"/>
      <c r="E667" s="456"/>
      <c r="F667" s="456"/>
      <c r="G667" s="456"/>
      <c r="H667" s="456"/>
      <c r="I667" s="456"/>
      <c r="J667" s="456"/>
      <c r="K667" s="456"/>
      <c r="L667" s="456"/>
      <c r="M667" s="456"/>
      <c r="N667" s="456"/>
      <c r="O667" s="456"/>
      <c r="P667" s="456"/>
      <c r="Q667" s="456"/>
      <c r="R667" s="456"/>
    </row>
    <row r="668" spans="1:18" ht="9.75" customHeight="1" x14ac:dyDescent="0.25">
      <c r="A668" s="456"/>
      <c r="B668" s="456"/>
      <c r="C668" s="456"/>
      <c r="D668" s="456"/>
      <c r="E668" s="456"/>
      <c r="F668" s="456"/>
      <c r="G668" s="456"/>
      <c r="H668" s="456"/>
      <c r="I668" s="456"/>
      <c r="J668" s="456"/>
      <c r="K668" s="456"/>
      <c r="L668" s="456"/>
      <c r="M668" s="456"/>
      <c r="N668" s="456"/>
      <c r="O668" s="456"/>
      <c r="P668" s="456"/>
      <c r="Q668" s="456"/>
      <c r="R668" s="456"/>
    </row>
    <row r="669" spans="1:18" ht="9.75" customHeight="1" x14ac:dyDescent="0.25">
      <c r="A669" s="456"/>
      <c r="B669" s="456"/>
      <c r="C669" s="456"/>
      <c r="D669" s="456"/>
      <c r="E669" s="456"/>
      <c r="F669" s="456"/>
      <c r="G669" s="456"/>
      <c r="H669" s="456"/>
      <c r="I669" s="456"/>
      <c r="J669" s="456"/>
      <c r="K669" s="456"/>
      <c r="L669" s="456"/>
      <c r="M669" s="456"/>
      <c r="N669" s="456"/>
      <c r="O669" s="456"/>
      <c r="P669" s="456"/>
      <c r="Q669" s="456"/>
      <c r="R669" s="456"/>
    </row>
    <row r="670" spans="1:18" ht="9.75" customHeight="1" x14ac:dyDescent="0.25">
      <c r="A670" s="456"/>
      <c r="B670" s="456"/>
      <c r="C670" s="456"/>
      <c r="D670" s="456"/>
      <c r="E670" s="456"/>
      <c r="F670" s="456"/>
      <c r="G670" s="456"/>
      <c r="H670" s="456"/>
      <c r="I670" s="456"/>
      <c r="J670" s="456"/>
      <c r="K670" s="456"/>
      <c r="L670" s="456"/>
      <c r="M670" s="456"/>
      <c r="N670" s="456"/>
      <c r="O670" s="456"/>
      <c r="P670" s="456"/>
      <c r="Q670" s="456"/>
      <c r="R670" s="456"/>
    </row>
    <row r="671" spans="1:18" ht="9.75" customHeight="1" x14ac:dyDescent="0.25">
      <c r="A671" s="456"/>
      <c r="B671" s="456"/>
      <c r="C671" s="456"/>
      <c r="D671" s="456"/>
      <c r="E671" s="456"/>
      <c r="F671" s="456"/>
      <c r="G671" s="456"/>
      <c r="H671" s="456"/>
      <c r="I671" s="456"/>
      <c r="J671" s="456"/>
      <c r="K671" s="456"/>
      <c r="L671" s="456"/>
      <c r="M671" s="456"/>
      <c r="N671" s="456"/>
      <c r="O671" s="456"/>
      <c r="P671" s="456"/>
      <c r="Q671" s="456"/>
      <c r="R671" s="456"/>
    </row>
    <row r="672" spans="1:18" ht="9.75" customHeight="1" x14ac:dyDescent="0.25">
      <c r="A672" s="456"/>
      <c r="B672" s="456"/>
      <c r="C672" s="456"/>
      <c r="D672" s="456"/>
      <c r="E672" s="456"/>
      <c r="F672" s="456"/>
      <c r="G672" s="456"/>
      <c r="H672" s="456"/>
      <c r="I672" s="456"/>
      <c r="J672" s="456"/>
      <c r="K672" s="456"/>
      <c r="L672" s="456"/>
      <c r="M672" s="456"/>
      <c r="N672" s="456"/>
      <c r="O672" s="456"/>
      <c r="P672" s="456"/>
      <c r="Q672" s="456"/>
      <c r="R672" s="456"/>
    </row>
    <row r="673" spans="1:18" ht="9.75" customHeight="1" x14ac:dyDescent="0.25">
      <c r="A673" s="456"/>
      <c r="B673" s="456"/>
      <c r="C673" s="456"/>
      <c r="D673" s="456"/>
      <c r="E673" s="456"/>
      <c r="F673" s="456"/>
      <c r="G673" s="456"/>
      <c r="H673" s="456"/>
      <c r="I673" s="456"/>
      <c r="J673" s="456"/>
      <c r="K673" s="456"/>
      <c r="L673" s="456"/>
      <c r="M673" s="456"/>
      <c r="N673" s="456"/>
      <c r="O673" s="456"/>
      <c r="P673" s="456"/>
      <c r="Q673" s="456"/>
      <c r="R673" s="456"/>
    </row>
    <row r="674" spans="1:18" ht="9.75" customHeight="1" x14ac:dyDescent="0.25">
      <c r="A674" s="456"/>
      <c r="B674" s="456"/>
      <c r="C674" s="456"/>
      <c r="D674" s="456"/>
      <c r="E674" s="456"/>
      <c r="F674" s="456"/>
      <c r="G674" s="456"/>
      <c r="H674" s="456"/>
      <c r="I674" s="456"/>
      <c r="J674" s="456"/>
      <c r="K674" s="456"/>
      <c r="L674" s="456"/>
      <c r="M674" s="456"/>
      <c r="N674" s="456"/>
      <c r="O674" s="456"/>
      <c r="P674" s="456"/>
      <c r="Q674" s="456"/>
      <c r="R674" s="456"/>
    </row>
    <row r="675" spans="1:18" ht="9.75" customHeight="1" x14ac:dyDescent="0.25">
      <c r="A675" s="456"/>
      <c r="B675" s="456"/>
      <c r="C675" s="456"/>
      <c r="D675" s="456"/>
      <c r="E675" s="456"/>
      <c r="F675" s="456"/>
      <c r="G675" s="456"/>
      <c r="H675" s="456"/>
      <c r="I675" s="456"/>
      <c r="J675" s="456"/>
      <c r="K675" s="456"/>
      <c r="L675" s="456"/>
      <c r="M675" s="456"/>
      <c r="N675" s="456"/>
      <c r="O675" s="456"/>
      <c r="P675" s="456"/>
      <c r="Q675" s="456"/>
      <c r="R675" s="456"/>
    </row>
    <row r="676" spans="1:18" ht="9.75" customHeight="1" x14ac:dyDescent="0.25">
      <c r="A676" s="456"/>
      <c r="B676" s="456"/>
      <c r="C676" s="456"/>
      <c r="D676" s="456"/>
      <c r="E676" s="456"/>
      <c r="F676" s="456"/>
      <c r="G676" s="456"/>
      <c r="H676" s="456"/>
      <c r="I676" s="456"/>
      <c r="J676" s="456"/>
      <c r="K676" s="456"/>
      <c r="L676" s="456"/>
      <c r="M676" s="456"/>
      <c r="N676" s="456"/>
      <c r="O676" s="456"/>
      <c r="P676" s="456"/>
      <c r="Q676" s="456"/>
      <c r="R676" s="456"/>
    </row>
    <row r="677" spans="1:18" ht="9.75" customHeight="1" x14ac:dyDescent="0.25">
      <c r="A677" s="456"/>
      <c r="B677" s="456"/>
      <c r="C677" s="456"/>
      <c r="D677" s="456"/>
      <c r="E677" s="456"/>
      <c r="F677" s="456"/>
      <c r="G677" s="456"/>
      <c r="H677" s="456"/>
      <c r="I677" s="456"/>
      <c r="J677" s="456"/>
      <c r="K677" s="456"/>
      <c r="L677" s="456"/>
      <c r="M677" s="456"/>
      <c r="N677" s="456"/>
      <c r="O677" s="456"/>
      <c r="P677" s="456"/>
      <c r="Q677" s="456"/>
      <c r="R677" s="456"/>
    </row>
    <row r="678" spans="1:18" ht="9.75" customHeight="1" x14ac:dyDescent="0.25">
      <c r="A678" s="456"/>
      <c r="B678" s="456"/>
      <c r="C678" s="456"/>
      <c r="D678" s="456"/>
      <c r="E678" s="456"/>
      <c r="F678" s="456"/>
      <c r="G678" s="456"/>
      <c r="H678" s="456"/>
      <c r="I678" s="456"/>
      <c r="J678" s="456"/>
      <c r="K678" s="456"/>
      <c r="L678" s="456"/>
      <c r="M678" s="456"/>
      <c r="N678" s="456"/>
      <c r="O678" s="456"/>
      <c r="P678" s="456"/>
      <c r="Q678" s="456"/>
      <c r="R678" s="456"/>
    </row>
    <row r="679" spans="1:18" ht="9.75" customHeight="1" x14ac:dyDescent="0.25">
      <c r="A679" s="456"/>
      <c r="B679" s="456"/>
      <c r="C679" s="456"/>
      <c r="D679" s="456"/>
      <c r="E679" s="456"/>
      <c r="F679" s="456"/>
      <c r="G679" s="456"/>
      <c r="H679" s="456"/>
      <c r="I679" s="456"/>
      <c r="J679" s="456"/>
      <c r="K679" s="456"/>
      <c r="L679" s="456"/>
      <c r="M679" s="456"/>
      <c r="N679" s="456"/>
      <c r="O679" s="456"/>
      <c r="P679" s="456"/>
      <c r="Q679" s="456"/>
      <c r="R679" s="456"/>
    </row>
    <row r="680" spans="1:18" ht="9.75" customHeight="1" x14ac:dyDescent="0.25">
      <c r="A680" s="456"/>
      <c r="B680" s="456"/>
      <c r="C680" s="456"/>
      <c r="D680" s="456"/>
      <c r="E680" s="456"/>
      <c r="F680" s="456"/>
      <c r="G680" s="456"/>
      <c r="H680" s="456"/>
      <c r="I680" s="456"/>
      <c r="J680" s="456"/>
      <c r="K680" s="456"/>
      <c r="L680" s="456"/>
      <c r="M680" s="456"/>
      <c r="N680" s="456"/>
      <c r="O680" s="456"/>
      <c r="P680" s="456"/>
      <c r="Q680" s="456"/>
      <c r="R680" s="456"/>
    </row>
    <row r="681" spans="1:18" ht="9.75" customHeight="1" x14ac:dyDescent="0.25">
      <c r="A681" s="456"/>
      <c r="B681" s="456"/>
      <c r="C681" s="456"/>
      <c r="D681" s="456"/>
      <c r="E681" s="456"/>
      <c r="F681" s="456"/>
      <c r="G681" s="456"/>
      <c r="H681" s="456"/>
      <c r="I681" s="456"/>
      <c r="J681" s="456"/>
      <c r="K681" s="456"/>
      <c r="L681" s="456"/>
      <c r="M681" s="456"/>
      <c r="N681" s="456"/>
      <c r="O681" s="456"/>
      <c r="P681" s="456"/>
      <c r="Q681" s="456"/>
      <c r="R681" s="456"/>
    </row>
    <row r="682" spans="1:18" ht="9.75" customHeight="1" x14ac:dyDescent="0.25">
      <c r="A682" s="456"/>
      <c r="B682" s="456"/>
      <c r="C682" s="456"/>
      <c r="D682" s="456"/>
      <c r="E682" s="456"/>
      <c r="F682" s="456"/>
      <c r="G682" s="456"/>
      <c r="H682" s="456"/>
      <c r="I682" s="456"/>
      <c r="J682" s="456"/>
      <c r="K682" s="456"/>
      <c r="L682" s="456"/>
      <c r="M682" s="456"/>
      <c r="N682" s="456"/>
      <c r="O682" s="456"/>
      <c r="P682" s="456"/>
      <c r="Q682" s="456"/>
      <c r="R682" s="456"/>
    </row>
    <row r="683" spans="1:18" ht="9.75" customHeight="1" x14ac:dyDescent="0.25">
      <c r="A683" s="456"/>
      <c r="B683" s="456"/>
      <c r="C683" s="456"/>
      <c r="D683" s="456"/>
      <c r="E683" s="456"/>
      <c r="F683" s="456"/>
      <c r="G683" s="456"/>
      <c r="H683" s="456"/>
      <c r="I683" s="456"/>
      <c r="J683" s="456"/>
      <c r="K683" s="456"/>
      <c r="L683" s="456"/>
      <c r="M683" s="456"/>
      <c r="N683" s="456"/>
      <c r="O683" s="456"/>
      <c r="P683" s="456"/>
      <c r="Q683" s="456"/>
      <c r="R683" s="456"/>
    </row>
    <row r="684" spans="1:18" ht="9.75" customHeight="1" x14ac:dyDescent="0.25">
      <c r="A684" s="456"/>
      <c r="B684" s="456"/>
      <c r="C684" s="456"/>
      <c r="D684" s="456"/>
      <c r="E684" s="456"/>
      <c r="F684" s="456"/>
      <c r="G684" s="456"/>
      <c r="H684" s="456"/>
      <c r="I684" s="456"/>
      <c r="J684" s="456"/>
      <c r="K684" s="456"/>
      <c r="L684" s="456"/>
      <c r="M684" s="456"/>
      <c r="N684" s="456"/>
      <c r="O684" s="456"/>
      <c r="P684" s="456"/>
      <c r="Q684" s="456"/>
      <c r="R684" s="456"/>
    </row>
    <row r="685" spans="1:18" ht="9.75" customHeight="1" x14ac:dyDescent="0.25">
      <c r="A685" s="456"/>
      <c r="B685" s="456"/>
      <c r="C685" s="456"/>
      <c r="D685" s="456"/>
      <c r="E685" s="456"/>
      <c r="F685" s="456"/>
      <c r="G685" s="456"/>
      <c r="H685" s="456"/>
      <c r="I685" s="456"/>
      <c r="J685" s="456"/>
      <c r="K685" s="456"/>
      <c r="L685" s="456"/>
      <c r="M685" s="456"/>
      <c r="N685" s="456"/>
      <c r="O685" s="456"/>
      <c r="P685" s="456"/>
      <c r="Q685" s="456"/>
      <c r="R685" s="456"/>
    </row>
    <row r="686" spans="1:18" ht="9.75" customHeight="1" x14ac:dyDescent="0.25">
      <c r="A686" s="456"/>
      <c r="B686" s="456"/>
      <c r="C686" s="456"/>
      <c r="D686" s="456"/>
      <c r="E686" s="456"/>
      <c r="F686" s="456"/>
      <c r="G686" s="456"/>
      <c r="H686" s="456"/>
      <c r="I686" s="456"/>
      <c r="J686" s="456"/>
      <c r="K686" s="456"/>
      <c r="L686" s="456"/>
      <c r="M686" s="456"/>
      <c r="N686" s="456"/>
      <c r="O686" s="456"/>
      <c r="P686" s="456"/>
      <c r="Q686" s="456"/>
      <c r="R686" s="456"/>
    </row>
    <row r="687" spans="1:18" ht="9.75" customHeight="1" x14ac:dyDescent="0.25">
      <c r="A687" s="456"/>
      <c r="B687" s="456"/>
      <c r="C687" s="456"/>
      <c r="D687" s="456"/>
      <c r="E687" s="456"/>
      <c r="F687" s="456"/>
      <c r="G687" s="456"/>
      <c r="H687" s="456"/>
      <c r="I687" s="456"/>
      <c r="J687" s="456"/>
      <c r="K687" s="456"/>
      <c r="L687" s="456"/>
      <c r="M687" s="456"/>
      <c r="N687" s="456"/>
      <c r="O687" s="456"/>
      <c r="P687" s="456"/>
      <c r="Q687" s="456"/>
      <c r="R687" s="456"/>
    </row>
    <row r="688" spans="1:18" ht="9.75" customHeight="1" x14ac:dyDescent="0.25">
      <c r="A688" s="456"/>
      <c r="B688" s="456"/>
      <c r="C688" s="456"/>
      <c r="D688" s="456"/>
      <c r="E688" s="456"/>
      <c r="F688" s="456"/>
      <c r="G688" s="456"/>
      <c r="H688" s="456"/>
      <c r="I688" s="456"/>
      <c r="J688" s="456"/>
      <c r="K688" s="456"/>
      <c r="L688" s="456"/>
      <c r="M688" s="456"/>
      <c r="N688" s="456"/>
      <c r="O688" s="456"/>
      <c r="P688" s="456"/>
      <c r="Q688" s="456"/>
      <c r="R688" s="456"/>
    </row>
    <row r="689" spans="1:18" ht="9.75" customHeight="1" x14ac:dyDescent="0.25">
      <c r="A689" s="456"/>
      <c r="B689" s="456"/>
      <c r="C689" s="456"/>
      <c r="D689" s="456"/>
      <c r="E689" s="456"/>
      <c r="F689" s="456"/>
      <c r="G689" s="456"/>
      <c r="H689" s="456"/>
      <c r="I689" s="456"/>
      <c r="J689" s="456"/>
      <c r="K689" s="456"/>
      <c r="L689" s="456"/>
      <c r="M689" s="456"/>
      <c r="N689" s="456"/>
      <c r="O689" s="456"/>
      <c r="P689" s="456"/>
      <c r="Q689" s="456"/>
      <c r="R689" s="456"/>
    </row>
    <row r="690" spans="1:18" ht="9.75" customHeight="1" x14ac:dyDescent="0.25">
      <c r="A690" s="456"/>
      <c r="B690" s="456"/>
      <c r="C690" s="456"/>
      <c r="D690" s="456"/>
      <c r="E690" s="456"/>
      <c r="F690" s="456"/>
      <c r="G690" s="456"/>
      <c r="H690" s="456"/>
      <c r="I690" s="456"/>
      <c r="J690" s="456"/>
      <c r="K690" s="456"/>
      <c r="L690" s="456"/>
      <c r="M690" s="456"/>
      <c r="N690" s="456"/>
      <c r="O690" s="456"/>
      <c r="P690" s="456"/>
      <c r="Q690" s="456"/>
      <c r="R690" s="456"/>
    </row>
    <row r="691" spans="1:18" ht="9.75" customHeight="1" x14ac:dyDescent="0.25">
      <c r="A691" s="456"/>
      <c r="B691" s="456"/>
      <c r="C691" s="456"/>
      <c r="D691" s="456"/>
      <c r="E691" s="456"/>
      <c r="F691" s="456"/>
      <c r="G691" s="456"/>
      <c r="H691" s="456"/>
      <c r="I691" s="456"/>
      <c r="J691" s="456"/>
      <c r="K691" s="456"/>
      <c r="L691" s="456"/>
      <c r="M691" s="456"/>
      <c r="N691" s="456"/>
      <c r="O691" s="456"/>
      <c r="P691" s="456"/>
      <c r="Q691" s="456"/>
      <c r="R691" s="456"/>
    </row>
    <row r="692" spans="1:18" ht="9.75" customHeight="1" x14ac:dyDescent="0.25">
      <c r="A692" s="456"/>
      <c r="B692" s="456"/>
      <c r="C692" s="456"/>
      <c r="D692" s="456"/>
      <c r="E692" s="456"/>
      <c r="F692" s="456"/>
      <c r="G692" s="456"/>
      <c r="H692" s="456"/>
      <c r="I692" s="456"/>
      <c r="J692" s="456"/>
      <c r="K692" s="456"/>
      <c r="L692" s="456"/>
      <c r="M692" s="456"/>
      <c r="N692" s="456"/>
      <c r="O692" s="456"/>
      <c r="P692" s="456"/>
      <c r="Q692" s="456"/>
      <c r="R692" s="456"/>
    </row>
    <row r="693" spans="1:18" ht="9.75" customHeight="1" x14ac:dyDescent="0.25">
      <c r="A693" s="456"/>
      <c r="B693" s="456"/>
      <c r="C693" s="456"/>
      <c r="D693" s="456"/>
      <c r="E693" s="456"/>
      <c r="F693" s="456"/>
      <c r="G693" s="456"/>
      <c r="H693" s="456"/>
      <c r="I693" s="456"/>
      <c r="J693" s="456"/>
      <c r="K693" s="456"/>
      <c r="L693" s="456"/>
      <c r="M693" s="456"/>
      <c r="N693" s="456"/>
      <c r="O693" s="456"/>
      <c r="P693" s="456"/>
      <c r="Q693" s="456"/>
      <c r="R693" s="456"/>
    </row>
    <row r="694" spans="1:18" ht="9.75" customHeight="1" x14ac:dyDescent="0.25">
      <c r="A694" s="456"/>
      <c r="B694" s="456"/>
      <c r="C694" s="456"/>
      <c r="D694" s="456"/>
      <c r="E694" s="456"/>
      <c r="F694" s="456"/>
      <c r="G694" s="456"/>
      <c r="H694" s="456"/>
      <c r="I694" s="456"/>
      <c r="J694" s="456"/>
      <c r="K694" s="456"/>
      <c r="L694" s="456"/>
      <c r="M694" s="456"/>
      <c r="N694" s="456"/>
      <c r="O694" s="456"/>
      <c r="P694" s="456"/>
      <c r="Q694" s="456"/>
      <c r="R694" s="456"/>
    </row>
    <row r="695" spans="1:18" ht="9.75" customHeight="1" x14ac:dyDescent="0.25">
      <c r="A695" s="456"/>
      <c r="B695" s="456"/>
      <c r="C695" s="456"/>
      <c r="D695" s="456"/>
      <c r="E695" s="456"/>
      <c r="F695" s="456"/>
      <c r="G695" s="456"/>
      <c r="H695" s="456"/>
      <c r="I695" s="456"/>
      <c r="J695" s="456"/>
      <c r="K695" s="456"/>
      <c r="L695" s="456"/>
      <c r="M695" s="456"/>
      <c r="N695" s="456"/>
      <c r="O695" s="456"/>
      <c r="P695" s="456"/>
      <c r="Q695" s="456"/>
      <c r="R695" s="456"/>
    </row>
    <row r="696" spans="1:18" ht="9.75" customHeight="1" x14ac:dyDescent="0.25">
      <c r="A696" s="456"/>
      <c r="B696" s="456"/>
      <c r="C696" s="456"/>
      <c r="D696" s="456"/>
      <c r="E696" s="456"/>
      <c r="F696" s="456"/>
      <c r="G696" s="456"/>
      <c r="H696" s="456"/>
      <c r="I696" s="456"/>
      <c r="J696" s="456"/>
      <c r="K696" s="456"/>
      <c r="L696" s="456"/>
      <c r="M696" s="456"/>
      <c r="N696" s="456"/>
      <c r="O696" s="456"/>
      <c r="P696" s="456"/>
      <c r="Q696" s="456"/>
      <c r="R696" s="456"/>
    </row>
    <row r="697" spans="1:18" ht="9.75" customHeight="1" x14ac:dyDescent="0.25">
      <c r="A697" s="456"/>
      <c r="B697" s="456"/>
      <c r="C697" s="456"/>
      <c r="D697" s="456"/>
      <c r="E697" s="456"/>
      <c r="F697" s="456"/>
      <c r="G697" s="456"/>
      <c r="H697" s="456"/>
      <c r="I697" s="456"/>
      <c r="J697" s="456"/>
      <c r="K697" s="456"/>
      <c r="L697" s="456"/>
      <c r="M697" s="456"/>
      <c r="N697" s="456"/>
      <c r="O697" s="456"/>
      <c r="P697" s="456"/>
      <c r="Q697" s="456"/>
      <c r="R697" s="456"/>
    </row>
    <row r="698" spans="1:18" ht="9.75" customHeight="1" x14ac:dyDescent="0.25">
      <c r="A698" s="456"/>
      <c r="B698" s="456"/>
      <c r="C698" s="456"/>
      <c r="D698" s="456"/>
      <c r="E698" s="456"/>
      <c r="F698" s="456"/>
      <c r="G698" s="456"/>
      <c r="H698" s="456"/>
      <c r="I698" s="456"/>
      <c r="J698" s="456"/>
      <c r="K698" s="456"/>
      <c r="L698" s="456"/>
      <c r="M698" s="456"/>
      <c r="N698" s="456"/>
      <c r="O698" s="456"/>
      <c r="P698" s="456"/>
      <c r="Q698" s="456"/>
      <c r="R698" s="456"/>
    </row>
    <row r="699" spans="1:18" ht="9.75" customHeight="1" x14ac:dyDescent="0.25">
      <c r="A699" s="456"/>
      <c r="B699" s="456"/>
      <c r="C699" s="456"/>
      <c r="D699" s="456"/>
      <c r="E699" s="456"/>
      <c r="F699" s="456"/>
      <c r="G699" s="456"/>
      <c r="H699" s="456"/>
      <c r="I699" s="456"/>
      <c r="J699" s="456"/>
      <c r="K699" s="456"/>
      <c r="L699" s="456"/>
      <c r="M699" s="456"/>
      <c r="N699" s="456"/>
      <c r="O699" s="456"/>
      <c r="P699" s="456"/>
      <c r="Q699" s="456"/>
      <c r="R699" s="456"/>
    </row>
    <row r="700" spans="1:18" ht="9.75" customHeight="1" x14ac:dyDescent="0.25">
      <c r="A700" s="456"/>
      <c r="B700" s="456"/>
      <c r="C700" s="456"/>
      <c r="D700" s="456"/>
      <c r="E700" s="456"/>
      <c r="F700" s="456"/>
      <c r="G700" s="456"/>
      <c r="H700" s="456"/>
      <c r="I700" s="456"/>
      <c r="J700" s="456"/>
      <c r="K700" s="456"/>
      <c r="L700" s="456"/>
      <c r="M700" s="456"/>
      <c r="N700" s="456"/>
      <c r="O700" s="456"/>
      <c r="P700" s="456"/>
      <c r="Q700" s="456"/>
      <c r="R700" s="456"/>
    </row>
    <row r="701" spans="1:18" ht="9.75" customHeight="1" x14ac:dyDescent="0.25">
      <c r="A701" s="456"/>
      <c r="B701" s="456"/>
      <c r="C701" s="456"/>
      <c r="D701" s="456"/>
      <c r="E701" s="456"/>
      <c r="F701" s="456"/>
      <c r="G701" s="456"/>
      <c r="H701" s="456"/>
      <c r="I701" s="456"/>
      <c r="J701" s="456"/>
      <c r="K701" s="456"/>
      <c r="L701" s="456"/>
      <c r="M701" s="456"/>
      <c r="N701" s="456"/>
      <c r="O701" s="456"/>
      <c r="P701" s="456"/>
      <c r="Q701" s="456"/>
      <c r="R701" s="456"/>
    </row>
    <row r="702" spans="1:18" ht="9.75" customHeight="1" x14ac:dyDescent="0.25">
      <c r="A702" s="456"/>
      <c r="B702" s="456"/>
      <c r="C702" s="456"/>
      <c r="D702" s="456"/>
      <c r="E702" s="456"/>
      <c r="F702" s="456"/>
      <c r="G702" s="456"/>
      <c r="H702" s="456"/>
      <c r="I702" s="456"/>
      <c r="J702" s="456"/>
      <c r="K702" s="456"/>
      <c r="L702" s="456"/>
      <c r="M702" s="456"/>
      <c r="N702" s="456"/>
      <c r="O702" s="456"/>
      <c r="P702" s="456"/>
      <c r="Q702" s="456"/>
      <c r="R702" s="456"/>
    </row>
    <row r="703" spans="1:18" ht="9.75" customHeight="1" x14ac:dyDescent="0.25">
      <c r="A703" s="456"/>
      <c r="B703" s="456"/>
      <c r="C703" s="456"/>
      <c r="D703" s="456"/>
      <c r="E703" s="456"/>
      <c r="F703" s="456"/>
      <c r="G703" s="456"/>
      <c r="H703" s="456"/>
      <c r="I703" s="456"/>
      <c r="J703" s="456"/>
      <c r="K703" s="456"/>
      <c r="L703" s="456"/>
      <c r="M703" s="456"/>
      <c r="N703" s="456"/>
      <c r="O703" s="456"/>
      <c r="P703" s="456"/>
      <c r="Q703" s="456"/>
      <c r="R703" s="456"/>
    </row>
    <row r="704" spans="1:18" ht="9.75" customHeight="1" x14ac:dyDescent="0.25">
      <c r="A704" s="456"/>
      <c r="B704" s="456"/>
      <c r="C704" s="456"/>
      <c r="D704" s="456"/>
      <c r="E704" s="456"/>
      <c r="F704" s="456"/>
      <c r="G704" s="456"/>
      <c r="H704" s="456"/>
      <c r="I704" s="456"/>
      <c r="J704" s="456"/>
      <c r="K704" s="456"/>
      <c r="L704" s="456"/>
      <c r="M704" s="456"/>
      <c r="N704" s="456"/>
      <c r="O704" s="456"/>
      <c r="P704" s="456"/>
      <c r="Q704" s="456"/>
      <c r="R704" s="456"/>
    </row>
    <row r="705" spans="1:18" ht="9.75" customHeight="1" x14ac:dyDescent="0.25">
      <c r="A705" s="456"/>
      <c r="B705" s="456"/>
      <c r="C705" s="456"/>
      <c r="D705" s="456"/>
      <c r="E705" s="456"/>
      <c r="F705" s="456"/>
      <c r="G705" s="456"/>
      <c r="H705" s="456"/>
      <c r="I705" s="456"/>
      <c r="J705" s="456"/>
      <c r="K705" s="456"/>
      <c r="L705" s="456"/>
      <c r="M705" s="456"/>
      <c r="N705" s="456"/>
      <c r="O705" s="456"/>
      <c r="P705" s="456"/>
      <c r="Q705" s="456"/>
      <c r="R705" s="456"/>
    </row>
    <row r="706" spans="1:18" ht="9.75" customHeight="1" x14ac:dyDescent="0.25">
      <c r="A706" s="456"/>
      <c r="B706" s="456"/>
      <c r="C706" s="456"/>
      <c r="D706" s="456"/>
      <c r="E706" s="456"/>
      <c r="F706" s="456"/>
      <c r="G706" s="456"/>
      <c r="H706" s="456"/>
      <c r="I706" s="456"/>
      <c r="J706" s="456"/>
      <c r="K706" s="456"/>
      <c r="L706" s="456"/>
      <c r="M706" s="456"/>
      <c r="N706" s="456"/>
      <c r="O706" s="456"/>
      <c r="P706" s="456"/>
      <c r="Q706" s="456"/>
      <c r="R706" s="456"/>
    </row>
    <row r="707" spans="1:18" ht="9.75" customHeight="1" x14ac:dyDescent="0.25">
      <c r="A707" s="456"/>
      <c r="B707" s="456"/>
      <c r="C707" s="456"/>
      <c r="D707" s="456"/>
      <c r="E707" s="456"/>
      <c r="F707" s="456"/>
      <c r="G707" s="456"/>
      <c r="H707" s="456"/>
      <c r="I707" s="456"/>
      <c r="J707" s="456"/>
      <c r="K707" s="456"/>
      <c r="L707" s="456"/>
      <c r="M707" s="456"/>
      <c r="N707" s="456"/>
      <c r="O707" s="456"/>
      <c r="P707" s="456"/>
      <c r="Q707" s="456"/>
      <c r="R707" s="456"/>
    </row>
    <row r="708" spans="1:18" ht="9.75" customHeight="1" x14ac:dyDescent="0.25">
      <c r="A708" s="456"/>
      <c r="B708" s="456"/>
      <c r="C708" s="456"/>
      <c r="D708" s="456"/>
      <c r="E708" s="456"/>
      <c r="F708" s="456"/>
      <c r="G708" s="456"/>
      <c r="H708" s="456"/>
      <c r="I708" s="456"/>
      <c r="J708" s="456"/>
      <c r="K708" s="456"/>
      <c r="L708" s="456"/>
      <c r="M708" s="456"/>
      <c r="N708" s="456"/>
      <c r="O708" s="456"/>
      <c r="P708" s="456"/>
      <c r="Q708" s="456"/>
      <c r="R708" s="456"/>
    </row>
    <row r="709" spans="1:18" ht="9.75" customHeight="1" x14ac:dyDescent="0.25">
      <c r="A709" s="456"/>
      <c r="B709" s="456"/>
      <c r="C709" s="456"/>
      <c r="D709" s="456"/>
      <c r="E709" s="456"/>
      <c r="F709" s="456"/>
      <c r="G709" s="456"/>
      <c r="H709" s="456"/>
      <c r="I709" s="456"/>
      <c r="J709" s="456"/>
      <c r="K709" s="456"/>
      <c r="L709" s="456"/>
      <c r="M709" s="456"/>
      <c r="N709" s="456"/>
      <c r="O709" s="456"/>
      <c r="P709" s="456"/>
      <c r="Q709" s="456"/>
      <c r="R709" s="456"/>
    </row>
    <row r="710" spans="1:18" ht="9.75" customHeight="1" x14ac:dyDescent="0.25">
      <c r="A710" s="456"/>
      <c r="B710" s="456"/>
      <c r="C710" s="456"/>
      <c r="D710" s="456"/>
      <c r="E710" s="456"/>
      <c r="F710" s="456"/>
      <c r="G710" s="456"/>
      <c r="H710" s="456"/>
      <c r="I710" s="456"/>
      <c r="J710" s="456"/>
      <c r="K710" s="456"/>
      <c r="L710" s="456"/>
      <c r="M710" s="456"/>
      <c r="N710" s="456"/>
      <c r="O710" s="456"/>
      <c r="P710" s="456"/>
      <c r="Q710" s="456"/>
      <c r="R710" s="456"/>
    </row>
    <row r="711" spans="1:18" ht="9.75" customHeight="1" x14ac:dyDescent="0.25">
      <c r="A711" s="456"/>
      <c r="B711" s="456"/>
      <c r="C711" s="456"/>
      <c r="D711" s="456"/>
      <c r="E711" s="456"/>
      <c r="F711" s="456"/>
      <c r="G711" s="456"/>
      <c r="H711" s="456"/>
      <c r="I711" s="456"/>
      <c r="J711" s="456"/>
      <c r="K711" s="456"/>
      <c r="L711" s="456"/>
      <c r="M711" s="456"/>
      <c r="N711" s="456"/>
      <c r="O711" s="456"/>
      <c r="P711" s="456"/>
      <c r="Q711" s="456"/>
      <c r="R711" s="456"/>
    </row>
    <row r="712" spans="1:18" ht="9.75" customHeight="1" x14ac:dyDescent="0.25">
      <c r="A712" s="456"/>
      <c r="B712" s="456"/>
      <c r="C712" s="456"/>
      <c r="D712" s="456"/>
      <c r="E712" s="456"/>
      <c r="F712" s="456"/>
      <c r="G712" s="456"/>
      <c r="H712" s="456"/>
      <c r="I712" s="456"/>
      <c r="J712" s="456"/>
      <c r="K712" s="456"/>
      <c r="L712" s="456"/>
      <c r="M712" s="456"/>
      <c r="N712" s="456"/>
      <c r="O712" s="456"/>
      <c r="P712" s="456"/>
      <c r="Q712" s="456"/>
      <c r="R712" s="456"/>
    </row>
    <row r="713" spans="1:18" ht="9.75" customHeight="1" x14ac:dyDescent="0.25">
      <c r="A713" s="456"/>
      <c r="B713" s="456"/>
      <c r="C713" s="456"/>
      <c r="D713" s="456"/>
      <c r="E713" s="456"/>
      <c r="F713" s="456"/>
      <c r="G713" s="456"/>
      <c r="H713" s="456"/>
      <c r="I713" s="456"/>
      <c r="J713" s="456"/>
      <c r="K713" s="456"/>
      <c r="L713" s="456"/>
      <c r="M713" s="456"/>
      <c r="N713" s="456"/>
      <c r="O713" s="456"/>
      <c r="P713" s="456"/>
      <c r="Q713" s="456"/>
      <c r="R713" s="456"/>
    </row>
    <row r="714" spans="1:18" ht="9.75" customHeight="1" x14ac:dyDescent="0.25">
      <c r="A714" s="456"/>
      <c r="B714" s="456"/>
      <c r="C714" s="456"/>
      <c r="D714" s="456"/>
      <c r="E714" s="456"/>
      <c r="F714" s="456"/>
      <c r="G714" s="456"/>
      <c r="H714" s="456"/>
      <c r="I714" s="456"/>
      <c r="J714" s="456"/>
      <c r="K714" s="456"/>
      <c r="L714" s="456"/>
      <c r="M714" s="456"/>
      <c r="N714" s="456"/>
      <c r="O714" s="456"/>
      <c r="P714" s="456"/>
      <c r="Q714" s="456"/>
      <c r="R714" s="456"/>
    </row>
    <row r="715" spans="1:18" ht="9.75" customHeight="1" x14ac:dyDescent="0.25">
      <c r="A715" s="456"/>
      <c r="B715" s="456"/>
      <c r="C715" s="456"/>
      <c r="D715" s="456"/>
      <c r="E715" s="456"/>
      <c r="F715" s="456"/>
      <c r="G715" s="456"/>
      <c r="H715" s="456"/>
      <c r="I715" s="456"/>
      <c r="J715" s="456"/>
      <c r="K715" s="456"/>
      <c r="L715" s="456"/>
      <c r="M715" s="456"/>
      <c r="N715" s="456"/>
      <c r="O715" s="456"/>
      <c r="P715" s="456"/>
      <c r="Q715" s="456"/>
      <c r="R715" s="456"/>
    </row>
    <row r="716" spans="1:18" ht="9.75" customHeight="1" x14ac:dyDescent="0.25">
      <c r="A716" s="456"/>
      <c r="B716" s="456"/>
      <c r="C716" s="456"/>
      <c r="D716" s="456"/>
      <c r="E716" s="456"/>
      <c r="F716" s="456"/>
      <c r="G716" s="456"/>
      <c r="H716" s="456"/>
      <c r="I716" s="456"/>
      <c r="J716" s="456"/>
      <c r="K716" s="456"/>
      <c r="L716" s="456"/>
      <c r="M716" s="456"/>
      <c r="N716" s="456"/>
      <c r="O716" s="456"/>
      <c r="P716" s="456"/>
      <c r="Q716" s="456"/>
      <c r="R716" s="456"/>
    </row>
    <row r="717" spans="1:18" ht="9.75" customHeight="1" x14ac:dyDescent="0.25">
      <c r="A717" s="456"/>
      <c r="B717" s="456"/>
      <c r="C717" s="456"/>
      <c r="D717" s="456"/>
      <c r="E717" s="456"/>
      <c r="F717" s="456"/>
      <c r="G717" s="456"/>
      <c r="H717" s="456"/>
      <c r="I717" s="456"/>
      <c r="J717" s="456"/>
      <c r="K717" s="456"/>
      <c r="L717" s="456"/>
      <c r="M717" s="456"/>
      <c r="N717" s="456"/>
      <c r="O717" s="456"/>
      <c r="P717" s="456"/>
      <c r="Q717" s="456"/>
      <c r="R717" s="456"/>
    </row>
    <row r="718" spans="1:18" ht="9.75" customHeight="1" x14ac:dyDescent="0.25">
      <c r="A718" s="456"/>
      <c r="B718" s="456"/>
      <c r="C718" s="456"/>
      <c r="D718" s="456"/>
      <c r="E718" s="456"/>
      <c r="F718" s="456"/>
      <c r="G718" s="456"/>
      <c r="H718" s="456"/>
      <c r="I718" s="456"/>
      <c r="J718" s="456"/>
      <c r="K718" s="456"/>
      <c r="L718" s="456"/>
      <c r="M718" s="456"/>
      <c r="N718" s="456"/>
      <c r="O718" s="456"/>
      <c r="P718" s="456"/>
      <c r="Q718" s="456"/>
      <c r="R718" s="456"/>
    </row>
    <row r="719" spans="1:18" ht="9.75" customHeight="1" x14ac:dyDescent="0.25">
      <c r="A719" s="456"/>
      <c r="B719" s="456"/>
      <c r="C719" s="456"/>
      <c r="D719" s="456"/>
      <c r="E719" s="456"/>
      <c r="F719" s="456"/>
      <c r="G719" s="456"/>
      <c r="H719" s="456"/>
      <c r="I719" s="456"/>
      <c r="J719" s="456"/>
      <c r="K719" s="456"/>
      <c r="L719" s="456"/>
      <c r="M719" s="456"/>
      <c r="N719" s="456"/>
      <c r="O719" s="456"/>
      <c r="P719" s="456"/>
      <c r="Q719" s="456"/>
      <c r="R719" s="456"/>
    </row>
    <row r="720" spans="1:18" ht="9.75" customHeight="1" x14ac:dyDescent="0.25">
      <c r="A720" s="456"/>
      <c r="B720" s="456"/>
      <c r="C720" s="456"/>
      <c r="D720" s="456"/>
      <c r="E720" s="456"/>
      <c r="F720" s="456"/>
      <c r="G720" s="456"/>
      <c r="H720" s="456"/>
      <c r="I720" s="456"/>
      <c r="J720" s="456"/>
      <c r="K720" s="456"/>
      <c r="L720" s="456"/>
      <c r="M720" s="456"/>
      <c r="N720" s="456"/>
      <c r="O720" s="456"/>
      <c r="P720" s="456"/>
      <c r="Q720" s="456"/>
      <c r="R720" s="456"/>
    </row>
    <row r="721" spans="1:18" ht="9.75" customHeight="1" x14ac:dyDescent="0.25">
      <c r="A721" s="456"/>
      <c r="B721" s="456"/>
      <c r="C721" s="456"/>
      <c r="D721" s="456"/>
      <c r="E721" s="456"/>
      <c r="F721" s="456"/>
      <c r="G721" s="456"/>
      <c r="H721" s="456"/>
      <c r="I721" s="456"/>
      <c r="J721" s="456"/>
      <c r="K721" s="456"/>
      <c r="L721" s="456"/>
      <c r="M721" s="456"/>
      <c r="N721" s="456"/>
      <c r="O721" s="456"/>
      <c r="P721" s="456"/>
      <c r="Q721" s="456"/>
      <c r="R721" s="456"/>
    </row>
    <row r="722" spans="1:18" ht="9.75" customHeight="1" x14ac:dyDescent="0.25">
      <c r="A722" s="456"/>
      <c r="B722" s="456"/>
      <c r="C722" s="456"/>
      <c r="D722" s="456"/>
      <c r="E722" s="456"/>
      <c r="F722" s="456"/>
      <c r="G722" s="456"/>
      <c r="H722" s="456"/>
      <c r="I722" s="456"/>
      <c r="J722" s="456"/>
      <c r="K722" s="456"/>
      <c r="L722" s="456"/>
      <c r="M722" s="456"/>
      <c r="N722" s="456"/>
      <c r="O722" s="456"/>
      <c r="P722" s="456"/>
      <c r="Q722" s="456"/>
      <c r="R722" s="456"/>
    </row>
    <row r="723" spans="1:18" ht="9.75" customHeight="1" x14ac:dyDescent="0.25">
      <c r="A723" s="456"/>
      <c r="B723" s="456"/>
      <c r="C723" s="456"/>
      <c r="D723" s="456"/>
      <c r="E723" s="456"/>
      <c r="F723" s="456"/>
      <c r="G723" s="456"/>
      <c r="H723" s="456"/>
      <c r="I723" s="456"/>
      <c r="J723" s="456"/>
      <c r="K723" s="456"/>
      <c r="L723" s="456"/>
      <c r="M723" s="456"/>
      <c r="N723" s="456"/>
      <c r="O723" s="456"/>
      <c r="P723" s="456"/>
      <c r="Q723" s="456"/>
      <c r="R723" s="456"/>
    </row>
    <row r="724" spans="1:18" ht="9.75" customHeight="1" x14ac:dyDescent="0.25">
      <c r="A724" s="456"/>
      <c r="B724" s="456"/>
      <c r="C724" s="456"/>
      <c r="D724" s="456"/>
      <c r="E724" s="456"/>
      <c r="F724" s="456"/>
      <c r="G724" s="456"/>
      <c r="H724" s="456"/>
      <c r="I724" s="456"/>
      <c r="J724" s="456"/>
      <c r="K724" s="456"/>
      <c r="L724" s="456"/>
      <c r="M724" s="456"/>
      <c r="N724" s="456"/>
      <c r="O724" s="456"/>
      <c r="P724" s="456"/>
      <c r="Q724" s="456"/>
      <c r="R724" s="456"/>
    </row>
    <row r="725" spans="1:18" ht="9.75" customHeight="1" x14ac:dyDescent="0.25">
      <c r="A725" s="456"/>
      <c r="B725" s="456"/>
      <c r="C725" s="456"/>
      <c r="D725" s="456"/>
      <c r="E725" s="456"/>
      <c r="F725" s="456"/>
      <c r="G725" s="456"/>
      <c r="H725" s="456"/>
      <c r="I725" s="456"/>
      <c r="J725" s="456"/>
      <c r="K725" s="456"/>
      <c r="L725" s="456"/>
      <c r="M725" s="456"/>
      <c r="N725" s="456"/>
      <c r="O725" s="456"/>
      <c r="P725" s="456"/>
      <c r="Q725" s="456"/>
      <c r="R725" s="456"/>
    </row>
    <row r="726" spans="1:18" ht="9.75" customHeight="1" x14ac:dyDescent="0.25">
      <c r="A726" s="456"/>
      <c r="B726" s="456"/>
      <c r="C726" s="456"/>
      <c r="D726" s="456"/>
      <c r="E726" s="456"/>
      <c r="F726" s="456"/>
      <c r="G726" s="456"/>
      <c r="H726" s="456"/>
      <c r="I726" s="456"/>
      <c r="J726" s="456"/>
      <c r="K726" s="456"/>
      <c r="L726" s="456"/>
      <c r="M726" s="456"/>
      <c r="N726" s="456"/>
      <c r="O726" s="456"/>
      <c r="P726" s="456"/>
      <c r="Q726" s="456"/>
      <c r="R726" s="456"/>
    </row>
    <row r="727" spans="1:18" ht="9.75" customHeight="1" x14ac:dyDescent="0.25">
      <c r="A727" s="456"/>
      <c r="B727" s="456"/>
      <c r="C727" s="456"/>
      <c r="D727" s="456"/>
      <c r="E727" s="456"/>
      <c r="F727" s="456"/>
      <c r="G727" s="456"/>
      <c r="H727" s="456"/>
      <c r="I727" s="456"/>
      <c r="J727" s="456"/>
      <c r="K727" s="456"/>
      <c r="L727" s="456"/>
      <c r="M727" s="456"/>
      <c r="N727" s="456"/>
      <c r="O727" s="456"/>
      <c r="P727" s="456"/>
      <c r="Q727" s="456"/>
      <c r="R727" s="456"/>
    </row>
    <row r="728" spans="1:18" ht="9.75" customHeight="1" x14ac:dyDescent="0.25">
      <c r="A728" s="456"/>
      <c r="B728" s="456"/>
      <c r="C728" s="456"/>
      <c r="D728" s="456"/>
      <c r="E728" s="456"/>
      <c r="F728" s="456"/>
      <c r="G728" s="456"/>
      <c r="H728" s="456"/>
      <c r="I728" s="456"/>
      <c r="J728" s="456"/>
      <c r="K728" s="456"/>
      <c r="L728" s="456"/>
      <c r="M728" s="456"/>
      <c r="N728" s="456"/>
      <c r="O728" s="456"/>
      <c r="P728" s="456"/>
      <c r="Q728" s="456"/>
      <c r="R728" s="456"/>
    </row>
    <row r="729" spans="1:18" ht="9.75" customHeight="1" x14ac:dyDescent="0.25">
      <c r="A729" s="456"/>
      <c r="B729" s="456"/>
      <c r="C729" s="456"/>
      <c r="D729" s="456"/>
      <c r="E729" s="456"/>
      <c r="F729" s="456"/>
      <c r="G729" s="456"/>
      <c r="H729" s="456"/>
      <c r="I729" s="456"/>
      <c r="J729" s="456"/>
      <c r="K729" s="456"/>
      <c r="L729" s="456"/>
      <c r="M729" s="456"/>
      <c r="N729" s="456"/>
      <c r="O729" s="456"/>
      <c r="P729" s="456"/>
      <c r="Q729" s="456"/>
      <c r="R729" s="456"/>
    </row>
    <row r="730" spans="1:18" ht="9.75" customHeight="1" x14ac:dyDescent="0.25">
      <c r="A730" s="456"/>
      <c r="B730" s="456"/>
      <c r="C730" s="456"/>
      <c r="D730" s="456"/>
      <c r="E730" s="456"/>
      <c r="F730" s="456"/>
      <c r="G730" s="456"/>
      <c r="H730" s="456"/>
      <c r="I730" s="456"/>
      <c r="J730" s="456"/>
      <c r="K730" s="456"/>
      <c r="L730" s="456"/>
      <c r="M730" s="456"/>
      <c r="N730" s="456"/>
      <c r="O730" s="456"/>
      <c r="P730" s="456"/>
      <c r="Q730" s="456"/>
      <c r="R730" s="456"/>
    </row>
    <row r="731" spans="1:18" ht="9.75" customHeight="1" x14ac:dyDescent="0.25">
      <c r="A731" s="456"/>
      <c r="B731" s="456"/>
      <c r="C731" s="456"/>
      <c r="D731" s="456"/>
      <c r="E731" s="456"/>
      <c r="F731" s="456"/>
      <c r="G731" s="456"/>
      <c r="H731" s="456"/>
      <c r="I731" s="456"/>
      <c r="J731" s="456"/>
      <c r="K731" s="456"/>
      <c r="L731" s="456"/>
      <c r="M731" s="456"/>
      <c r="N731" s="456"/>
      <c r="O731" s="456"/>
      <c r="P731" s="456"/>
      <c r="Q731" s="456"/>
      <c r="R731" s="456"/>
    </row>
    <row r="732" spans="1:18" ht="9.75" customHeight="1" x14ac:dyDescent="0.25">
      <c r="A732" s="456"/>
      <c r="B732" s="456"/>
      <c r="C732" s="456"/>
      <c r="D732" s="456"/>
      <c r="E732" s="456"/>
      <c r="F732" s="456"/>
      <c r="G732" s="456"/>
      <c r="H732" s="456"/>
      <c r="I732" s="456"/>
      <c r="J732" s="456"/>
      <c r="K732" s="456"/>
      <c r="L732" s="456"/>
      <c r="M732" s="456"/>
      <c r="N732" s="456"/>
      <c r="O732" s="456"/>
      <c r="P732" s="456"/>
      <c r="Q732" s="456"/>
      <c r="R732" s="456"/>
    </row>
    <row r="733" spans="1:18" ht="9.75" customHeight="1" x14ac:dyDescent="0.25">
      <c r="A733" s="456"/>
      <c r="B733" s="456"/>
      <c r="C733" s="456"/>
      <c r="D733" s="456"/>
      <c r="E733" s="456"/>
      <c r="F733" s="456"/>
      <c r="G733" s="456"/>
      <c r="H733" s="456"/>
      <c r="I733" s="456"/>
      <c r="J733" s="456"/>
      <c r="K733" s="456"/>
      <c r="L733" s="456"/>
      <c r="M733" s="456"/>
      <c r="N733" s="456"/>
      <c r="O733" s="456"/>
      <c r="P733" s="456"/>
      <c r="Q733" s="456"/>
      <c r="R733" s="456"/>
    </row>
    <row r="734" spans="1:18" ht="9.75" customHeight="1" x14ac:dyDescent="0.25">
      <c r="A734" s="456"/>
      <c r="B734" s="456"/>
      <c r="C734" s="456"/>
      <c r="D734" s="456"/>
      <c r="E734" s="456"/>
      <c r="F734" s="456"/>
      <c r="G734" s="456"/>
      <c r="H734" s="456"/>
      <c r="I734" s="456"/>
      <c r="J734" s="456"/>
      <c r="K734" s="456"/>
      <c r="L734" s="456"/>
      <c r="M734" s="456"/>
      <c r="N734" s="456"/>
      <c r="O734" s="456"/>
      <c r="P734" s="456"/>
      <c r="Q734" s="456"/>
      <c r="R734" s="456"/>
    </row>
    <row r="735" spans="1:18" ht="9.75" customHeight="1" x14ac:dyDescent="0.25">
      <c r="A735" s="456"/>
      <c r="B735" s="456"/>
      <c r="C735" s="456"/>
      <c r="D735" s="456"/>
      <c r="E735" s="456"/>
      <c r="F735" s="456"/>
      <c r="G735" s="456"/>
      <c r="H735" s="456"/>
      <c r="I735" s="456"/>
      <c r="J735" s="456"/>
      <c r="K735" s="456"/>
      <c r="L735" s="456"/>
      <c r="M735" s="456"/>
      <c r="N735" s="456"/>
      <c r="O735" s="456"/>
      <c r="P735" s="456"/>
      <c r="Q735" s="456"/>
      <c r="R735" s="456"/>
    </row>
    <row r="736" spans="1:18" ht="9.75" customHeight="1" x14ac:dyDescent="0.25">
      <c r="A736" s="456"/>
      <c r="B736" s="456"/>
      <c r="C736" s="456"/>
      <c r="D736" s="456"/>
      <c r="E736" s="456"/>
      <c r="F736" s="456"/>
      <c r="G736" s="456"/>
      <c r="H736" s="456"/>
      <c r="I736" s="456"/>
      <c r="J736" s="456"/>
      <c r="K736" s="456"/>
      <c r="L736" s="456"/>
      <c r="M736" s="456"/>
      <c r="N736" s="456"/>
      <c r="O736" s="456"/>
      <c r="P736" s="456"/>
      <c r="Q736" s="456"/>
      <c r="R736" s="456"/>
    </row>
    <row r="737" spans="1:18" ht="9.75" customHeight="1" x14ac:dyDescent="0.25">
      <c r="A737" s="456"/>
      <c r="B737" s="456"/>
      <c r="C737" s="456"/>
      <c r="D737" s="456"/>
      <c r="E737" s="456"/>
      <c r="F737" s="456"/>
      <c r="G737" s="456"/>
      <c r="H737" s="456"/>
      <c r="I737" s="456"/>
      <c r="J737" s="456"/>
      <c r="K737" s="456"/>
      <c r="L737" s="456"/>
      <c r="M737" s="456"/>
      <c r="N737" s="456"/>
      <c r="O737" s="456"/>
      <c r="P737" s="456"/>
      <c r="Q737" s="456"/>
      <c r="R737" s="456"/>
    </row>
    <row r="738" spans="1:18" ht="9.75" customHeight="1" x14ac:dyDescent="0.25">
      <c r="A738" s="456"/>
      <c r="B738" s="456"/>
      <c r="C738" s="456"/>
      <c r="D738" s="456"/>
      <c r="E738" s="456"/>
      <c r="F738" s="456"/>
      <c r="G738" s="456"/>
      <c r="H738" s="456"/>
      <c r="I738" s="456"/>
      <c r="J738" s="456"/>
      <c r="K738" s="456"/>
      <c r="L738" s="456"/>
      <c r="M738" s="456"/>
      <c r="N738" s="456"/>
      <c r="O738" s="456"/>
      <c r="P738" s="456"/>
      <c r="Q738" s="456"/>
      <c r="R738" s="456"/>
    </row>
    <row r="739" spans="1:18" ht="9.75" customHeight="1" x14ac:dyDescent="0.25">
      <c r="A739" s="456"/>
      <c r="B739" s="456"/>
      <c r="C739" s="456"/>
      <c r="D739" s="456"/>
      <c r="E739" s="456"/>
      <c r="F739" s="456"/>
      <c r="G739" s="456"/>
      <c r="H739" s="456"/>
      <c r="I739" s="456"/>
      <c r="J739" s="456"/>
      <c r="K739" s="456"/>
      <c r="L739" s="456"/>
      <c r="M739" s="456"/>
      <c r="N739" s="456"/>
      <c r="O739" s="456"/>
      <c r="P739" s="456"/>
      <c r="Q739" s="456"/>
      <c r="R739" s="456"/>
    </row>
    <row r="740" spans="1:18" ht="9.75" customHeight="1" x14ac:dyDescent="0.25">
      <c r="A740" s="456"/>
      <c r="B740" s="456"/>
      <c r="C740" s="456"/>
      <c r="D740" s="456"/>
      <c r="E740" s="456"/>
      <c r="F740" s="456"/>
      <c r="G740" s="456"/>
      <c r="H740" s="456"/>
      <c r="I740" s="456"/>
      <c r="J740" s="456"/>
      <c r="K740" s="456"/>
      <c r="L740" s="456"/>
      <c r="M740" s="456"/>
      <c r="N740" s="456"/>
      <c r="O740" s="456"/>
      <c r="P740" s="456"/>
      <c r="Q740" s="456"/>
      <c r="R740" s="456"/>
    </row>
    <row r="741" spans="1:18" ht="9.75" customHeight="1" x14ac:dyDescent="0.25">
      <c r="A741" s="456"/>
      <c r="B741" s="456"/>
      <c r="C741" s="456"/>
      <c r="D741" s="456"/>
      <c r="E741" s="456"/>
      <c r="F741" s="456"/>
      <c r="G741" s="456"/>
      <c r="H741" s="456"/>
      <c r="I741" s="456"/>
      <c r="J741" s="456"/>
      <c r="K741" s="456"/>
      <c r="L741" s="456"/>
      <c r="M741" s="456"/>
      <c r="N741" s="456"/>
      <c r="O741" s="456"/>
      <c r="P741" s="456"/>
      <c r="Q741" s="456"/>
      <c r="R741" s="456"/>
    </row>
    <row r="742" spans="1:18" ht="9.75" customHeight="1" x14ac:dyDescent="0.25">
      <c r="A742" s="456"/>
      <c r="B742" s="456"/>
      <c r="C742" s="456"/>
      <c r="D742" s="456"/>
      <c r="E742" s="456"/>
      <c r="F742" s="456"/>
      <c r="G742" s="456"/>
      <c r="H742" s="456"/>
      <c r="I742" s="456"/>
      <c r="J742" s="456"/>
      <c r="K742" s="456"/>
      <c r="L742" s="456"/>
      <c r="M742" s="456"/>
      <c r="N742" s="456"/>
      <c r="O742" s="456"/>
      <c r="P742" s="456"/>
      <c r="Q742" s="456"/>
      <c r="R742" s="456"/>
    </row>
    <row r="743" spans="1:18" ht="9.75" customHeight="1" x14ac:dyDescent="0.25">
      <c r="A743" s="456"/>
      <c r="B743" s="456"/>
      <c r="C743" s="456"/>
      <c r="D743" s="456"/>
      <c r="E743" s="456"/>
      <c r="F743" s="456"/>
      <c r="G743" s="456"/>
      <c r="H743" s="456"/>
      <c r="I743" s="456"/>
      <c r="J743" s="456"/>
      <c r="K743" s="456"/>
      <c r="L743" s="456"/>
      <c r="M743" s="456"/>
      <c r="N743" s="456"/>
      <c r="O743" s="456"/>
      <c r="P743" s="456"/>
      <c r="Q743" s="456"/>
      <c r="R743" s="456"/>
    </row>
    <row r="744" spans="1:18" ht="9.75" customHeight="1" x14ac:dyDescent="0.25">
      <c r="A744" s="456"/>
      <c r="B744" s="456"/>
      <c r="C744" s="456"/>
      <c r="D744" s="456"/>
      <c r="E744" s="456"/>
      <c r="F744" s="456"/>
      <c r="G744" s="456"/>
      <c r="H744" s="456"/>
      <c r="I744" s="456"/>
      <c r="J744" s="456"/>
      <c r="K744" s="456"/>
      <c r="L744" s="456"/>
      <c r="M744" s="456"/>
      <c r="N744" s="456"/>
      <c r="O744" s="456"/>
      <c r="P744" s="456"/>
      <c r="Q744" s="456"/>
      <c r="R744" s="456"/>
    </row>
    <row r="745" spans="1:18" ht="9.75" customHeight="1" x14ac:dyDescent="0.25">
      <c r="A745" s="456"/>
      <c r="B745" s="456"/>
      <c r="C745" s="456"/>
      <c r="D745" s="456"/>
      <c r="E745" s="456"/>
      <c r="F745" s="456"/>
      <c r="G745" s="456"/>
      <c r="H745" s="456"/>
      <c r="I745" s="456"/>
      <c r="J745" s="456"/>
      <c r="K745" s="456"/>
      <c r="L745" s="456"/>
      <c r="M745" s="456"/>
      <c r="N745" s="456"/>
      <c r="O745" s="456"/>
      <c r="P745" s="456"/>
      <c r="Q745" s="456"/>
      <c r="R745" s="456"/>
    </row>
    <row r="746" spans="1:18" ht="9.75" customHeight="1" x14ac:dyDescent="0.25">
      <c r="A746" s="456"/>
      <c r="B746" s="456"/>
      <c r="C746" s="456"/>
      <c r="D746" s="456"/>
      <c r="E746" s="456"/>
      <c r="F746" s="456"/>
      <c r="G746" s="456"/>
      <c r="H746" s="456"/>
      <c r="I746" s="456"/>
      <c r="J746" s="456"/>
      <c r="K746" s="456"/>
      <c r="L746" s="456"/>
      <c r="M746" s="456"/>
      <c r="N746" s="456"/>
      <c r="O746" s="456"/>
      <c r="P746" s="456"/>
      <c r="Q746" s="456"/>
      <c r="R746" s="456"/>
    </row>
    <row r="747" spans="1:18" ht="9.75" customHeight="1" x14ac:dyDescent="0.25">
      <c r="A747" s="456"/>
      <c r="B747" s="456"/>
      <c r="C747" s="456"/>
      <c r="D747" s="456"/>
      <c r="E747" s="456"/>
      <c r="F747" s="456"/>
      <c r="G747" s="456"/>
      <c r="H747" s="456"/>
      <c r="I747" s="456"/>
      <c r="J747" s="456"/>
      <c r="K747" s="456"/>
      <c r="L747" s="456"/>
      <c r="M747" s="456"/>
      <c r="N747" s="456"/>
      <c r="O747" s="456"/>
      <c r="P747" s="456"/>
      <c r="Q747" s="456"/>
      <c r="R747" s="456"/>
    </row>
    <row r="748" spans="1:18" ht="9.75" customHeight="1" x14ac:dyDescent="0.25">
      <c r="A748" s="456"/>
      <c r="B748" s="456"/>
      <c r="C748" s="456"/>
      <c r="D748" s="456"/>
      <c r="E748" s="456"/>
      <c r="F748" s="456"/>
      <c r="G748" s="456"/>
      <c r="H748" s="456"/>
      <c r="I748" s="456"/>
      <c r="J748" s="456"/>
      <c r="K748" s="456"/>
      <c r="L748" s="456"/>
      <c r="M748" s="456"/>
      <c r="N748" s="456"/>
      <c r="O748" s="456"/>
      <c r="P748" s="456"/>
      <c r="Q748" s="456"/>
      <c r="R748" s="456"/>
    </row>
    <row r="749" spans="1:18" ht="9.75" customHeight="1" x14ac:dyDescent="0.25">
      <c r="A749" s="456"/>
      <c r="B749" s="456"/>
      <c r="C749" s="456"/>
      <c r="D749" s="456"/>
      <c r="E749" s="456"/>
      <c r="F749" s="456"/>
      <c r="G749" s="456"/>
      <c r="H749" s="456"/>
      <c r="I749" s="456"/>
      <c r="J749" s="456"/>
      <c r="K749" s="456"/>
      <c r="L749" s="456"/>
      <c r="M749" s="456"/>
      <c r="N749" s="456"/>
      <c r="O749" s="456"/>
      <c r="P749" s="456"/>
      <c r="Q749" s="456"/>
      <c r="R749" s="456"/>
    </row>
    <row r="750" spans="1:18" ht="9.75" customHeight="1" x14ac:dyDescent="0.25">
      <c r="A750" s="456"/>
      <c r="B750" s="456"/>
      <c r="C750" s="456"/>
      <c r="D750" s="456"/>
      <c r="E750" s="456"/>
      <c r="F750" s="456"/>
      <c r="G750" s="456"/>
      <c r="H750" s="456"/>
      <c r="I750" s="456"/>
      <c r="J750" s="456"/>
      <c r="K750" s="456"/>
      <c r="L750" s="456"/>
      <c r="M750" s="456"/>
      <c r="N750" s="456"/>
      <c r="O750" s="456"/>
      <c r="P750" s="456"/>
      <c r="Q750" s="456"/>
      <c r="R750" s="456"/>
    </row>
    <row r="751" spans="1:18" ht="9.75" customHeight="1" x14ac:dyDescent="0.25">
      <c r="A751" s="456"/>
      <c r="B751" s="456"/>
      <c r="C751" s="456"/>
      <c r="D751" s="456"/>
      <c r="E751" s="456"/>
      <c r="F751" s="456"/>
      <c r="G751" s="456"/>
      <c r="H751" s="456"/>
      <c r="I751" s="456"/>
      <c r="J751" s="456"/>
      <c r="K751" s="456"/>
      <c r="L751" s="456"/>
      <c r="M751" s="456"/>
      <c r="N751" s="456"/>
      <c r="O751" s="456"/>
      <c r="P751" s="456"/>
      <c r="Q751" s="456"/>
      <c r="R751" s="456"/>
    </row>
    <row r="752" spans="1:18" ht="9.75" customHeight="1" x14ac:dyDescent="0.25">
      <c r="A752" s="456"/>
      <c r="B752" s="456"/>
      <c r="C752" s="456"/>
      <c r="D752" s="456"/>
      <c r="E752" s="456"/>
      <c r="F752" s="456"/>
      <c r="G752" s="456"/>
      <c r="H752" s="456"/>
      <c r="I752" s="456"/>
      <c r="J752" s="456"/>
      <c r="K752" s="456"/>
      <c r="L752" s="456"/>
      <c r="M752" s="456"/>
      <c r="N752" s="456"/>
      <c r="O752" s="456"/>
      <c r="P752" s="456"/>
      <c r="Q752" s="456"/>
      <c r="R752" s="456"/>
    </row>
    <row r="753" spans="1:18" ht="9.75" customHeight="1" x14ac:dyDescent="0.25">
      <c r="A753" s="456"/>
      <c r="B753" s="456"/>
      <c r="C753" s="456"/>
      <c r="D753" s="456"/>
      <c r="E753" s="456"/>
      <c r="F753" s="456"/>
      <c r="G753" s="456"/>
      <c r="H753" s="456"/>
      <c r="I753" s="456"/>
      <c r="J753" s="456"/>
      <c r="K753" s="456"/>
      <c r="L753" s="456"/>
      <c r="M753" s="456"/>
      <c r="N753" s="456"/>
      <c r="O753" s="456"/>
      <c r="P753" s="456"/>
      <c r="Q753" s="456"/>
      <c r="R753" s="456"/>
    </row>
    <row r="754" spans="1:18" ht="9.75" customHeight="1" x14ac:dyDescent="0.25">
      <c r="A754" s="456"/>
      <c r="B754" s="456"/>
      <c r="C754" s="456"/>
      <c r="D754" s="456"/>
      <c r="E754" s="456"/>
      <c r="F754" s="456"/>
      <c r="G754" s="456"/>
      <c r="H754" s="456"/>
      <c r="I754" s="456"/>
      <c r="J754" s="456"/>
      <c r="K754" s="456"/>
      <c r="L754" s="456"/>
      <c r="M754" s="456"/>
      <c r="N754" s="456"/>
      <c r="O754" s="456"/>
      <c r="P754" s="456"/>
      <c r="Q754" s="456"/>
      <c r="R754" s="456"/>
    </row>
    <row r="755" spans="1:18" ht="9.75" customHeight="1" x14ac:dyDescent="0.25">
      <c r="A755" s="456"/>
      <c r="B755" s="456"/>
      <c r="C755" s="456"/>
      <c r="D755" s="456"/>
      <c r="E755" s="456"/>
      <c r="F755" s="456"/>
      <c r="G755" s="456"/>
      <c r="H755" s="456"/>
      <c r="I755" s="456"/>
      <c r="J755" s="456"/>
      <c r="K755" s="456"/>
      <c r="L755" s="456"/>
      <c r="M755" s="456"/>
      <c r="N755" s="456"/>
      <c r="O755" s="456"/>
      <c r="P755" s="456"/>
      <c r="Q755" s="456"/>
      <c r="R755" s="456"/>
    </row>
    <row r="756" spans="1:18" ht="9.75" customHeight="1" x14ac:dyDescent="0.25">
      <c r="A756" s="456"/>
      <c r="B756" s="456"/>
      <c r="C756" s="456"/>
      <c r="D756" s="456"/>
      <c r="E756" s="456"/>
      <c r="F756" s="456"/>
      <c r="G756" s="456"/>
      <c r="H756" s="456"/>
      <c r="I756" s="456"/>
      <c r="J756" s="456"/>
      <c r="K756" s="456"/>
      <c r="L756" s="456"/>
      <c r="M756" s="456"/>
      <c r="N756" s="456"/>
      <c r="O756" s="456"/>
      <c r="P756" s="456"/>
      <c r="Q756" s="456"/>
      <c r="R756" s="456"/>
    </row>
    <row r="757" spans="1:18" ht="9.75" customHeight="1" x14ac:dyDescent="0.25">
      <c r="A757" s="456"/>
      <c r="B757" s="456"/>
      <c r="C757" s="456"/>
      <c r="D757" s="456"/>
      <c r="E757" s="456"/>
      <c r="F757" s="456"/>
      <c r="G757" s="456"/>
      <c r="H757" s="456"/>
      <c r="I757" s="456"/>
      <c r="J757" s="456"/>
      <c r="K757" s="456"/>
      <c r="L757" s="456"/>
      <c r="M757" s="456"/>
      <c r="N757" s="456"/>
      <c r="O757" s="456"/>
      <c r="P757" s="456"/>
      <c r="Q757" s="456"/>
      <c r="R757" s="456"/>
    </row>
    <row r="758" spans="1:18" ht="9.75" customHeight="1" x14ac:dyDescent="0.25">
      <c r="A758" s="456"/>
      <c r="B758" s="456"/>
      <c r="C758" s="456"/>
      <c r="D758" s="456"/>
      <c r="E758" s="456"/>
      <c r="F758" s="456"/>
      <c r="G758" s="456"/>
      <c r="H758" s="456"/>
      <c r="I758" s="456"/>
      <c r="J758" s="456"/>
      <c r="K758" s="456"/>
      <c r="L758" s="456"/>
      <c r="M758" s="456"/>
      <c r="N758" s="456"/>
      <c r="O758" s="456"/>
      <c r="P758" s="456"/>
      <c r="Q758" s="456"/>
      <c r="R758" s="456"/>
    </row>
    <row r="759" spans="1:18" ht="9.75" customHeight="1" x14ac:dyDescent="0.25">
      <c r="A759" s="456"/>
      <c r="B759" s="456"/>
      <c r="C759" s="456"/>
      <c r="D759" s="456"/>
      <c r="E759" s="456"/>
      <c r="F759" s="456"/>
      <c r="G759" s="456"/>
      <c r="H759" s="456"/>
      <c r="I759" s="456"/>
      <c r="J759" s="456"/>
      <c r="K759" s="456"/>
      <c r="L759" s="456"/>
      <c r="M759" s="456"/>
      <c r="N759" s="456"/>
      <c r="O759" s="456"/>
      <c r="P759" s="456"/>
      <c r="Q759" s="456"/>
      <c r="R759" s="456"/>
    </row>
    <row r="760" spans="1:18" ht="9.75" customHeight="1" x14ac:dyDescent="0.25">
      <c r="A760" s="456"/>
      <c r="B760" s="456"/>
      <c r="C760" s="456"/>
      <c r="D760" s="456"/>
      <c r="E760" s="456"/>
      <c r="F760" s="456"/>
      <c r="G760" s="456"/>
      <c r="H760" s="456"/>
      <c r="I760" s="456"/>
      <c r="J760" s="456"/>
      <c r="K760" s="456"/>
      <c r="L760" s="456"/>
      <c r="M760" s="456"/>
      <c r="N760" s="456"/>
      <c r="O760" s="456"/>
      <c r="P760" s="456"/>
      <c r="Q760" s="456"/>
      <c r="R760" s="456"/>
    </row>
    <row r="761" spans="1:18" ht="9.75" customHeight="1" x14ac:dyDescent="0.25">
      <c r="A761" s="456"/>
      <c r="B761" s="456"/>
      <c r="C761" s="456"/>
      <c r="D761" s="456"/>
      <c r="E761" s="456"/>
      <c r="F761" s="456"/>
      <c r="G761" s="456"/>
      <c r="H761" s="456"/>
      <c r="I761" s="456"/>
      <c r="J761" s="456"/>
      <c r="K761" s="456"/>
      <c r="L761" s="456"/>
      <c r="M761" s="456"/>
      <c r="N761" s="456"/>
      <c r="O761" s="456"/>
      <c r="P761" s="456"/>
      <c r="Q761" s="456"/>
      <c r="R761" s="456"/>
    </row>
    <row r="762" spans="1:18" ht="9.75" customHeight="1" x14ac:dyDescent="0.25">
      <c r="A762" s="456"/>
      <c r="B762" s="456"/>
      <c r="C762" s="456"/>
      <c r="D762" s="456"/>
      <c r="E762" s="456"/>
      <c r="F762" s="456"/>
      <c r="G762" s="456"/>
      <c r="H762" s="456"/>
      <c r="I762" s="456"/>
      <c r="J762" s="456"/>
      <c r="K762" s="456"/>
      <c r="L762" s="456"/>
      <c r="M762" s="456"/>
      <c r="N762" s="456"/>
      <c r="O762" s="456"/>
      <c r="P762" s="456"/>
      <c r="Q762" s="456"/>
      <c r="R762" s="456"/>
    </row>
    <row r="763" spans="1:18" ht="9.75" customHeight="1" x14ac:dyDescent="0.25">
      <c r="A763" s="456"/>
      <c r="B763" s="456"/>
      <c r="C763" s="456"/>
      <c r="D763" s="456"/>
      <c r="E763" s="456"/>
      <c r="F763" s="456"/>
      <c r="G763" s="456"/>
      <c r="H763" s="456"/>
      <c r="I763" s="456"/>
      <c r="J763" s="456"/>
      <c r="K763" s="456"/>
      <c r="L763" s="456"/>
      <c r="M763" s="456"/>
      <c r="N763" s="456"/>
      <c r="O763" s="456"/>
      <c r="P763" s="456"/>
      <c r="Q763" s="456"/>
      <c r="R763" s="456"/>
    </row>
    <row r="764" spans="1:18" ht="9.75" customHeight="1" x14ac:dyDescent="0.25">
      <c r="A764" s="456"/>
      <c r="B764" s="456"/>
      <c r="C764" s="456"/>
      <c r="D764" s="456"/>
      <c r="E764" s="456"/>
      <c r="F764" s="456"/>
      <c r="G764" s="456"/>
      <c r="H764" s="456"/>
      <c r="I764" s="456"/>
      <c r="J764" s="456"/>
      <c r="K764" s="456"/>
      <c r="L764" s="456"/>
      <c r="M764" s="456"/>
      <c r="N764" s="456"/>
      <c r="O764" s="456"/>
      <c r="P764" s="456"/>
      <c r="Q764" s="456"/>
      <c r="R764" s="456"/>
    </row>
    <row r="765" spans="1:18" ht="9.75" customHeight="1" x14ac:dyDescent="0.25">
      <c r="A765" s="456"/>
      <c r="B765" s="456"/>
      <c r="C765" s="456"/>
      <c r="D765" s="456"/>
      <c r="E765" s="456"/>
      <c r="F765" s="456"/>
      <c r="G765" s="456"/>
      <c r="H765" s="456"/>
      <c r="I765" s="456"/>
      <c r="J765" s="456"/>
      <c r="K765" s="456"/>
      <c r="L765" s="456"/>
      <c r="M765" s="456"/>
      <c r="N765" s="456"/>
      <c r="O765" s="456"/>
      <c r="P765" s="456"/>
      <c r="Q765" s="456"/>
      <c r="R765" s="456"/>
    </row>
    <row r="766" spans="1:18" ht="9.75" customHeight="1" x14ac:dyDescent="0.25">
      <c r="A766" s="456"/>
      <c r="B766" s="456"/>
      <c r="C766" s="456"/>
      <c r="D766" s="456"/>
      <c r="E766" s="456"/>
      <c r="F766" s="456"/>
      <c r="G766" s="456"/>
      <c r="H766" s="456"/>
      <c r="I766" s="456"/>
      <c r="J766" s="456"/>
      <c r="K766" s="456"/>
      <c r="L766" s="456"/>
      <c r="M766" s="456"/>
      <c r="N766" s="456"/>
      <c r="O766" s="456"/>
      <c r="P766" s="456"/>
      <c r="Q766" s="456"/>
      <c r="R766" s="456"/>
    </row>
    <row r="767" spans="1:18" ht="9.75" customHeight="1" x14ac:dyDescent="0.25">
      <c r="A767" s="456"/>
      <c r="B767" s="456"/>
      <c r="C767" s="456"/>
      <c r="D767" s="456"/>
      <c r="E767" s="456"/>
      <c r="F767" s="456"/>
      <c r="G767" s="456"/>
      <c r="H767" s="456"/>
      <c r="I767" s="456"/>
      <c r="J767" s="456"/>
      <c r="K767" s="456"/>
      <c r="L767" s="456"/>
      <c r="M767" s="456"/>
      <c r="N767" s="456"/>
      <c r="O767" s="456"/>
      <c r="P767" s="456"/>
      <c r="Q767" s="456"/>
      <c r="R767" s="456"/>
    </row>
    <row r="768" spans="1:18" ht="9.75" customHeight="1" x14ac:dyDescent="0.25">
      <c r="A768" s="456"/>
      <c r="B768" s="456"/>
      <c r="C768" s="456"/>
      <c r="D768" s="456"/>
      <c r="E768" s="456"/>
      <c r="F768" s="456"/>
      <c r="G768" s="456"/>
      <c r="H768" s="456"/>
      <c r="I768" s="456"/>
      <c r="J768" s="456"/>
      <c r="K768" s="456"/>
      <c r="L768" s="456"/>
      <c r="M768" s="456"/>
      <c r="N768" s="456"/>
      <c r="O768" s="456"/>
      <c r="P768" s="456"/>
      <c r="Q768" s="456"/>
      <c r="R768" s="456"/>
    </row>
    <row r="769" spans="1:18" ht="9.75" customHeight="1" x14ac:dyDescent="0.25">
      <c r="A769" s="456"/>
      <c r="B769" s="456"/>
      <c r="C769" s="456"/>
      <c r="D769" s="456"/>
      <c r="E769" s="456"/>
      <c r="F769" s="456"/>
      <c r="G769" s="456"/>
      <c r="H769" s="456"/>
      <c r="I769" s="456"/>
      <c r="J769" s="456"/>
      <c r="K769" s="456"/>
      <c r="L769" s="456"/>
      <c r="M769" s="456"/>
      <c r="N769" s="456"/>
      <c r="O769" s="456"/>
      <c r="P769" s="456"/>
      <c r="Q769" s="456"/>
      <c r="R769" s="456"/>
    </row>
    <row r="770" spans="1:18" ht="9.75" customHeight="1" x14ac:dyDescent="0.25">
      <c r="A770" s="456"/>
      <c r="B770" s="456"/>
      <c r="C770" s="456"/>
      <c r="D770" s="456"/>
      <c r="E770" s="456"/>
      <c r="F770" s="456"/>
      <c r="G770" s="456"/>
      <c r="H770" s="456"/>
      <c r="I770" s="456"/>
      <c r="J770" s="456"/>
      <c r="K770" s="456"/>
      <c r="L770" s="456"/>
      <c r="M770" s="456"/>
      <c r="N770" s="456"/>
      <c r="O770" s="456"/>
      <c r="P770" s="456"/>
      <c r="Q770" s="456"/>
      <c r="R770" s="456"/>
    </row>
    <row r="771" spans="1:18" ht="9.75" customHeight="1" x14ac:dyDescent="0.25">
      <c r="A771" s="456"/>
      <c r="B771" s="456"/>
      <c r="C771" s="456"/>
      <c r="D771" s="456"/>
      <c r="E771" s="456"/>
      <c r="F771" s="456"/>
      <c r="G771" s="456"/>
      <c r="H771" s="456"/>
      <c r="I771" s="456"/>
      <c r="J771" s="456"/>
      <c r="K771" s="456"/>
      <c r="L771" s="456"/>
      <c r="M771" s="456"/>
      <c r="N771" s="456"/>
      <c r="O771" s="456"/>
      <c r="P771" s="456"/>
      <c r="Q771" s="456"/>
      <c r="R771" s="456"/>
    </row>
    <row r="772" spans="1:18" ht="9.75" customHeight="1" x14ac:dyDescent="0.25">
      <c r="A772" s="456"/>
      <c r="B772" s="456"/>
      <c r="C772" s="456"/>
      <c r="D772" s="456"/>
      <c r="E772" s="456"/>
      <c r="F772" s="456"/>
      <c r="G772" s="456"/>
      <c r="H772" s="456"/>
      <c r="I772" s="456"/>
      <c r="J772" s="456"/>
      <c r="K772" s="456"/>
      <c r="L772" s="456"/>
      <c r="M772" s="456"/>
      <c r="N772" s="456"/>
      <c r="O772" s="456"/>
      <c r="P772" s="456"/>
      <c r="Q772" s="456"/>
      <c r="R772" s="456"/>
    </row>
    <row r="773" spans="1:18" ht="9.75" customHeight="1" x14ac:dyDescent="0.25">
      <c r="A773" s="456"/>
      <c r="B773" s="456"/>
      <c r="C773" s="456"/>
      <c r="D773" s="456"/>
      <c r="E773" s="456"/>
      <c r="F773" s="456"/>
      <c r="G773" s="456"/>
      <c r="H773" s="456"/>
      <c r="I773" s="456"/>
      <c r="J773" s="456"/>
      <c r="K773" s="456"/>
      <c r="L773" s="456"/>
      <c r="M773" s="456"/>
      <c r="N773" s="456"/>
      <c r="O773" s="456"/>
      <c r="P773" s="456"/>
      <c r="Q773" s="456"/>
      <c r="R773" s="456"/>
    </row>
    <row r="774" spans="1:18" ht="9.75" customHeight="1" x14ac:dyDescent="0.25">
      <c r="A774" s="456"/>
      <c r="B774" s="456"/>
      <c r="C774" s="456"/>
      <c r="D774" s="456"/>
      <c r="E774" s="456"/>
      <c r="F774" s="456"/>
      <c r="G774" s="456"/>
      <c r="H774" s="456"/>
      <c r="I774" s="456"/>
      <c r="J774" s="456"/>
      <c r="K774" s="456"/>
      <c r="L774" s="456"/>
      <c r="M774" s="456"/>
      <c r="N774" s="456"/>
      <c r="O774" s="456"/>
      <c r="P774" s="456"/>
      <c r="Q774" s="456"/>
      <c r="R774" s="456"/>
    </row>
    <row r="775" spans="1:18" ht="9.75" customHeight="1" x14ac:dyDescent="0.25">
      <c r="A775" s="456"/>
      <c r="B775" s="456"/>
      <c r="C775" s="456"/>
      <c r="D775" s="456"/>
      <c r="E775" s="456"/>
      <c r="F775" s="456"/>
      <c r="G775" s="456"/>
      <c r="H775" s="456"/>
      <c r="I775" s="456"/>
      <c r="J775" s="456"/>
      <c r="K775" s="456"/>
      <c r="L775" s="456"/>
      <c r="M775" s="456"/>
      <c r="N775" s="456"/>
      <c r="O775" s="456"/>
      <c r="P775" s="456"/>
      <c r="Q775" s="456"/>
      <c r="R775" s="456"/>
    </row>
    <row r="776" spans="1:18" ht="9.75" customHeight="1" x14ac:dyDescent="0.25">
      <c r="A776" s="456"/>
      <c r="B776" s="456"/>
      <c r="C776" s="456"/>
      <c r="D776" s="456"/>
      <c r="E776" s="456"/>
      <c r="F776" s="456"/>
      <c r="G776" s="456"/>
      <c r="H776" s="456"/>
      <c r="I776" s="456"/>
      <c r="J776" s="456"/>
      <c r="K776" s="456"/>
      <c r="L776" s="456"/>
      <c r="M776" s="456"/>
      <c r="N776" s="456"/>
      <c r="O776" s="456"/>
      <c r="P776" s="456"/>
      <c r="Q776" s="456"/>
      <c r="R776" s="456"/>
    </row>
    <row r="777" spans="1:18" ht="9.75" customHeight="1" x14ac:dyDescent="0.25">
      <c r="A777" s="456"/>
      <c r="B777" s="456"/>
      <c r="C777" s="456"/>
      <c r="D777" s="456"/>
      <c r="E777" s="456"/>
      <c r="F777" s="456"/>
      <c r="G777" s="456"/>
      <c r="H777" s="456"/>
      <c r="I777" s="456"/>
      <c r="J777" s="456"/>
      <c r="K777" s="456"/>
      <c r="L777" s="456"/>
      <c r="M777" s="456"/>
      <c r="N777" s="456"/>
      <c r="O777" s="456"/>
      <c r="P777" s="456"/>
      <c r="Q777" s="456"/>
      <c r="R777" s="456"/>
    </row>
    <row r="778" spans="1:18" ht="9.75" customHeight="1" x14ac:dyDescent="0.25">
      <c r="A778" s="456"/>
      <c r="B778" s="456"/>
      <c r="C778" s="456"/>
      <c r="D778" s="456"/>
      <c r="E778" s="456"/>
      <c r="F778" s="456"/>
      <c r="G778" s="456"/>
      <c r="H778" s="456"/>
      <c r="I778" s="456"/>
      <c r="J778" s="456"/>
      <c r="K778" s="456"/>
      <c r="L778" s="456"/>
      <c r="M778" s="456"/>
      <c r="N778" s="456"/>
      <c r="O778" s="456"/>
      <c r="P778" s="456"/>
      <c r="Q778" s="456"/>
      <c r="R778" s="456"/>
    </row>
    <row r="779" spans="1:18" ht="9.75" customHeight="1" x14ac:dyDescent="0.25">
      <c r="A779" s="456"/>
      <c r="B779" s="456"/>
      <c r="C779" s="456"/>
      <c r="D779" s="456"/>
      <c r="E779" s="456"/>
      <c r="F779" s="456"/>
      <c r="G779" s="456"/>
      <c r="H779" s="456"/>
      <c r="I779" s="456"/>
      <c r="J779" s="456"/>
      <c r="K779" s="456"/>
      <c r="L779" s="456"/>
      <c r="M779" s="456"/>
      <c r="N779" s="456"/>
      <c r="O779" s="456"/>
      <c r="P779" s="456"/>
      <c r="Q779" s="456"/>
      <c r="R779" s="456"/>
    </row>
    <row r="780" spans="1:18" ht="9.75" customHeight="1" x14ac:dyDescent="0.25">
      <c r="A780" s="456"/>
      <c r="B780" s="456"/>
      <c r="C780" s="456"/>
      <c r="D780" s="456"/>
      <c r="E780" s="456"/>
      <c r="F780" s="456"/>
      <c r="G780" s="456"/>
      <c r="H780" s="456"/>
      <c r="I780" s="456"/>
      <c r="J780" s="456"/>
      <c r="K780" s="456"/>
      <c r="L780" s="456"/>
      <c r="M780" s="456"/>
      <c r="N780" s="456"/>
      <c r="O780" s="456"/>
      <c r="P780" s="456"/>
      <c r="Q780" s="456"/>
      <c r="R780" s="456"/>
    </row>
    <row r="781" spans="1:18" ht="9.75" customHeight="1" x14ac:dyDescent="0.25">
      <c r="A781" s="456"/>
      <c r="B781" s="456"/>
      <c r="C781" s="456"/>
      <c r="D781" s="456"/>
      <c r="E781" s="456"/>
      <c r="F781" s="456"/>
      <c r="G781" s="456"/>
      <c r="H781" s="456"/>
      <c r="I781" s="456"/>
      <c r="J781" s="456"/>
      <c r="K781" s="456"/>
      <c r="L781" s="456"/>
      <c r="M781" s="456"/>
      <c r="N781" s="456"/>
      <c r="O781" s="456"/>
      <c r="P781" s="456"/>
      <c r="Q781" s="456"/>
      <c r="R781" s="456"/>
    </row>
    <row r="782" spans="1:18" ht="9.75" customHeight="1" x14ac:dyDescent="0.25">
      <c r="A782" s="456"/>
      <c r="B782" s="456"/>
      <c r="C782" s="456"/>
      <c r="D782" s="456"/>
      <c r="E782" s="456"/>
      <c r="F782" s="456"/>
      <c r="G782" s="456"/>
      <c r="H782" s="456"/>
      <c r="I782" s="456"/>
      <c r="J782" s="456"/>
      <c r="K782" s="456"/>
      <c r="L782" s="456"/>
      <c r="M782" s="456"/>
      <c r="N782" s="456"/>
      <c r="O782" s="456"/>
      <c r="P782" s="456"/>
      <c r="Q782" s="456"/>
      <c r="R782" s="456"/>
    </row>
    <row r="783" spans="1:18" ht="9.75" customHeight="1" x14ac:dyDescent="0.25">
      <c r="A783" s="456"/>
      <c r="B783" s="456"/>
      <c r="C783" s="456"/>
      <c r="D783" s="456"/>
      <c r="E783" s="456"/>
      <c r="F783" s="456"/>
      <c r="G783" s="456"/>
      <c r="H783" s="456"/>
      <c r="I783" s="456"/>
      <c r="J783" s="456"/>
      <c r="K783" s="456"/>
      <c r="L783" s="456"/>
      <c r="M783" s="456"/>
      <c r="N783" s="456"/>
      <c r="O783" s="456"/>
      <c r="P783" s="456"/>
      <c r="Q783" s="456"/>
      <c r="R783" s="456"/>
    </row>
    <row r="784" spans="1:18" ht="9.75" customHeight="1" x14ac:dyDescent="0.25">
      <c r="A784" s="456"/>
      <c r="B784" s="456"/>
      <c r="C784" s="456"/>
      <c r="D784" s="456"/>
      <c r="E784" s="456"/>
      <c r="F784" s="456"/>
      <c r="G784" s="456"/>
      <c r="H784" s="456"/>
      <c r="I784" s="456"/>
      <c r="J784" s="456"/>
      <c r="K784" s="456"/>
      <c r="L784" s="456"/>
      <c r="M784" s="456"/>
      <c r="N784" s="456"/>
      <c r="O784" s="456"/>
      <c r="P784" s="456"/>
      <c r="Q784" s="456"/>
      <c r="R784" s="456"/>
    </row>
    <row r="785" spans="1:18" ht="9.75" customHeight="1" x14ac:dyDescent="0.25">
      <c r="A785" s="456"/>
      <c r="B785" s="456"/>
      <c r="C785" s="456"/>
      <c r="D785" s="456"/>
      <c r="E785" s="456"/>
      <c r="F785" s="456"/>
      <c r="G785" s="456"/>
      <c r="H785" s="456"/>
      <c r="I785" s="456"/>
      <c r="J785" s="456"/>
      <c r="K785" s="456"/>
      <c r="L785" s="456"/>
      <c r="M785" s="456"/>
      <c r="N785" s="456"/>
      <c r="O785" s="456"/>
      <c r="P785" s="456"/>
      <c r="Q785" s="456"/>
      <c r="R785" s="456"/>
    </row>
    <row r="786" spans="1:18" ht="9.75" customHeight="1" x14ac:dyDescent="0.25">
      <c r="A786" s="456"/>
      <c r="B786" s="456"/>
      <c r="C786" s="456"/>
      <c r="D786" s="456"/>
      <c r="E786" s="456"/>
      <c r="F786" s="456"/>
      <c r="G786" s="456"/>
      <c r="H786" s="456"/>
      <c r="I786" s="456"/>
      <c r="J786" s="456"/>
      <c r="K786" s="456"/>
      <c r="L786" s="456"/>
      <c r="M786" s="456"/>
      <c r="N786" s="456"/>
      <c r="O786" s="456"/>
      <c r="P786" s="456"/>
      <c r="Q786" s="456"/>
      <c r="R786" s="456"/>
    </row>
    <row r="787" spans="1:18" ht="9.75" customHeight="1" x14ac:dyDescent="0.25">
      <c r="A787" s="456"/>
      <c r="B787" s="456"/>
      <c r="C787" s="456"/>
      <c r="D787" s="456"/>
      <c r="E787" s="456"/>
      <c r="F787" s="456"/>
      <c r="G787" s="456"/>
      <c r="H787" s="456"/>
      <c r="I787" s="456"/>
      <c r="J787" s="456"/>
      <c r="K787" s="456"/>
      <c r="L787" s="456"/>
      <c r="M787" s="456"/>
      <c r="N787" s="456"/>
      <c r="O787" s="456"/>
      <c r="P787" s="456"/>
      <c r="Q787" s="456"/>
      <c r="R787" s="456"/>
    </row>
    <row r="788" spans="1:18" ht="9.75" customHeight="1" x14ac:dyDescent="0.25">
      <c r="A788" s="456"/>
      <c r="B788" s="456"/>
      <c r="C788" s="456"/>
      <c r="D788" s="456"/>
      <c r="E788" s="456"/>
      <c r="F788" s="456"/>
      <c r="G788" s="456"/>
      <c r="H788" s="456"/>
      <c r="I788" s="456"/>
      <c r="J788" s="456"/>
      <c r="K788" s="456"/>
      <c r="L788" s="456"/>
      <c r="M788" s="456"/>
      <c r="N788" s="456"/>
      <c r="O788" s="456"/>
      <c r="P788" s="456"/>
      <c r="Q788" s="456"/>
      <c r="R788" s="456"/>
    </row>
    <row r="789" spans="1:18" ht="9.75" customHeight="1" x14ac:dyDescent="0.25">
      <c r="A789" s="456"/>
      <c r="B789" s="456"/>
      <c r="C789" s="456"/>
      <c r="D789" s="456"/>
      <c r="E789" s="456"/>
      <c r="F789" s="456"/>
      <c r="G789" s="456"/>
      <c r="H789" s="456"/>
      <c r="I789" s="456"/>
      <c r="J789" s="456"/>
      <c r="K789" s="456"/>
      <c r="L789" s="456"/>
      <c r="M789" s="456"/>
      <c r="N789" s="456"/>
      <c r="O789" s="456"/>
      <c r="P789" s="456"/>
      <c r="Q789" s="456"/>
      <c r="R789" s="456"/>
    </row>
    <row r="790" spans="1:18" ht="9.75" customHeight="1" x14ac:dyDescent="0.25">
      <c r="A790" s="456"/>
      <c r="B790" s="456"/>
      <c r="C790" s="456"/>
      <c r="D790" s="456"/>
      <c r="E790" s="456"/>
      <c r="F790" s="456"/>
      <c r="G790" s="456"/>
      <c r="H790" s="456"/>
      <c r="I790" s="456"/>
      <c r="J790" s="456"/>
      <c r="K790" s="456"/>
      <c r="L790" s="456"/>
      <c r="M790" s="456"/>
      <c r="N790" s="456"/>
      <c r="O790" s="456"/>
      <c r="P790" s="456"/>
      <c r="Q790" s="456"/>
      <c r="R790" s="456"/>
    </row>
    <row r="791" spans="1:18" ht="9.75" customHeight="1" x14ac:dyDescent="0.25">
      <c r="A791" s="456"/>
      <c r="B791" s="456"/>
      <c r="C791" s="456"/>
      <c r="D791" s="456"/>
      <c r="E791" s="456"/>
      <c r="F791" s="456"/>
      <c r="G791" s="456"/>
      <c r="H791" s="456"/>
      <c r="I791" s="456"/>
      <c r="J791" s="456"/>
      <c r="K791" s="456"/>
      <c r="L791" s="456"/>
      <c r="M791" s="456"/>
      <c r="N791" s="456"/>
      <c r="O791" s="456"/>
      <c r="P791" s="456"/>
      <c r="Q791" s="456"/>
      <c r="R791" s="456"/>
    </row>
    <row r="792" spans="1:18" ht="9.75" customHeight="1" x14ac:dyDescent="0.25">
      <c r="A792" s="456"/>
      <c r="B792" s="456"/>
      <c r="C792" s="456"/>
      <c r="D792" s="456"/>
      <c r="E792" s="456"/>
      <c r="F792" s="456"/>
      <c r="G792" s="456"/>
      <c r="H792" s="456"/>
      <c r="I792" s="456"/>
      <c r="J792" s="456"/>
      <c r="K792" s="456"/>
      <c r="L792" s="456"/>
      <c r="M792" s="456"/>
      <c r="N792" s="456"/>
      <c r="O792" s="456"/>
      <c r="P792" s="456"/>
      <c r="Q792" s="456"/>
      <c r="R792" s="456"/>
    </row>
    <row r="793" spans="1:18" ht="9.75" customHeight="1" x14ac:dyDescent="0.25">
      <c r="A793" s="456"/>
      <c r="B793" s="456"/>
      <c r="C793" s="456"/>
      <c r="D793" s="456"/>
      <c r="E793" s="456"/>
      <c r="F793" s="456"/>
      <c r="G793" s="456"/>
      <c r="H793" s="456"/>
      <c r="I793" s="456"/>
      <c r="J793" s="456"/>
      <c r="K793" s="456"/>
      <c r="L793" s="456"/>
      <c r="M793" s="456"/>
      <c r="N793" s="456"/>
      <c r="O793" s="456"/>
      <c r="P793" s="456"/>
      <c r="Q793" s="456"/>
      <c r="R793" s="456"/>
    </row>
    <row r="794" spans="1:18" ht="9.75" customHeight="1" x14ac:dyDescent="0.25">
      <c r="A794" s="456"/>
      <c r="B794" s="456"/>
      <c r="C794" s="456"/>
      <c r="D794" s="456"/>
      <c r="E794" s="456"/>
      <c r="F794" s="456"/>
      <c r="G794" s="456"/>
      <c r="H794" s="456"/>
      <c r="I794" s="456"/>
      <c r="J794" s="456"/>
      <c r="K794" s="456"/>
      <c r="L794" s="456"/>
      <c r="M794" s="456"/>
      <c r="N794" s="456"/>
      <c r="O794" s="456"/>
      <c r="P794" s="456"/>
      <c r="Q794" s="456"/>
      <c r="R794" s="456"/>
    </row>
    <row r="795" spans="1:18" ht="9.75" customHeight="1" x14ac:dyDescent="0.25">
      <c r="A795" s="456"/>
      <c r="B795" s="456"/>
      <c r="C795" s="456"/>
      <c r="D795" s="456"/>
      <c r="E795" s="456"/>
      <c r="F795" s="456"/>
      <c r="G795" s="456"/>
      <c r="H795" s="456"/>
      <c r="I795" s="456"/>
      <c r="J795" s="456"/>
      <c r="K795" s="456"/>
      <c r="L795" s="456"/>
      <c r="M795" s="456"/>
      <c r="N795" s="456"/>
      <c r="O795" s="456"/>
      <c r="P795" s="456"/>
      <c r="Q795" s="456"/>
      <c r="R795" s="456"/>
    </row>
    <row r="796" spans="1:18" ht="9.75" customHeight="1" x14ac:dyDescent="0.25">
      <c r="A796" s="456"/>
      <c r="B796" s="456"/>
      <c r="C796" s="456"/>
      <c r="D796" s="456"/>
      <c r="E796" s="456"/>
      <c r="F796" s="456"/>
      <c r="G796" s="456"/>
      <c r="H796" s="456"/>
      <c r="I796" s="456"/>
      <c r="J796" s="456"/>
      <c r="K796" s="456"/>
      <c r="L796" s="456"/>
      <c r="M796" s="456"/>
      <c r="N796" s="456"/>
      <c r="O796" s="456"/>
      <c r="P796" s="456"/>
      <c r="Q796" s="456"/>
      <c r="R796" s="456"/>
    </row>
    <row r="797" spans="1:18" ht="9.75" customHeight="1" x14ac:dyDescent="0.25">
      <c r="A797" s="456"/>
      <c r="B797" s="456"/>
      <c r="C797" s="456"/>
      <c r="D797" s="456"/>
      <c r="E797" s="456"/>
      <c r="F797" s="456"/>
      <c r="G797" s="456"/>
      <c r="H797" s="456"/>
      <c r="I797" s="456"/>
      <c r="J797" s="456"/>
      <c r="K797" s="456"/>
      <c r="L797" s="456"/>
      <c r="M797" s="456"/>
      <c r="N797" s="456"/>
      <c r="O797" s="456"/>
      <c r="P797" s="456"/>
      <c r="Q797" s="456"/>
      <c r="R797" s="456"/>
    </row>
    <row r="798" spans="1:18" ht="9.75" customHeight="1" x14ac:dyDescent="0.25">
      <c r="A798" s="456"/>
      <c r="B798" s="456"/>
      <c r="C798" s="456"/>
      <c r="D798" s="456"/>
      <c r="E798" s="456"/>
      <c r="F798" s="456"/>
      <c r="G798" s="456"/>
      <c r="H798" s="456"/>
      <c r="I798" s="456"/>
      <c r="J798" s="456"/>
      <c r="K798" s="456"/>
      <c r="L798" s="456"/>
      <c r="M798" s="456"/>
      <c r="N798" s="456"/>
      <c r="O798" s="456"/>
      <c r="P798" s="456"/>
      <c r="Q798" s="456"/>
      <c r="R798" s="456"/>
    </row>
    <row r="799" spans="1:18" ht="9.75" customHeight="1" x14ac:dyDescent="0.25">
      <c r="A799" s="456"/>
      <c r="B799" s="456"/>
      <c r="C799" s="456"/>
      <c r="D799" s="456"/>
      <c r="E799" s="456"/>
      <c r="F799" s="456"/>
      <c r="G799" s="456"/>
      <c r="H799" s="456"/>
      <c r="I799" s="456"/>
      <c r="J799" s="456"/>
      <c r="K799" s="456"/>
      <c r="L799" s="456"/>
      <c r="M799" s="456"/>
      <c r="N799" s="456"/>
      <c r="O799" s="456"/>
      <c r="P799" s="456"/>
      <c r="Q799" s="456"/>
      <c r="R799" s="456"/>
    </row>
    <row r="800" spans="1:18" ht="9.75" customHeight="1" x14ac:dyDescent="0.25">
      <c r="A800" s="456"/>
      <c r="B800" s="456"/>
      <c r="C800" s="456"/>
      <c r="D800" s="456"/>
      <c r="E800" s="456"/>
      <c r="F800" s="456"/>
      <c r="G800" s="456"/>
      <c r="H800" s="456"/>
      <c r="I800" s="456"/>
      <c r="J800" s="456"/>
      <c r="K800" s="456"/>
      <c r="L800" s="456"/>
      <c r="M800" s="456"/>
      <c r="N800" s="456"/>
      <c r="O800" s="456"/>
      <c r="P800" s="456"/>
      <c r="Q800" s="456"/>
      <c r="R800" s="456"/>
    </row>
    <row r="801" spans="1:18" ht="9.75" customHeight="1" x14ac:dyDescent="0.25">
      <c r="A801" s="456"/>
      <c r="B801" s="456"/>
      <c r="C801" s="456"/>
      <c r="D801" s="456"/>
      <c r="E801" s="456"/>
      <c r="F801" s="456"/>
      <c r="G801" s="456"/>
      <c r="H801" s="456"/>
      <c r="I801" s="456"/>
      <c r="J801" s="456"/>
      <c r="K801" s="456"/>
      <c r="L801" s="456"/>
      <c r="M801" s="456"/>
      <c r="N801" s="456"/>
      <c r="O801" s="456"/>
      <c r="P801" s="456"/>
      <c r="Q801" s="456"/>
      <c r="R801" s="456"/>
    </row>
    <row r="802" spans="1:18" ht="9.75" customHeight="1" x14ac:dyDescent="0.25">
      <c r="A802" s="456"/>
      <c r="B802" s="456"/>
      <c r="C802" s="456"/>
      <c r="D802" s="456"/>
      <c r="E802" s="456"/>
      <c r="F802" s="456"/>
      <c r="G802" s="456"/>
      <c r="H802" s="456"/>
      <c r="I802" s="456"/>
      <c r="J802" s="456"/>
      <c r="K802" s="456"/>
      <c r="L802" s="456"/>
      <c r="M802" s="456"/>
      <c r="N802" s="456"/>
      <c r="O802" s="456"/>
      <c r="P802" s="456"/>
      <c r="Q802" s="456"/>
      <c r="R802" s="456"/>
    </row>
    <row r="803" spans="1:18" ht="9.75" customHeight="1" x14ac:dyDescent="0.25">
      <c r="A803" s="456"/>
      <c r="B803" s="456"/>
      <c r="C803" s="456"/>
      <c r="D803" s="456"/>
      <c r="E803" s="456"/>
      <c r="F803" s="456"/>
      <c r="G803" s="456"/>
      <c r="H803" s="456"/>
      <c r="I803" s="456"/>
      <c r="J803" s="456"/>
      <c r="K803" s="456"/>
      <c r="L803" s="456"/>
      <c r="M803" s="456"/>
      <c r="N803" s="456"/>
      <c r="O803" s="456"/>
      <c r="P803" s="456"/>
      <c r="Q803" s="456"/>
      <c r="R803" s="456"/>
    </row>
    <row r="804" spans="1:18" ht="9.75" customHeight="1" x14ac:dyDescent="0.25">
      <c r="A804" s="456"/>
      <c r="B804" s="456"/>
      <c r="C804" s="456"/>
      <c r="D804" s="456"/>
      <c r="E804" s="456"/>
      <c r="F804" s="456"/>
      <c r="G804" s="456"/>
      <c r="H804" s="456"/>
      <c r="I804" s="456"/>
      <c r="J804" s="456"/>
      <c r="K804" s="456"/>
      <c r="L804" s="456"/>
      <c r="M804" s="456"/>
      <c r="N804" s="456"/>
      <c r="O804" s="456"/>
      <c r="P804" s="456"/>
      <c r="Q804" s="456"/>
      <c r="R804" s="456"/>
    </row>
    <row r="805" spans="1:18" ht="9.75" customHeight="1" x14ac:dyDescent="0.25">
      <c r="A805" s="456"/>
      <c r="B805" s="456"/>
      <c r="C805" s="456"/>
      <c r="D805" s="456"/>
      <c r="E805" s="456"/>
      <c r="F805" s="456"/>
      <c r="G805" s="456"/>
      <c r="H805" s="456"/>
      <c r="I805" s="456"/>
      <c r="J805" s="456"/>
      <c r="K805" s="456"/>
      <c r="L805" s="456"/>
      <c r="M805" s="456"/>
      <c r="N805" s="456"/>
      <c r="O805" s="456"/>
      <c r="P805" s="456"/>
      <c r="Q805" s="456"/>
      <c r="R805" s="456"/>
    </row>
    <row r="806" spans="1:18" ht="9.75" customHeight="1" x14ac:dyDescent="0.25">
      <c r="A806" s="456"/>
      <c r="B806" s="456"/>
      <c r="C806" s="456"/>
      <c r="D806" s="456"/>
      <c r="E806" s="456"/>
      <c r="F806" s="456"/>
      <c r="G806" s="456"/>
      <c r="H806" s="456"/>
      <c r="I806" s="456"/>
      <c r="J806" s="456"/>
      <c r="K806" s="456"/>
      <c r="L806" s="456"/>
      <c r="M806" s="456"/>
      <c r="N806" s="456"/>
      <c r="O806" s="456"/>
      <c r="P806" s="456"/>
      <c r="Q806" s="456"/>
      <c r="R806" s="456"/>
    </row>
    <row r="807" spans="1:18" ht="9.75" customHeight="1" x14ac:dyDescent="0.25">
      <c r="A807" s="456"/>
      <c r="B807" s="456"/>
      <c r="C807" s="456"/>
      <c r="D807" s="456"/>
      <c r="E807" s="456"/>
      <c r="F807" s="456"/>
      <c r="G807" s="456"/>
      <c r="H807" s="456"/>
      <c r="I807" s="456"/>
      <c r="J807" s="456"/>
      <c r="K807" s="456"/>
      <c r="L807" s="456"/>
      <c r="M807" s="456"/>
      <c r="N807" s="456"/>
      <c r="O807" s="456"/>
      <c r="P807" s="456"/>
      <c r="Q807" s="456"/>
      <c r="R807" s="456"/>
    </row>
    <row r="808" spans="1:18" ht="9.75" customHeight="1" x14ac:dyDescent="0.25">
      <c r="A808" s="456"/>
      <c r="B808" s="456"/>
      <c r="C808" s="456"/>
      <c r="D808" s="456"/>
      <c r="E808" s="456"/>
      <c r="F808" s="456"/>
      <c r="G808" s="456"/>
      <c r="H808" s="456"/>
      <c r="I808" s="456"/>
      <c r="J808" s="456"/>
      <c r="K808" s="456"/>
      <c r="L808" s="456"/>
      <c r="M808" s="456"/>
      <c r="N808" s="456"/>
      <c r="O808" s="456"/>
      <c r="P808" s="456"/>
      <c r="Q808" s="456"/>
      <c r="R808" s="456"/>
    </row>
    <row r="809" spans="1:18" ht="9.75" customHeight="1" x14ac:dyDescent="0.25">
      <c r="A809" s="456"/>
      <c r="B809" s="456"/>
      <c r="C809" s="456"/>
      <c r="D809" s="456"/>
      <c r="E809" s="456"/>
      <c r="F809" s="456"/>
      <c r="G809" s="456"/>
      <c r="H809" s="456"/>
      <c r="I809" s="456"/>
      <c r="J809" s="456"/>
      <c r="K809" s="456"/>
      <c r="L809" s="456"/>
      <c r="M809" s="456"/>
      <c r="N809" s="456"/>
      <c r="O809" s="456"/>
      <c r="P809" s="456"/>
      <c r="Q809" s="456"/>
      <c r="R809" s="456"/>
    </row>
    <row r="810" spans="1:18" ht="9.75" customHeight="1" x14ac:dyDescent="0.25">
      <c r="A810" s="456"/>
      <c r="B810" s="456"/>
      <c r="C810" s="456"/>
      <c r="D810" s="456"/>
      <c r="E810" s="456"/>
      <c r="F810" s="456"/>
      <c r="G810" s="456"/>
      <c r="H810" s="456"/>
      <c r="I810" s="456"/>
      <c r="J810" s="456"/>
      <c r="K810" s="456"/>
      <c r="L810" s="456"/>
      <c r="M810" s="456"/>
      <c r="N810" s="456"/>
      <c r="O810" s="456"/>
      <c r="P810" s="456"/>
      <c r="Q810" s="456"/>
      <c r="R810" s="456"/>
    </row>
    <row r="811" spans="1:18" ht="9.75" customHeight="1" x14ac:dyDescent="0.25">
      <c r="A811" s="456"/>
      <c r="B811" s="456"/>
      <c r="C811" s="456"/>
      <c r="D811" s="456"/>
      <c r="E811" s="456"/>
      <c r="F811" s="456"/>
      <c r="G811" s="456"/>
      <c r="H811" s="456"/>
      <c r="I811" s="456"/>
      <c r="J811" s="456"/>
      <c r="K811" s="456"/>
      <c r="L811" s="456"/>
      <c r="M811" s="456"/>
      <c r="N811" s="456"/>
      <c r="O811" s="456"/>
      <c r="P811" s="456"/>
      <c r="Q811" s="456"/>
      <c r="R811" s="456"/>
    </row>
    <row r="812" spans="1:18" ht="9.75" customHeight="1" x14ac:dyDescent="0.25">
      <c r="A812" s="456"/>
      <c r="B812" s="456"/>
      <c r="C812" s="456"/>
      <c r="D812" s="456"/>
      <c r="E812" s="456"/>
      <c r="F812" s="456"/>
      <c r="G812" s="456"/>
      <c r="H812" s="456"/>
      <c r="I812" s="456"/>
      <c r="J812" s="456"/>
      <c r="K812" s="456"/>
      <c r="L812" s="456"/>
      <c r="M812" s="456"/>
      <c r="N812" s="456"/>
      <c r="O812" s="456"/>
      <c r="P812" s="456"/>
      <c r="Q812" s="456"/>
      <c r="R812" s="456"/>
    </row>
    <row r="813" spans="1:18" ht="9.75" customHeight="1" x14ac:dyDescent="0.25">
      <c r="A813" s="456"/>
      <c r="B813" s="456"/>
      <c r="C813" s="456"/>
      <c r="D813" s="456"/>
      <c r="E813" s="456"/>
      <c r="F813" s="456"/>
      <c r="G813" s="456"/>
      <c r="H813" s="456"/>
      <c r="I813" s="456"/>
      <c r="J813" s="456"/>
      <c r="K813" s="456"/>
      <c r="L813" s="456"/>
      <c r="M813" s="456"/>
      <c r="N813" s="456"/>
      <c r="O813" s="456"/>
      <c r="P813" s="456"/>
      <c r="Q813" s="456"/>
      <c r="R813" s="456"/>
    </row>
    <row r="814" spans="1:18" ht="9.75" customHeight="1" x14ac:dyDescent="0.25">
      <c r="A814" s="456"/>
      <c r="B814" s="456"/>
      <c r="C814" s="456"/>
      <c r="D814" s="456"/>
      <c r="E814" s="456"/>
      <c r="F814" s="456"/>
      <c r="G814" s="456"/>
      <c r="H814" s="456"/>
      <c r="I814" s="456"/>
      <c r="J814" s="456"/>
      <c r="K814" s="456"/>
      <c r="L814" s="456"/>
      <c r="M814" s="456"/>
      <c r="N814" s="456"/>
      <c r="O814" s="456"/>
      <c r="P814" s="456"/>
      <c r="Q814" s="456"/>
      <c r="R814" s="456"/>
    </row>
    <row r="815" spans="1:18" ht="9.75" customHeight="1" x14ac:dyDescent="0.25">
      <c r="A815" s="456"/>
      <c r="B815" s="456"/>
      <c r="C815" s="456"/>
      <c r="D815" s="456"/>
      <c r="E815" s="456"/>
      <c r="F815" s="456"/>
      <c r="G815" s="456"/>
      <c r="H815" s="456"/>
      <c r="I815" s="456"/>
      <c r="J815" s="456"/>
      <c r="K815" s="456"/>
      <c r="L815" s="456"/>
      <c r="M815" s="456"/>
      <c r="N815" s="456"/>
      <c r="O815" s="456"/>
      <c r="P815" s="456"/>
      <c r="Q815" s="456"/>
      <c r="R815" s="456"/>
    </row>
    <row r="816" spans="1:18" ht="9.75" customHeight="1" x14ac:dyDescent="0.25">
      <c r="A816" s="456"/>
      <c r="B816" s="456"/>
      <c r="C816" s="456"/>
      <c r="D816" s="456"/>
      <c r="E816" s="456"/>
      <c r="F816" s="456"/>
      <c r="G816" s="456"/>
      <c r="H816" s="456"/>
      <c r="I816" s="456"/>
      <c r="J816" s="456"/>
      <c r="K816" s="456"/>
      <c r="L816" s="456"/>
      <c r="M816" s="456"/>
      <c r="N816" s="456"/>
      <c r="O816" s="456"/>
      <c r="P816" s="456"/>
      <c r="Q816" s="456"/>
      <c r="R816" s="456"/>
    </row>
    <row r="817" spans="1:18" ht="9.75" customHeight="1" x14ac:dyDescent="0.25">
      <c r="A817" s="456"/>
      <c r="B817" s="456"/>
      <c r="C817" s="456"/>
      <c r="D817" s="456"/>
      <c r="E817" s="456"/>
      <c r="F817" s="456"/>
      <c r="G817" s="456"/>
      <c r="H817" s="456"/>
      <c r="I817" s="456"/>
      <c r="J817" s="456"/>
      <c r="K817" s="456"/>
      <c r="L817" s="456"/>
      <c r="M817" s="456"/>
      <c r="N817" s="456"/>
      <c r="O817" s="456"/>
      <c r="P817" s="456"/>
      <c r="Q817" s="456"/>
      <c r="R817" s="456"/>
    </row>
    <row r="818" spans="1:18" ht="9.75" customHeight="1" x14ac:dyDescent="0.25">
      <c r="A818" s="456"/>
      <c r="B818" s="456"/>
      <c r="C818" s="456"/>
      <c r="D818" s="456"/>
      <c r="E818" s="456"/>
      <c r="F818" s="456"/>
      <c r="G818" s="456"/>
      <c r="H818" s="456"/>
      <c r="I818" s="456"/>
      <c r="J818" s="456"/>
      <c r="K818" s="456"/>
      <c r="L818" s="456"/>
      <c r="M818" s="456"/>
      <c r="N818" s="456"/>
      <c r="O818" s="456"/>
      <c r="P818" s="456"/>
      <c r="Q818" s="456"/>
      <c r="R818" s="456"/>
    </row>
    <row r="819" spans="1:18" ht="9.75" customHeight="1" x14ac:dyDescent="0.25">
      <c r="A819" s="456"/>
      <c r="B819" s="456"/>
      <c r="C819" s="456"/>
      <c r="D819" s="456"/>
      <c r="E819" s="456"/>
      <c r="F819" s="456"/>
      <c r="G819" s="456"/>
      <c r="H819" s="456"/>
      <c r="I819" s="456"/>
      <c r="J819" s="456"/>
      <c r="K819" s="456"/>
      <c r="L819" s="456"/>
      <c r="M819" s="456"/>
      <c r="N819" s="456"/>
      <c r="O819" s="456"/>
      <c r="P819" s="456"/>
      <c r="Q819" s="456"/>
      <c r="R819" s="456"/>
    </row>
    <row r="820" spans="1:18" ht="9.75" customHeight="1" x14ac:dyDescent="0.25">
      <c r="A820" s="456"/>
      <c r="B820" s="456"/>
      <c r="C820" s="456"/>
      <c r="D820" s="456"/>
      <c r="E820" s="456"/>
      <c r="F820" s="456"/>
      <c r="G820" s="456"/>
      <c r="H820" s="456"/>
      <c r="I820" s="456"/>
      <c r="J820" s="456"/>
      <c r="K820" s="456"/>
      <c r="L820" s="456"/>
      <c r="M820" s="456"/>
      <c r="N820" s="456"/>
      <c r="O820" s="456"/>
      <c r="P820" s="456"/>
      <c r="Q820" s="456"/>
      <c r="R820" s="456"/>
    </row>
    <row r="821" spans="1:18" ht="9.75" customHeight="1" x14ac:dyDescent="0.25">
      <c r="A821" s="456"/>
      <c r="B821" s="456"/>
      <c r="C821" s="456"/>
      <c r="D821" s="456"/>
      <c r="E821" s="456"/>
      <c r="F821" s="456"/>
      <c r="G821" s="456"/>
      <c r="H821" s="456"/>
      <c r="I821" s="456"/>
      <c r="J821" s="456"/>
      <c r="K821" s="456"/>
      <c r="L821" s="456"/>
      <c r="M821" s="456"/>
      <c r="N821" s="456"/>
      <c r="O821" s="456"/>
      <c r="P821" s="456"/>
      <c r="Q821" s="456"/>
      <c r="R821" s="456"/>
    </row>
    <row r="822" spans="1:18" ht="9.75" customHeight="1" x14ac:dyDescent="0.25">
      <c r="A822" s="456"/>
      <c r="B822" s="456"/>
      <c r="C822" s="456"/>
      <c r="D822" s="456"/>
      <c r="E822" s="456"/>
      <c r="F822" s="456"/>
      <c r="G822" s="456"/>
      <c r="H822" s="456"/>
      <c r="I822" s="456"/>
      <c r="J822" s="456"/>
      <c r="K822" s="456"/>
      <c r="L822" s="456"/>
      <c r="M822" s="456"/>
      <c r="N822" s="456"/>
      <c r="O822" s="456"/>
      <c r="P822" s="456"/>
      <c r="Q822" s="456"/>
      <c r="R822" s="456"/>
    </row>
    <row r="823" spans="1:18" ht="9.75" customHeight="1" x14ac:dyDescent="0.25">
      <c r="A823" s="456"/>
      <c r="B823" s="456"/>
      <c r="C823" s="456"/>
      <c r="D823" s="456"/>
      <c r="E823" s="456"/>
      <c r="F823" s="456"/>
      <c r="G823" s="456"/>
      <c r="H823" s="456"/>
      <c r="I823" s="456"/>
      <c r="J823" s="456"/>
      <c r="K823" s="456"/>
      <c r="L823" s="456"/>
      <c r="M823" s="456"/>
      <c r="N823" s="456"/>
      <c r="O823" s="456"/>
      <c r="P823" s="456"/>
      <c r="Q823" s="456"/>
      <c r="R823" s="456"/>
    </row>
    <row r="824" spans="1:18" ht="9.75" customHeight="1" x14ac:dyDescent="0.25">
      <c r="A824" s="456"/>
      <c r="B824" s="456"/>
      <c r="C824" s="456"/>
      <c r="D824" s="456"/>
      <c r="E824" s="456"/>
      <c r="F824" s="456"/>
      <c r="G824" s="456"/>
      <c r="H824" s="456"/>
      <c r="I824" s="456"/>
      <c r="J824" s="456"/>
      <c r="K824" s="456"/>
      <c r="L824" s="456"/>
      <c r="M824" s="456"/>
      <c r="N824" s="456"/>
      <c r="O824" s="456"/>
      <c r="P824" s="456"/>
      <c r="Q824" s="456"/>
      <c r="R824" s="456"/>
    </row>
    <row r="825" spans="1:18" ht="9.75" customHeight="1" x14ac:dyDescent="0.25">
      <c r="A825" s="456"/>
      <c r="B825" s="456"/>
      <c r="C825" s="456"/>
      <c r="D825" s="456"/>
      <c r="E825" s="456"/>
      <c r="F825" s="456"/>
      <c r="G825" s="456"/>
      <c r="H825" s="456"/>
      <c r="I825" s="456"/>
      <c r="J825" s="456"/>
      <c r="K825" s="456"/>
      <c r="L825" s="456"/>
      <c r="M825" s="456"/>
      <c r="N825" s="456"/>
      <c r="O825" s="456"/>
      <c r="P825" s="456"/>
      <c r="Q825" s="456"/>
      <c r="R825" s="456"/>
    </row>
    <row r="826" spans="1:18" ht="9.75" customHeight="1" x14ac:dyDescent="0.25">
      <c r="A826" s="456"/>
      <c r="B826" s="456"/>
      <c r="C826" s="456"/>
      <c r="D826" s="456"/>
      <c r="E826" s="456"/>
      <c r="F826" s="456"/>
      <c r="G826" s="456"/>
      <c r="H826" s="456"/>
      <c r="I826" s="456"/>
      <c r="J826" s="456"/>
      <c r="K826" s="456"/>
      <c r="L826" s="456"/>
      <c r="M826" s="456"/>
      <c r="N826" s="456"/>
      <c r="O826" s="456"/>
      <c r="P826" s="456"/>
      <c r="Q826" s="456"/>
      <c r="R826" s="456"/>
    </row>
    <row r="827" spans="1:18" ht="9.75" customHeight="1" x14ac:dyDescent="0.25">
      <c r="A827" s="456"/>
      <c r="B827" s="456"/>
      <c r="C827" s="456"/>
      <c r="D827" s="456"/>
      <c r="E827" s="456"/>
      <c r="F827" s="456"/>
      <c r="G827" s="456"/>
      <c r="H827" s="456"/>
      <c r="I827" s="456"/>
      <c r="J827" s="456"/>
      <c r="K827" s="456"/>
      <c r="L827" s="456"/>
      <c r="M827" s="456"/>
      <c r="N827" s="456"/>
      <c r="O827" s="456"/>
      <c r="P827" s="456"/>
      <c r="Q827" s="456"/>
      <c r="R827" s="456"/>
    </row>
    <row r="828" spans="1:18" ht="9.75" customHeight="1" x14ac:dyDescent="0.25">
      <c r="A828" s="456"/>
      <c r="B828" s="456"/>
      <c r="C828" s="456"/>
      <c r="D828" s="456"/>
      <c r="E828" s="456"/>
      <c r="F828" s="456"/>
      <c r="G828" s="456"/>
      <c r="H828" s="456"/>
      <c r="I828" s="456"/>
      <c r="J828" s="456"/>
      <c r="K828" s="456"/>
      <c r="L828" s="456"/>
      <c r="M828" s="456"/>
      <c r="N828" s="456"/>
      <c r="O828" s="456"/>
      <c r="P828" s="456"/>
      <c r="Q828" s="456"/>
      <c r="R828" s="456"/>
    </row>
    <row r="829" spans="1:18" ht="9.75" customHeight="1" x14ac:dyDescent="0.25">
      <c r="A829" s="456"/>
      <c r="B829" s="456"/>
      <c r="C829" s="456"/>
      <c r="D829" s="456"/>
      <c r="E829" s="456"/>
      <c r="F829" s="456"/>
      <c r="G829" s="456"/>
      <c r="H829" s="456"/>
      <c r="I829" s="456"/>
      <c r="J829" s="456"/>
      <c r="K829" s="456"/>
      <c r="L829" s="456"/>
      <c r="M829" s="456"/>
      <c r="N829" s="456"/>
      <c r="O829" s="456"/>
      <c r="P829" s="456"/>
      <c r="Q829" s="456"/>
      <c r="R829" s="456"/>
    </row>
    <row r="830" spans="1:18" ht="9.75" customHeight="1" x14ac:dyDescent="0.25">
      <c r="A830" s="456"/>
      <c r="B830" s="456"/>
      <c r="C830" s="456"/>
      <c r="D830" s="456"/>
      <c r="E830" s="456"/>
      <c r="F830" s="456"/>
      <c r="G830" s="456"/>
      <c r="H830" s="456"/>
      <c r="I830" s="456"/>
      <c r="J830" s="456"/>
      <c r="K830" s="456"/>
      <c r="L830" s="456"/>
      <c r="M830" s="456"/>
      <c r="N830" s="456"/>
      <c r="O830" s="456"/>
      <c r="P830" s="456"/>
      <c r="Q830" s="456"/>
      <c r="R830" s="456"/>
    </row>
    <row r="831" spans="1:18" ht="9.75" customHeight="1" x14ac:dyDescent="0.25">
      <c r="A831" s="456"/>
      <c r="B831" s="456"/>
      <c r="C831" s="456"/>
      <c r="D831" s="456"/>
      <c r="E831" s="456"/>
      <c r="F831" s="456"/>
      <c r="G831" s="456"/>
      <c r="H831" s="456"/>
      <c r="I831" s="456"/>
      <c r="J831" s="456"/>
      <c r="K831" s="456"/>
      <c r="L831" s="456"/>
      <c r="M831" s="456"/>
      <c r="N831" s="456"/>
      <c r="O831" s="456"/>
      <c r="P831" s="456"/>
      <c r="Q831" s="456"/>
      <c r="R831" s="456"/>
    </row>
    <row r="832" spans="1:18" ht="9.75" customHeight="1" x14ac:dyDescent="0.25">
      <c r="A832" s="456"/>
      <c r="B832" s="456"/>
      <c r="C832" s="456"/>
      <c r="D832" s="456"/>
      <c r="E832" s="456"/>
      <c r="F832" s="456"/>
      <c r="G832" s="456"/>
      <c r="H832" s="456"/>
      <c r="I832" s="456"/>
      <c r="J832" s="456"/>
      <c r="K832" s="456"/>
      <c r="L832" s="456"/>
      <c r="M832" s="456"/>
      <c r="N832" s="456"/>
      <c r="O832" s="456"/>
      <c r="P832" s="456"/>
      <c r="Q832" s="456"/>
      <c r="R832" s="456"/>
    </row>
    <row r="833" spans="1:18" ht="9.75" customHeight="1" x14ac:dyDescent="0.25">
      <c r="A833" s="456"/>
      <c r="B833" s="456"/>
      <c r="C833" s="456"/>
      <c r="D833" s="456"/>
      <c r="E833" s="456"/>
      <c r="F833" s="456"/>
      <c r="G833" s="456"/>
      <c r="H833" s="456"/>
      <c r="I833" s="456"/>
      <c r="J833" s="456"/>
      <c r="K833" s="456"/>
      <c r="L833" s="456"/>
      <c r="M833" s="456"/>
      <c r="N833" s="456"/>
      <c r="O833" s="456"/>
      <c r="P833" s="456"/>
      <c r="Q833" s="456"/>
      <c r="R833" s="456"/>
    </row>
    <row r="834" spans="1:18" ht="9.75" customHeight="1" x14ac:dyDescent="0.25">
      <c r="A834" s="456"/>
      <c r="B834" s="456"/>
      <c r="C834" s="456"/>
      <c r="D834" s="456"/>
      <c r="E834" s="456"/>
      <c r="F834" s="456"/>
      <c r="G834" s="456"/>
      <c r="H834" s="456"/>
      <c r="I834" s="456"/>
      <c r="J834" s="456"/>
      <c r="K834" s="456"/>
      <c r="L834" s="456"/>
      <c r="M834" s="456"/>
      <c r="N834" s="456"/>
      <c r="O834" s="456"/>
      <c r="P834" s="456"/>
      <c r="Q834" s="456"/>
      <c r="R834" s="456"/>
    </row>
    <row r="835" spans="1:18" ht="9.75" customHeight="1" x14ac:dyDescent="0.25">
      <c r="A835" s="456"/>
      <c r="B835" s="456"/>
      <c r="C835" s="456"/>
      <c r="D835" s="456"/>
      <c r="E835" s="456"/>
      <c r="F835" s="456"/>
      <c r="G835" s="456"/>
      <c r="H835" s="456"/>
      <c r="I835" s="456"/>
      <c r="J835" s="456"/>
      <c r="K835" s="456"/>
      <c r="L835" s="456"/>
      <c r="M835" s="456"/>
      <c r="N835" s="456"/>
      <c r="O835" s="456"/>
      <c r="P835" s="456"/>
      <c r="Q835" s="456"/>
      <c r="R835" s="456"/>
    </row>
    <row r="836" spans="1:18" ht="9.75" customHeight="1" x14ac:dyDescent="0.25">
      <c r="A836" s="456"/>
      <c r="B836" s="456"/>
      <c r="C836" s="456"/>
      <c r="D836" s="456"/>
      <c r="E836" s="456"/>
      <c r="F836" s="456"/>
      <c r="G836" s="456"/>
      <c r="H836" s="456"/>
      <c r="I836" s="456"/>
      <c r="J836" s="456"/>
      <c r="K836" s="456"/>
      <c r="L836" s="456"/>
      <c r="M836" s="456"/>
      <c r="N836" s="456"/>
      <c r="O836" s="456"/>
      <c r="P836" s="456"/>
      <c r="Q836" s="456"/>
      <c r="R836" s="456"/>
    </row>
    <row r="837" spans="1:18" ht="9.75" customHeight="1" x14ac:dyDescent="0.25">
      <c r="A837" s="456"/>
      <c r="B837" s="456"/>
      <c r="C837" s="456"/>
      <c r="D837" s="456"/>
      <c r="E837" s="456"/>
      <c r="F837" s="456"/>
      <c r="G837" s="456"/>
      <c r="H837" s="456"/>
      <c r="I837" s="456"/>
      <c r="J837" s="456"/>
      <c r="K837" s="456"/>
      <c r="L837" s="456"/>
      <c r="M837" s="456"/>
      <c r="N837" s="456"/>
      <c r="O837" s="456"/>
      <c r="P837" s="456"/>
      <c r="Q837" s="456"/>
      <c r="R837" s="456"/>
    </row>
    <row r="838" spans="1:18" ht="9.75" customHeight="1" x14ac:dyDescent="0.25">
      <c r="A838" s="456"/>
      <c r="B838" s="456"/>
      <c r="C838" s="456"/>
      <c r="D838" s="456"/>
      <c r="E838" s="456"/>
      <c r="F838" s="456"/>
      <c r="G838" s="456"/>
      <c r="H838" s="456"/>
      <c r="I838" s="456"/>
      <c r="J838" s="456"/>
      <c r="K838" s="456"/>
      <c r="L838" s="456"/>
      <c r="M838" s="456"/>
      <c r="N838" s="456"/>
      <c r="O838" s="456"/>
      <c r="P838" s="456"/>
      <c r="Q838" s="456"/>
      <c r="R838" s="456"/>
    </row>
    <row r="839" spans="1:18" ht="9.75" customHeight="1" x14ac:dyDescent="0.25">
      <c r="A839" s="456"/>
      <c r="B839" s="456"/>
      <c r="C839" s="456"/>
      <c r="D839" s="456"/>
      <c r="E839" s="456"/>
      <c r="F839" s="456"/>
      <c r="G839" s="456"/>
      <c r="H839" s="456"/>
      <c r="I839" s="456"/>
      <c r="J839" s="456"/>
      <c r="K839" s="456"/>
      <c r="L839" s="456"/>
      <c r="M839" s="456"/>
      <c r="N839" s="456"/>
      <c r="O839" s="456"/>
      <c r="P839" s="456"/>
      <c r="Q839" s="456"/>
      <c r="R839" s="456"/>
    </row>
    <row r="840" spans="1:18" ht="9.75" customHeight="1" x14ac:dyDescent="0.25">
      <c r="A840" s="456"/>
      <c r="B840" s="456"/>
      <c r="C840" s="456"/>
      <c r="D840" s="456"/>
      <c r="E840" s="456"/>
      <c r="F840" s="456"/>
      <c r="G840" s="456"/>
      <c r="H840" s="456"/>
      <c r="I840" s="456"/>
      <c r="J840" s="456"/>
      <c r="K840" s="456"/>
      <c r="L840" s="456"/>
      <c r="M840" s="456"/>
      <c r="N840" s="456"/>
      <c r="O840" s="456"/>
      <c r="P840" s="456"/>
      <c r="Q840" s="456"/>
      <c r="R840" s="456"/>
    </row>
    <row r="841" spans="1:18" ht="9.75" customHeight="1" x14ac:dyDescent="0.25">
      <c r="A841" s="456"/>
      <c r="B841" s="456"/>
      <c r="C841" s="456"/>
      <c r="D841" s="456"/>
      <c r="E841" s="456"/>
      <c r="F841" s="456"/>
      <c r="G841" s="456"/>
      <c r="H841" s="456"/>
      <c r="I841" s="456"/>
      <c r="J841" s="456"/>
      <c r="K841" s="456"/>
      <c r="L841" s="456"/>
      <c r="M841" s="456"/>
      <c r="N841" s="456"/>
      <c r="O841" s="456"/>
      <c r="P841" s="456"/>
      <c r="Q841" s="456"/>
      <c r="R841" s="456"/>
    </row>
    <row r="842" spans="1:18" ht="9.75" customHeight="1" x14ac:dyDescent="0.25">
      <c r="A842" s="456"/>
      <c r="B842" s="456"/>
      <c r="C842" s="456"/>
      <c r="D842" s="456"/>
      <c r="E842" s="456"/>
      <c r="F842" s="456"/>
      <c r="G842" s="456"/>
      <c r="H842" s="456"/>
      <c r="I842" s="456"/>
      <c r="J842" s="456"/>
      <c r="K842" s="456"/>
      <c r="L842" s="456"/>
      <c r="M842" s="456"/>
      <c r="N842" s="456"/>
      <c r="O842" s="456"/>
      <c r="P842" s="456"/>
      <c r="Q842" s="456"/>
      <c r="R842" s="456"/>
    </row>
    <row r="843" spans="1:18" ht="9.75" customHeight="1" x14ac:dyDescent="0.25">
      <c r="A843" s="456"/>
      <c r="B843" s="456"/>
      <c r="C843" s="456"/>
      <c r="D843" s="456"/>
      <c r="E843" s="456"/>
      <c r="F843" s="456"/>
      <c r="G843" s="456"/>
      <c r="H843" s="456"/>
      <c r="I843" s="456"/>
      <c r="J843" s="456"/>
      <c r="K843" s="456"/>
      <c r="L843" s="456"/>
      <c r="M843" s="456"/>
      <c r="N843" s="456"/>
      <c r="O843" s="456"/>
      <c r="P843" s="456"/>
      <c r="Q843" s="456"/>
      <c r="R843" s="456"/>
    </row>
    <row r="844" spans="1:18" ht="9.75" customHeight="1" x14ac:dyDescent="0.25">
      <c r="A844" s="456"/>
      <c r="B844" s="456"/>
      <c r="C844" s="456"/>
      <c r="D844" s="456"/>
      <c r="E844" s="456"/>
      <c r="F844" s="456"/>
      <c r="G844" s="456"/>
      <c r="H844" s="456"/>
      <c r="I844" s="456"/>
      <c r="J844" s="456"/>
      <c r="K844" s="456"/>
      <c r="L844" s="456"/>
      <c r="M844" s="456"/>
      <c r="N844" s="456"/>
      <c r="O844" s="456"/>
      <c r="P844" s="456"/>
      <c r="Q844" s="456"/>
      <c r="R844" s="456"/>
    </row>
    <row r="845" spans="1:18" ht="9.75" customHeight="1" x14ac:dyDescent="0.25">
      <c r="A845" s="456"/>
      <c r="B845" s="456"/>
      <c r="C845" s="456"/>
      <c r="D845" s="456"/>
      <c r="E845" s="456"/>
      <c r="F845" s="456"/>
      <c r="G845" s="456"/>
      <c r="H845" s="456"/>
      <c r="I845" s="456"/>
      <c r="J845" s="456"/>
      <c r="K845" s="456"/>
      <c r="L845" s="456"/>
      <c r="M845" s="456"/>
      <c r="N845" s="456"/>
      <c r="O845" s="456"/>
      <c r="P845" s="456"/>
      <c r="Q845" s="456"/>
      <c r="R845" s="456"/>
    </row>
    <row r="846" spans="1:18" ht="9.75" customHeight="1" x14ac:dyDescent="0.25">
      <c r="A846" s="456"/>
      <c r="B846" s="456"/>
      <c r="C846" s="456"/>
      <c r="D846" s="456"/>
      <c r="E846" s="456"/>
      <c r="F846" s="456"/>
      <c r="G846" s="456"/>
      <c r="H846" s="456"/>
      <c r="I846" s="456"/>
      <c r="J846" s="456"/>
      <c r="K846" s="456"/>
      <c r="L846" s="456"/>
      <c r="M846" s="456"/>
      <c r="N846" s="456"/>
      <c r="O846" s="456"/>
      <c r="P846" s="456"/>
      <c r="Q846" s="456"/>
      <c r="R846" s="456"/>
    </row>
    <row r="847" spans="1:18" ht="9.75" customHeight="1" x14ac:dyDescent="0.25">
      <c r="A847" s="456"/>
      <c r="B847" s="456"/>
      <c r="C847" s="456"/>
      <c r="D847" s="456"/>
      <c r="E847" s="456"/>
      <c r="F847" s="456"/>
      <c r="G847" s="456"/>
      <c r="H847" s="456"/>
      <c r="I847" s="456"/>
      <c r="J847" s="456"/>
      <c r="K847" s="456"/>
      <c r="L847" s="456"/>
      <c r="M847" s="456"/>
      <c r="N847" s="456"/>
      <c r="O847" s="456"/>
      <c r="P847" s="456"/>
      <c r="Q847" s="456"/>
      <c r="R847" s="456"/>
    </row>
    <row r="848" spans="1:18" ht="9.75" customHeight="1" x14ac:dyDescent="0.25">
      <c r="A848" s="456"/>
      <c r="B848" s="456"/>
      <c r="C848" s="456"/>
      <c r="D848" s="456"/>
      <c r="E848" s="456"/>
      <c r="F848" s="456"/>
      <c r="G848" s="456"/>
      <c r="H848" s="456"/>
      <c r="I848" s="456"/>
      <c r="J848" s="456"/>
      <c r="K848" s="456"/>
      <c r="L848" s="456"/>
      <c r="M848" s="456"/>
      <c r="N848" s="456"/>
      <c r="O848" s="456"/>
      <c r="P848" s="456"/>
      <c r="Q848" s="456"/>
      <c r="R848" s="456"/>
    </row>
    <row r="849" spans="1:18" ht="9.75" customHeight="1" x14ac:dyDescent="0.25">
      <c r="A849" s="456"/>
      <c r="B849" s="456"/>
      <c r="C849" s="456"/>
      <c r="D849" s="456"/>
      <c r="E849" s="456"/>
      <c r="F849" s="456"/>
      <c r="G849" s="456"/>
      <c r="H849" s="456"/>
      <c r="I849" s="456"/>
      <c r="J849" s="456"/>
      <c r="K849" s="456"/>
      <c r="L849" s="456"/>
      <c r="M849" s="456"/>
      <c r="N849" s="456"/>
      <c r="O849" s="456"/>
      <c r="P849" s="456"/>
      <c r="Q849" s="456"/>
      <c r="R849" s="456"/>
    </row>
    <row r="850" spans="1:18" ht="9.75" customHeight="1" x14ac:dyDescent="0.25">
      <c r="A850" s="456"/>
      <c r="B850" s="456"/>
      <c r="C850" s="456"/>
      <c r="D850" s="456"/>
      <c r="E850" s="456"/>
      <c r="F850" s="456"/>
      <c r="G850" s="456"/>
      <c r="H850" s="456"/>
      <c r="I850" s="456"/>
      <c r="J850" s="456"/>
      <c r="K850" s="456"/>
      <c r="L850" s="456"/>
      <c r="M850" s="456"/>
      <c r="N850" s="456"/>
      <c r="O850" s="456"/>
      <c r="P850" s="456"/>
      <c r="Q850" s="456"/>
      <c r="R850" s="456"/>
    </row>
    <row r="851" spans="1:18" ht="9.75" customHeight="1" x14ac:dyDescent="0.25">
      <c r="A851" s="456"/>
      <c r="B851" s="456"/>
      <c r="C851" s="456"/>
      <c r="D851" s="456"/>
      <c r="E851" s="456"/>
      <c r="F851" s="456"/>
      <c r="G851" s="456"/>
      <c r="H851" s="456"/>
      <c r="I851" s="456"/>
      <c r="J851" s="456"/>
      <c r="K851" s="456"/>
      <c r="L851" s="456"/>
      <c r="M851" s="456"/>
      <c r="N851" s="456"/>
      <c r="O851" s="456"/>
      <c r="P851" s="456"/>
      <c r="Q851" s="456"/>
      <c r="R851" s="456"/>
    </row>
    <row r="852" spans="1:18" ht="9.75" customHeight="1" x14ac:dyDescent="0.25">
      <c r="A852" s="456"/>
      <c r="B852" s="456"/>
      <c r="C852" s="456"/>
      <c r="D852" s="456"/>
      <c r="E852" s="456"/>
      <c r="F852" s="456"/>
      <c r="G852" s="456"/>
      <c r="H852" s="456"/>
      <c r="I852" s="456"/>
      <c r="J852" s="456"/>
      <c r="K852" s="456"/>
      <c r="L852" s="456"/>
      <c r="M852" s="456"/>
      <c r="N852" s="456"/>
      <c r="O852" s="456"/>
      <c r="P852" s="456"/>
      <c r="Q852" s="456"/>
      <c r="R852" s="456"/>
    </row>
    <row r="853" spans="1:18" ht="9.75" customHeight="1" x14ac:dyDescent="0.25">
      <c r="A853" s="456"/>
      <c r="B853" s="456"/>
      <c r="C853" s="456"/>
      <c r="D853" s="456"/>
      <c r="E853" s="456"/>
      <c r="F853" s="456"/>
      <c r="G853" s="456"/>
      <c r="H853" s="456"/>
      <c r="I853" s="456"/>
      <c r="J853" s="456"/>
      <c r="K853" s="456"/>
      <c r="L853" s="456"/>
      <c r="M853" s="456"/>
      <c r="N853" s="456"/>
      <c r="O853" s="456"/>
      <c r="P853" s="456"/>
      <c r="Q853" s="456"/>
      <c r="R853" s="456"/>
    </row>
    <row r="854" spans="1:18" ht="9.75" customHeight="1" x14ac:dyDescent="0.25">
      <c r="A854" s="456"/>
      <c r="B854" s="456"/>
      <c r="C854" s="456"/>
      <c r="D854" s="456"/>
      <c r="E854" s="456"/>
      <c r="F854" s="456"/>
      <c r="G854" s="456"/>
      <c r="H854" s="456"/>
      <c r="I854" s="456"/>
      <c r="J854" s="456"/>
      <c r="K854" s="456"/>
      <c r="L854" s="456"/>
      <c r="M854" s="456"/>
      <c r="N854" s="456"/>
      <c r="O854" s="456"/>
      <c r="P854" s="456"/>
      <c r="Q854" s="456"/>
      <c r="R854" s="456"/>
    </row>
    <row r="855" spans="1:18" ht="9.75" customHeight="1" x14ac:dyDescent="0.25">
      <c r="A855" s="456"/>
      <c r="B855" s="456"/>
      <c r="C855" s="456"/>
      <c r="D855" s="456"/>
      <c r="E855" s="456"/>
      <c r="F855" s="456"/>
      <c r="G855" s="456"/>
      <c r="H855" s="456"/>
      <c r="I855" s="456"/>
      <c r="J855" s="456"/>
      <c r="K855" s="456"/>
      <c r="L855" s="456"/>
      <c r="M855" s="456"/>
      <c r="N855" s="456"/>
      <c r="O855" s="456"/>
      <c r="P855" s="456"/>
      <c r="Q855" s="456"/>
      <c r="R855" s="456"/>
    </row>
    <row r="856" spans="1:18" ht="9.75" customHeight="1" x14ac:dyDescent="0.25">
      <c r="A856" s="456"/>
      <c r="B856" s="456"/>
      <c r="C856" s="456"/>
      <c r="D856" s="456"/>
      <c r="E856" s="456"/>
      <c r="F856" s="456"/>
      <c r="G856" s="456"/>
      <c r="H856" s="456"/>
      <c r="I856" s="456"/>
      <c r="J856" s="456"/>
      <c r="K856" s="456"/>
      <c r="L856" s="456"/>
      <c r="M856" s="456"/>
      <c r="N856" s="456"/>
      <c r="O856" s="456"/>
      <c r="P856" s="456"/>
      <c r="Q856" s="456"/>
      <c r="R856" s="456"/>
    </row>
    <row r="857" spans="1:18" ht="9.75" customHeight="1" x14ac:dyDescent="0.25">
      <c r="A857" s="456"/>
      <c r="B857" s="456"/>
      <c r="C857" s="456"/>
      <c r="D857" s="456"/>
      <c r="E857" s="456"/>
      <c r="F857" s="456"/>
      <c r="G857" s="456"/>
      <c r="H857" s="456"/>
      <c r="I857" s="456"/>
      <c r="J857" s="456"/>
      <c r="K857" s="456"/>
      <c r="L857" s="456"/>
      <c r="M857" s="456"/>
      <c r="N857" s="456"/>
      <c r="O857" s="456"/>
      <c r="P857" s="456"/>
      <c r="Q857" s="456"/>
      <c r="R857" s="456"/>
    </row>
    <row r="858" spans="1:18" ht="9.75" customHeight="1" x14ac:dyDescent="0.25">
      <c r="A858" s="456"/>
      <c r="B858" s="456"/>
      <c r="C858" s="456"/>
      <c r="D858" s="456"/>
      <c r="E858" s="456"/>
      <c r="F858" s="456"/>
      <c r="G858" s="456"/>
      <c r="H858" s="456"/>
      <c r="I858" s="456"/>
      <c r="J858" s="456"/>
      <c r="K858" s="456"/>
      <c r="L858" s="456"/>
      <c r="M858" s="456"/>
      <c r="N858" s="456"/>
      <c r="O858" s="456"/>
      <c r="P858" s="456"/>
      <c r="Q858" s="456"/>
      <c r="R858" s="456"/>
    </row>
    <row r="859" spans="1:18" ht="9.75" customHeight="1" x14ac:dyDescent="0.25">
      <c r="A859" s="456"/>
      <c r="B859" s="456"/>
      <c r="C859" s="456"/>
      <c r="D859" s="456"/>
      <c r="E859" s="456"/>
      <c r="F859" s="456"/>
      <c r="G859" s="456"/>
      <c r="H859" s="456"/>
      <c r="I859" s="456"/>
      <c r="J859" s="456"/>
      <c r="K859" s="456"/>
      <c r="L859" s="456"/>
      <c r="M859" s="456"/>
      <c r="N859" s="456"/>
      <c r="O859" s="456"/>
      <c r="P859" s="456"/>
      <c r="Q859" s="456"/>
      <c r="R859" s="456"/>
    </row>
    <row r="860" spans="1:18" ht="9.75" customHeight="1" x14ac:dyDescent="0.25">
      <c r="A860" s="456"/>
      <c r="B860" s="456"/>
      <c r="C860" s="456"/>
      <c r="D860" s="456"/>
      <c r="E860" s="456"/>
      <c r="F860" s="456"/>
      <c r="G860" s="456"/>
      <c r="H860" s="456"/>
      <c r="I860" s="456"/>
      <c r="J860" s="456"/>
      <c r="K860" s="456"/>
      <c r="L860" s="456"/>
      <c r="M860" s="456"/>
      <c r="N860" s="456"/>
      <c r="O860" s="456"/>
      <c r="P860" s="456"/>
      <c r="Q860" s="456"/>
      <c r="R860" s="456"/>
    </row>
    <row r="861" spans="1:18" ht="9.75" customHeight="1" x14ac:dyDescent="0.25">
      <c r="A861" s="456"/>
      <c r="B861" s="456"/>
      <c r="C861" s="456"/>
      <c r="D861" s="456"/>
      <c r="E861" s="456"/>
      <c r="F861" s="456"/>
      <c r="G861" s="456"/>
      <c r="H861" s="456"/>
      <c r="I861" s="456"/>
      <c r="J861" s="456"/>
      <c r="K861" s="456"/>
      <c r="L861" s="456"/>
      <c r="M861" s="456"/>
      <c r="N861" s="456"/>
      <c r="O861" s="456"/>
      <c r="P861" s="456"/>
      <c r="Q861" s="456"/>
      <c r="R861" s="456"/>
    </row>
    <row r="862" spans="1:18" ht="9.75" customHeight="1" x14ac:dyDescent="0.25">
      <c r="A862" s="456"/>
      <c r="B862" s="456"/>
      <c r="C862" s="456"/>
      <c r="D862" s="456"/>
      <c r="E862" s="456"/>
      <c r="F862" s="456"/>
      <c r="G862" s="456"/>
      <c r="H862" s="456"/>
      <c r="I862" s="456"/>
      <c r="J862" s="456"/>
      <c r="K862" s="456"/>
      <c r="L862" s="456"/>
      <c r="M862" s="456"/>
      <c r="N862" s="456"/>
      <c r="O862" s="456"/>
      <c r="P862" s="456"/>
      <c r="Q862" s="456"/>
      <c r="R862" s="456"/>
    </row>
    <row r="863" spans="1:18" ht="9.75" customHeight="1" x14ac:dyDescent="0.25">
      <c r="A863" s="456"/>
      <c r="B863" s="456"/>
      <c r="C863" s="456"/>
      <c r="D863" s="456"/>
      <c r="E863" s="456"/>
      <c r="F863" s="456"/>
      <c r="G863" s="456"/>
      <c r="H863" s="456"/>
      <c r="I863" s="456"/>
      <c r="J863" s="456"/>
      <c r="K863" s="456"/>
      <c r="L863" s="456"/>
      <c r="M863" s="456"/>
      <c r="N863" s="456"/>
      <c r="O863" s="456"/>
      <c r="P863" s="456"/>
      <c r="Q863" s="456"/>
      <c r="R863" s="456"/>
    </row>
    <row r="864" spans="1:18" ht="9.75" customHeight="1" x14ac:dyDescent="0.25">
      <c r="A864" s="456"/>
      <c r="B864" s="456"/>
      <c r="C864" s="456"/>
      <c r="D864" s="456"/>
      <c r="E864" s="456"/>
      <c r="F864" s="456"/>
      <c r="G864" s="456"/>
      <c r="H864" s="456"/>
      <c r="I864" s="456"/>
      <c r="J864" s="456"/>
      <c r="K864" s="456"/>
      <c r="L864" s="456"/>
      <c r="M864" s="456"/>
      <c r="N864" s="456"/>
      <c r="O864" s="456"/>
      <c r="P864" s="456"/>
      <c r="Q864" s="456"/>
      <c r="R864" s="456"/>
    </row>
    <row r="865" spans="1:18" ht="9.75" customHeight="1" x14ac:dyDescent="0.25">
      <c r="A865" s="456"/>
      <c r="B865" s="456"/>
      <c r="C865" s="456"/>
      <c r="D865" s="456"/>
      <c r="E865" s="456"/>
      <c r="F865" s="456"/>
      <c r="G865" s="456"/>
      <c r="H865" s="456"/>
      <c r="I865" s="456"/>
      <c r="J865" s="456"/>
      <c r="K865" s="456"/>
      <c r="L865" s="456"/>
      <c r="M865" s="456"/>
      <c r="N865" s="456"/>
      <c r="O865" s="456"/>
      <c r="P865" s="456"/>
      <c r="Q865" s="456"/>
      <c r="R865" s="456"/>
    </row>
    <row r="866" spans="1:18" ht="9.75" customHeight="1" x14ac:dyDescent="0.25">
      <c r="A866" s="456"/>
      <c r="B866" s="456"/>
      <c r="C866" s="456"/>
      <c r="D866" s="456"/>
      <c r="E866" s="456"/>
      <c r="F866" s="456"/>
      <c r="G866" s="456"/>
      <c r="H866" s="456"/>
      <c r="I866" s="456"/>
      <c r="J866" s="456"/>
      <c r="K866" s="456"/>
      <c r="L866" s="456"/>
      <c r="M866" s="456"/>
      <c r="N866" s="456"/>
      <c r="O866" s="456"/>
      <c r="P866" s="456"/>
      <c r="Q866" s="456"/>
      <c r="R866" s="456"/>
    </row>
    <row r="867" spans="1:18" ht="9.75" customHeight="1" x14ac:dyDescent="0.25">
      <c r="A867" s="456"/>
      <c r="B867" s="456"/>
      <c r="C867" s="456"/>
      <c r="D867" s="456"/>
      <c r="E867" s="456"/>
      <c r="F867" s="456"/>
      <c r="G867" s="456"/>
      <c r="H867" s="456"/>
      <c r="I867" s="456"/>
      <c r="J867" s="456"/>
      <c r="K867" s="456"/>
      <c r="L867" s="456"/>
      <c r="M867" s="456"/>
      <c r="N867" s="456"/>
      <c r="O867" s="456"/>
      <c r="P867" s="456"/>
      <c r="Q867" s="456"/>
      <c r="R867" s="456"/>
    </row>
    <row r="868" spans="1:18" ht="9.75" customHeight="1" x14ac:dyDescent="0.25">
      <c r="A868" s="456"/>
      <c r="B868" s="456"/>
      <c r="C868" s="456"/>
      <c r="D868" s="456"/>
      <c r="E868" s="456"/>
      <c r="F868" s="456"/>
      <c r="G868" s="456"/>
      <c r="H868" s="456"/>
      <c r="I868" s="456"/>
      <c r="J868" s="456"/>
      <c r="K868" s="456"/>
      <c r="L868" s="456"/>
      <c r="M868" s="456"/>
      <c r="N868" s="456"/>
      <c r="O868" s="456"/>
      <c r="P868" s="456"/>
      <c r="Q868" s="456"/>
      <c r="R868" s="456"/>
    </row>
    <row r="869" spans="1:18" ht="9.75" customHeight="1" x14ac:dyDescent="0.25">
      <c r="A869" s="456"/>
      <c r="B869" s="456"/>
      <c r="C869" s="456"/>
      <c r="D869" s="456"/>
      <c r="E869" s="456"/>
      <c r="F869" s="456"/>
      <c r="G869" s="456"/>
      <c r="H869" s="456"/>
      <c r="I869" s="456"/>
      <c r="J869" s="456"/>
      <c r="K869" s="456"/>
      <c r="L869" s="456"/>
      <c r="M869" s="456"/>
      <c r="N869" s="456"/>
      <c r="O869" s="456"/>
      <c r="P869" s="456"/>
      <c r="Q869" s="456"/>
      <c r="R869" s="456"/>
    </row>
    <row r="870" spans="1:18" ht="9.75" customHeight="1" x14ac:dyDescent="0.25">
      <c r="A870" s="456"/>
      <c r="B870" s="456"/>
      <c r="C870" s="456"/>
      <c r="D870" s="456"/>
      <c r="E870" s="456"/>
      <c r="F870" s="456"/>
      <c r="G870" s="456"/>
      <c r="H870" s="456"/>
      <c r="I870" s="456"/>
      <c r="J870" s="456"/>
      <c r="K870" s="456"/>
      <c r="L870" s="456"/>
      <c r="M870" s="456"/>
      <c r="N870" s="456"/>
      <c r="O870" s="456"/>
      <c r="P870" s="456"/>
      <c r="Q870" s="456"/>
      <c r="R870" s="456"/>
    </row>
    <row r="871" spans="1:18" ht="9.75" customHeight="1" x14ac:dyDescent="0.25">
      <c r="A871" s="456"/>
      <c r="B871" s="456"/>
      <c r="C871" s="456"/>
      <c r="D871" s="456"/>
      <c r="E871" s="456"/>
      <c r="F871" s="456"/>
      <c r="G871" s="456"/>
      <c r="H871" s="456"/>
      <c r="I871" s="456"/>
      <c r="J871" s="456"/>
      <c r="K871" s="456"/>
      <c r="L871" s="456"/>
      <c r="M871" s="456"/>
      <c r="N871" s="456"/>
      <c r="O871" s="456"/>
      <c r="P871" s="456"/>
      <c r="Q871" s="456"/>
      <c r="R871" s="456"/>
    </row>
    <row r="872" spans="1:18" ht="9.75" customHeight="1" x14ac:dyDescent="0.25">
      <c r="A872" s="456"/>
      <c r="B872" s="456"/>
      <c r="C872" s="456"/>
      <c r="D872" s="456"/>
      <c r="E872" s="456"/>
      <c r="F872" s="456"/>
      <c r="G872" s="456"/>
      <c r="H872" s="456"/>
      <c r="I872" s="456"/>
      <c r="J872" s="456"/>
      <c r="K872" s="456"/>
      <c r="L872" s="456"/>
      <c r="M872" s="456"/>
      <c r="N872" s="456"/>
      <c r="O872" s="456"/>
      <c r="P872" s="456"/>
      <c r="Q872" s="456"/>
      <c r="R872" s="456"/>
    </row>
    <row r="873" spans="1:18" ht="9.75" customHeight="1" x14ac:dyDescent="0.25">
      <c r="A873" s="456"/>
      <c r="B873" s="456"/>
      <c r="C873" s="456"/>
      <c r="D873" s="456"/>
      <c r="E873" s="456"/>
      <c r="F873" s="456"/>
      <c r="G873" s="456"/>
      <c r="H873" s="456"/>
      <c r="I873" s="456"/>
      <c r="J873" s="456"/>
      <c r="K873" s="456"/>
      <c r="L873" s="456"/>
      <c r="M873" s="456"/>
      <c r="N873" s="456"/>
      <c r="O873" s="456"/>
      <c r="P873" s="456"/>
      <c r="Q873" s="456"/>
      <c r="R873" s="456"/>
    </row>
    <row r="874" spans="1:18" ht="9.75" customHeight="1" x14ac:dyDescent="0.25">
      <c r="A874" s="456"/>
      <c r="B874" s="456"/>
      <c r="C874" s="456"/>
      <c r="D874" s="456"/>
      <c r="E874" s="456"/>
      <c r="F874" s="456"/>
      <c r="G874" s="456"/>
      <c r="H874" s="456"/>
      <c r="I874" s="456"/>
      <c r="J874" s="456"/>
      <c r="K874" s="456"/>
      <c r="L874" s="456"/>
      <c r="M874" s="456"/>
      <c r="N874" s="456"/>
      <c r="O874" s="456"/>
      <c r="P874" s="456"/>
      <c r="Q874" s="456"/>
      <c r="R874" s="456"/>
    </row>
    <row r="875" spans="1:18" ht="9.75" customHeight="1" x14ac:dyDescent="0.25">
      <c r="A875" s="456"/>
      <c r="B875" s="456"/>
      <c r="C875" s="456"/>
      <c r="D875" s="456"/>
      <c r="E875" s="456"/>
      <c r="F875" s="456"/>
      <c r="G875" s="456"/>
      <c r="H875" s="456"/>
      <c r="I875" s="456"/>
      <c r="J875" s="456"/>
      <c r="K875" s="456"/>
      <c r="L875" s="456"/>
      <c r="M875" s="456"/>
      <c r="N875" s="456"/>
      <c r="O875" s="456"/>
      <c r="P875" s="456"/>
      <c r="Q875" s="456"/>
      <c r="R875" s="456"/>
    </row>
    <row r="876" spans="1:18" ht="9.75" customHeight="1" x14ac:dyDescent="0.25">
      <c r="A876" s="456"/>
      <c r="B876" s="456"/>
      <c r="C876" s="456"/>
      <c r="D876" s="456"/>
      <c r="E876" s="456"/>
      <c r="F876" s="456"/>
      <c r="G876" s="456"/>
      <c r="H876" s="456"/>
      <c r="I876" s="456"/>
      <c r="J876" s="456"/>
      <c r="K876" s="456"/>
      <c r="L876" s="456"/>
      <c r="M876" s="456"/>
      <c r="N876" s="456"/>
      <c r="O876" s="456"/>
      <c r="P876" s="456"/>
      <c r="Q876" s="456"/>
      <c r="R876" s="456"/>
    </row>
    <row r="877" spans="1:18" ht="9.75" customHeight="1" x14ac:dyDescent="0.25">
      <c r="A877" s="456"/>
      <c r="B877" s="456"/>
      <c r="C877" s="456"/>
      <c r="D877" s="456"/>
      <c r="E877" s="456"/>
      <c r="F877" s="456"/>
      <c r="G877" s="456"/>
      <c r="H877" s="456"/>
      <c r="I877" s="456"/>
      <c r="J877" s="456"/>
      <c r="K877" s="456"/>
      <c r="L877" s="456"/>
      <c r="M877" s="456"/>
      <c r="N877" s="456"/>
      <c r="O877" s="456"/>
      <c r="P877" s="456"/>
      <c r="Q877" s="456"/>
      <c r="R877" s="456"/>
    </row>
    <row r="878" spans="1:18" ht="9.75" customHeight="1" x14ac:dyDescent="0.25">
      <c r="A878" s="456"/>
      <c r="B878" s="456"/>
      <c r="C878" s="456"/>
      <c r="D878" s="456"/>
      <c r="E878" s="456"/>
      <c r="F878" s="456"/>
      <c r="G878" s="456"/>
      <c r="H878" s="456"/>
      <c r="I878" s="456"/>
      <c r="J878" s="456"/>
      <c r="K878" s="456"/>
      <c r="L878" s="456"/>
      <c r="M878" s="456"/>
      <c r="N878" s="456"/>
      <c r="O878" s="456"/>
      <c r="P878" s="456"/>
      <c r="Q878" s="456"/>
      <c r="R878" s="456"/>
    </row>
    <row r="879" spans="1:18" ht="9.75" customHeight="1" x14ac:dyDescent="0.25">
      <c r="A879" s="456"/>
      <c r="B879" s="456"/>
      <c r="C879" s="456"/>
      <c r="D879" s="456"/>
      <c r="E879" s="456"/>
      <c r="F879" s="456"/>
      <c r="G879" s="456"/>
      <c r="H879" s="456"/>
      <c r="I879" s="456"/>
      <c r="J879" s="456"/>
      <c r="K879" s="456"/>
      <c r="L879" s="456"/>
      <c r="M879" s="456"/>
      <c r="N879" s="456"/>
      <c r="O879" s="456"/>
      <c r="P879" s="456"/>
      <c r="Q879" s="456"/>
      <c r="R879" s="456"/>
    </row>
    <row r="880" spans="1:18" ht="9.75" customHeight="1" x14ac:dyDescent="0.25">
      <c r="A880" s="456"/>
      <c r="B880" s="456"/>
      <c r="C880" s="456"/>
      <c r="D880" s="456"/>
      <c r="E880" s="456"/>
      <c r="F880" s="456"/>
      <c r="G880" s="456"/>
      <c r="H880" s="456"/>
      <c r="I880" s="456"/>
      <c r="J880" s="456"/>
      <c r="K880" s="456"/>
      <c r="L880" s="456"/>
      <c r="M880" s="456"/>
      <c r="N880" s="456"/>
      <c r="O880" s="456"/>
      <c r="P880" s="456"/>
      <c r="Q880" s="456"/>
      <c r="R880" s="456"/>
    </row>
    <row r="881" spans="1:18" ht="9.75" customHeight="1" x14ac:dyDescent="0.25">
      <c r="A881" s="456"/>
      <c r="B881" s="456"/>
      <c r="C881" s="456"/>
      <c r="D881" s="456"/>
      <c r="E881" s="456"/>
      <c r="F881" s="456"/>
      <c r="G881" s="456"/>
      <c r="H881" s="456"/>
      <c r="I881" s="456"/>
      <c r="J881" s="456"/>
      <c r="K881" s="456"/>
      <c r="L881" s="456"/>
      <c r="M881" s="456"/>
      <c r="N881" s="456"/>
      <c r="O881" s="456"/>
      <c r="P881" s="456"/>
      <c r="Q881" s="456"/>
      <c r="R881" s="456"/>
    </row>
    <row r="882" spans="1:18" ht="9.75" customHeight="1" x14ac:dyDescent="0.25">
      <c r="A882" s="456"/>
      <c r="B882" s="456"/>
      <c r="C882" s="456"/>
      <c r="D882" s="456"/>
      <c r="E882" s="456"/>
      <c r="F882" s="456"/>
      <c r="G882" s="456"/>
      <c r="H882" s="456"/>
      <c r="I882" s="456"/>
      <c r="J882" s="456"/>
      <c r="K882" s="456"/>
      <c r="L882" s="456"/>
      <c r="M882" s="456"/>
      <c r="N882" s="456"/>
      <c r="O882" s="456"/>
      <c r="P882" s="456"/>
      <c r="Q882" s="456"/>
      <c r="R882" s="456"/>
    </row>
    <row r="883" spans="1:18" ht="9.75" customHeight="1" x14ac:dyDescent="0.25">
      <c r="A883" s="456"/>
      <c r="B883" s="456"/>
      <c r="C883" s="456"/>
      <c r="D883" s="456"/>
      <c r="E883" s="456"/>
      <c r="F883" s="456"/>
      <c r="G883" s="456"/>
      <c r="H883" s="456"/>
      <c r="I883" s="456"/>
      <c r="J883" s="456"/>
      <c r="K883" s="456"/>
      <c r="L883" s="456"/>
      <c r="M883" s="456"/>
      <c r="N883" s="456"/>
      <c r="O883" s="456"/>
      <c r="P883" s="456"/>
      <c r="Q883" s="456"/>
      <c r="R883" s="456"/>
    </row>
    <row r="884" spans="1:18" ht="9.75" customHeight="1" x14ac:dyDescent="0.25">
      <c r="A884" s="456"/>
      <c r="B884" s="456"/>
      <c r="C884" s="456"/>
      <c r="D884" s="456"/>
      <c r="E884" s="456"/>
      <c r="F884" s="456"/>
      <c r="G884" s="456"/>
      <c r="H884" s="456"/>
      <c r="I884" s="456"/>
      <c r="J884" s="456"/>
      <c r="K884" s="456"/>
      <c r="L884" s="456"/>
      <c r="M884" s="456"/>
      <c r="N884" s="456"/>
      <c r="O884" s="456"/>
      <c r="P884" s="456"/>
      <c r="Q884" s="456"/>
      <c r="R884" s="456"/>
    </row>
    <row r="885" spans="1:18" ht="9.75" customHeight="1" x14ac:dyDescent="0.25">
      <c r="A885" s="456"/>
      <c r="B885" s="456"/>
      <c r="C885" s="456"/>
      <c r="D885" s="456"/>
      <c r="E885" s="456"/>
      <c r="F885" s="456"/>
      <c r="G885" s="456"/>
      <c r="H885" s="456"/>
      <c r="I885" s="456"/>
      <c r="J885" s="456"/>
      <c r="K885" s="456"/>
      <c r="L885" s="456"/>
      <c r="M885" s="456"/>
      <c r="N885" s="456"/>
      <c r="O885" s="456"/>
      <c r="P885" s="456"/>
      <c r="Q885" s="456"/>
      <c r="R885" s="456"/>
    </row>
    <row r="886" spans="1:18" ht="9.75" customHeight="1" x14ac:dyDescent="0.25">
      <c r="A886" s="456"/>
      <c r="B886" s="456"/>
      <c r="C886" s="456"/>
      <c r="D886" s="456"/>
      <c r="E886" s="456"/>
      <c r="F886" s="456"/>
      <c r="G886" s="456"/>
      <c r="H886" s="456"/>
      <c r="I886" s="456"/>
      <c r="J886" s="456"/>
      <c r="K886" s="456"/>
      <c r="L886" s="456"/>
      <c r="M886" s="456"/>
      <c r="N886" s="456"/>
      <c r="O886" s="456"/>
      <c r="P886" s="456"/>
      <c r="Q886" s="456"/>
      <c r="R886" s="456"/>
    </row>
    <row r="887" spans="1:18" ht="9.75" customHeight="1" x14ac:dyDescent="0.25">
      <c r="A887" s="456"/>
      <c r="B887" s="456"/>
      <c r="C887" s="456"/>
      <c r="D887" s="456"/>
      <c r="E887" s="456"/>
      <c r="F887" s="456"/>
      <c r="G887" s="456"/>
      <c r="H887" s="456"/>
      <c r="I887" s="456"/>
      <c r="J887" s="456"/>
      <c r="K887" s="456"/>
      <c r="L887" s="456"/>
      <c r="M887" s="456"/>
      <c r="N887" s="456"/>
      <c r="O887" s="456"/>
      <c r="P887" s="456"/>
      <c r="Q887" s="456"/>
      <c r="R887" s="456"/>
    </row>
    <row r="888" spans="1:18" ht="9.75" customHeight="1" x14ac:dyDescent="0.25">
      <c r="A888" s="456"/>
      <c r="B888" s="456"/>
      <c r="C888" s="456"/>
      <c r="D888" s="456"/>
      <c r="E888" s="456"/>
      <c r="F888" s="456"/>
      <c r="G888" s="456"/>
      <c r="H888" s="456"/>
      <c r="I888" s="456"/>
      <c r="J888" s="456"/>
      <c r="K888" s="456"/>
      <c r="L888" s="456"/>
      <c r="M888" s="456"/>
      <c r="N888" s="456"/>
      <c r="O888" s="456"/>
      <c r="P888" s="456"/>
      <c r="Q888" s="456"/>
      <c r="R888" s="456"/>
    </row>
    <row r="889" spans="1:18" ht="9.75" customHeight="1" x14ac:dyDescent="0.25">
      <c r="A889" s="456"/>
      <c r="B889" s="456"/>
      <c r="C889" s="456"/>
      <c r="D889" s="456"/>
      <c r="E889" s="456"/>
      <c r="F889" s="456"/>
      <c r="G889" s="456"/>
      <c r="H889" s="456"/>
      <c r="I889" s="456"/>
      <c r="J889" s="456"/>
      <c r="K889" s="456"/>
      <c r="L889" s="456"/>
      <c r="M889" s="456"/>
      <c r="N889" s="456"/>
      <c r="O889" s="456"/>
      <c r="P889" s="456"/>
      <c r="Q889" s="456"/>
      <c r="R889" s="456"/>
    </row>
    <row r="890" spans="1:18" ht="9.75" customHeight="1" x14ac:dyDescent="0.25">
      <c r="A890" s="456"/>
      <c r="B890" s="456"/>
      <c r="C890" s="456"/>
      <c r="D890" s="456"/>
      <c r="E890" s="456"/>
      <c r="F890" s="456"/>
      <c r="G890" s="456"/>
      <c r="H890" s="456"/>
      <c r="I890" s="456"/>
      <c r="J890" s="456"/>
      <c r="K890" s="456"/>
      <c r="L890" s="456"/>
      <c r="M890" s="456"/>
      <c r="N890" s="456"/>
      <c r="O890" s="456"/>
      <c r="P890" s="456"/>
      <c r="Q890" s="456"/>
      <c r="R890" s="456"/>
    </row>
    <row r="891" spans="1:18" ht="9.75" customHeight="1" x14ac:dyDescent="0.25">
      <c r="A891" s="456"/>
      <c r="B891" s="456"/>
      <c r="C891" s="456"/>
      <c r="D891" s="456"/>
      <c r="E891" s="456"/>
      <c r="F891" s="456"/>
      <c r="G891" s="456"/>
      <c r="H891" s="456"/>
      <c r="I891" s="456"/>
      <c r="J891" s="456"/>
      <c r="K891" s="456"/>
      <c r="L891" s="456"/>
      <c r="M891" s="456"/>
      <c r="N891" s="456"/>
      <c r="O891" s="456"/>
      <c r="P891" s="456"/>
      <c r="Q891" s="456"/>
      <c r="R891" s="456"/>
    </row>
    <row r="892" spans="1:18" ht="9.75" customHeight="1" x14ac:dyDescent="0.25">
      <c r="A892" s="456"/>
      <c r="B892" s="456"/>
      <c r="C892" s="456"/>
      <c r="D892" s="456"/>
      <c r="E892" s="456"/>
      <c r="F892" s="456"/>
      <c r="G892" s="456"/>
      <c r="H892" s="456"/>
      <c r="I892" s="456"/>
      <c r="J892" s="456"/>
      <c r="K892" s="456"/>
      <c r="L892" s="456"/>
      <c r="M892" s="456"/>
      <c r="N892" s="456"/>
      <c r="O892" s="456"/>
      <c r="P892" s="456"/>
      <c r="Q892" s="456"/>
      <c r="R892" s="456"/>
    </row>
    <row r="893" spans="1:18" ht="9.75" customHeight="1" x14ac:dyDescent="0.25">
      <c r="A893" s="456"/>
      <c r="B893" s="456"/>
      <c r="C893" s="456"/>
      <c r="D893" s="456"/>
      <c r="E893" s="456"/>
      <c r="F893" s="456"/>
      <c r="G893" s="456"/>
      <c r="H893" s="456"/>
      <c r="I893" s="456"/>
      <c r="J893" s="456"/>
      <c r="K893" s="456"/>
      <c r="L893" s="456"/>
      <c r="M893" s="456"/>
      <c r="N893" s="456"/>
      <c r="O893" s="456"/>
      <c r="P893" s="456"/>
      <c r="Q893" s="456"/>
      <c r="R893" s="456"/>
    </row>
    <row r="894" spans="1:18" ht="9.75" customHeight="1" x14ac:dyDescent="0.25">
      <c r="A894" s="456"/>
      <c r="B894" s="456"/>
      <c r="C894" s="456"/>
      <c r="D894" s="456"/>
      <c r="E894" s="456"/>
      <c r="F894" s="456"/>
      <c r="G894" s="456"/>
      <c r="H894" s="456"/>
      <c r="I894" s="456"/>
      <c r="J894" s="456"/>
      <c r="K894" s="456"/>
      <c r="L894" s="456"/>
      <c r="M894" s="456"/>
      <c r="N894" s="456"/>
      <c r="O894" s="456"/>
      <c r="P894" s="456"/>
      <c r="Q894" s="456"/>
      <c r="R894" s="456"/>
    </row>
    <row r="895" spans="1:18" ht="9.75" customHeight="1" x14ac:dyDescent="0.25">
      <c r="A895" s="456"/>
      <c r="B895" s="456"/>
      <c r="C895" s="456"/>
      <c r="D895" s="456"/>
      <c r="E895" s="456"/>
      <c r="F895" s="456"/>
      <c r="G895" s="456"/>
      <c r="H895" s="456"/>
      <c r="I895" s="456"/>
      <c r="J895" s="456"/>
      <c r="K895" s="456"/>
      <c r="L895" s="456"/>
      <c r="M895" s="456"/>
      <c r="N895" s="456"/>
      <c r="O895" s="456"/>
      <c r="P895" s="456"/>
      <c r="Q895" s="456"/>
      <c r="R895" s="456"/>
    </row>
    <row r="896" spans="1:18" ht="9.75" customHeight="1" x14ac:dyDescent="0.25">
      <c r="A896" s="456"/>
      <c r="B896" s="456"/>
      <c r="C896" s="456"/>
      <c r="D896" s="456"/>
      <c r="E896" s="456"/>
      <c r="F896" s="456"/>
      <c r="G896" s="456"/>
      <c r="H896" s="456"/>
      <c r="I896" s="456"/>
      <c r="J896" s="456"/>
      <c r="K896" s="456"/>
      <c r="L896" s="456"/>
      <c r="M896" s="456"/>
      <c r="N896" s="456"/>
      <c r="O896" s="456"/>
      <c r="P896" s="456"/>
      <c r="Q896" s="456"/>
      <c r="R896" s="456"/>
    </row>
    <row r="897" spans="1:18" ht="9.75" customHeight="1" x14ac:dyDescent="0.25">
      <c r="A897" s="456"/>
      <c r="B897" s="456"/>
      <c r="C897" s="456"/>
      <c r="D897" s="456"/>
      <c r="E897" s="456"/>
      <c r="F897" s="456"/>
      <c r="G897" s="456"/>
      <c r="H897" s="456"/>
      <c r="I897" s="456"/>
      <c r="J897" s="456"/>
      <c r="K897" s="456"/>
      <c r="L897" s="456"/>
      <c r="M897" s="456"/>
      <c r="N897" s="456"/>
      <c r="O897" s="456"/>
      <c r="P897" s="456"/>
      <c r="Q897" s="456"/>
      <c r="R897" s="456"/>
    </row>
    <row r="898" spans="1:18" ht="9.75" customHeight="1" x14ac:dyDescent="0.25">
      <c r="A898" s="456"/>
      <c r="B898" s="456"/>
      <c r="C898" s="456"/>
      <c r="D898" s="456"/>
      <c r="E898" s="456"/>
      <c r="F898" s="456"/>
      <c r="G898" s="456"/>
      <c r="H898" s="456"/>
      <c r="I898" s="456"/>
      <c r="J898" s="456"/>
      <c r="K898" s="456"/>
      <c r="L898" s="456"/>
      <c r="M898" s="456"/>
      <c r="N898" s="456"/>
      <c r="O898" s="456"/>
      <c r="P898" s="456"/>
      <c r="Q898" s="456"/>
      <c r="R898" s="456"/>
    </row>
    <row r="899" spans="1:18" ht="9.75" customHeight="1" x14ac:dyDescent="0.25">
      <c r="A899" s="456"/>
      <c r="B899" s="456"/>
      <c r="C899" s="456"/>
      <c r="D899" s="456"/>
      <c r="E899" s="456"/>
      <c r="F899" s="456"/>
      <c r="G899" s="456"/>
      <c r="H899" s="456"/>
      <c r="I899" s="456"/>
      <c r="J899" s="456"/>
      <c r="K899" s="456"/>
      <c r="L899" s="456"/>
      <c r="M899" s="456"/>
      <c r="N899" s="456"/>
      <c r="O899" s="456"/>
      <c r="P899" s="456"/>
      <c r="Q899" s="456"/>
      <c r="R899" s="456"/>
    </row>
    <row r="900" spans="1:18" ht="9.75" customHeight="1" x14ac:dyDescent="0.25">
      <c r="A900" s="456"/>
      <c r="B900" s="456"/>
      <c r="C900" s="456"/>
      <c r="D900" s="456"/>
      <c r="E900" s="456"/>
      <c r="F900" s="456"/>
      <c r="G900" s="456"/>
      <c r="H900" s="456"/>
      <c r="I900" s="456"/>
      <c r="J900" s="456"/>
      <c r="K900" s="456"/>
      <c r="L900" s="456"/>
      <c r="M900" s="456"/>
      <c r="N900" s="456"/>
      <c r="O900" s="456"/>
      <c r="P900" s="456"/>
      <c r="Q900" s="456"/>
      <c r="R900" s="456"/>
    </row>
    <row r="901" spans="1:18" ht="9.75" customHeight="1" x14ac:dyDescent="0.25">
      <c r="A901" s="456"/>
      <c r="B901" s="456"/>
      <c r="C901" s="456"/>
      <c r="D901" s="456"/>
      <c r="E901" s="456"/>
      <c r="F901" s="456"/>
      <c r="G901" s="456"/>
      <c r="H901" s="456"/>
      <c r="I901" s="456"/>
      <c r="J901" s="456"/>
      <c r="K901" s="456"/>
      <c r="L901" s="456"/>
      <c r="M901" s="456"/>
      <c r="N901" s="456"/>
      <c r="O901" s="456"/>
      <c r="P901" s="456"/>
      <c r="Q901" s="456"/>
      <c r="R901" s="456"/>
    </row>
    <row r="902" spans="1:18" ht="9.75" customHeight="1" x14ac:dyDescent="0.25">
      <c r="A902" s="456"/>
      <c r="B902" s="456"/>
      <c r="C902" s="456"/>
      <c r="D902" s="456"/>
      <c r="E902" s="456"/>
      <c r="F902" s="456"/>
      <c r="G902" s="456"/>
      <c r="H902" s="456"/>
      <c r="I902" s="456"/>
      <c r="J902" s="456"/>
      <c r="K902" s="456"/>
      <c r="L902" s="456"/>
      <c r="M902" s="456"/>
      <c r="N902" s="456"/>
      <c r="O902" s="456"/>
      <c r="P902" s="456"/>
      <c r="Q902" s="456"/>
      <c r="R902" s="456"/>
    </row>
    <row r="903" spans="1:18" ht="9.75" customHeight="1" x14ac:dyDescent="0.25">
      <c r="A903" s="456"/>
      <c r="B903" s="456"/>
      <c r="C903" s="456"/>
      <c r="D903" s="456"/>
      <c r="E903" s="456"/>
      <c r="F903" s="456"/>
      <c r="G903" s="456"/>
      <c r="H903" s="456"/>
      <c r="I903" s="456"/>
      <c r="J903" s="456"/>
      <c r="K903" s="456"/>
      <c r="L903" s="456"/>
      <c r="M903" s="456"/>
      <c r="N903" s="456"/>
      <c r="O903" s="456"/>
      <c r="P903" s="456"/>
      <c r="Q903" s="456"/>
      <c r="R903" s="456"/>
    </row>
    <row r="904" spans="1:18" ht="9.75" customHeight="1" x14ac:dyDescent="0.25">
      <c r="A904" s="456"/>
      <c r="B904" s="456"/>
      <c r="C904" s="456"/>
      <c r="D904" s="456"/>
      <c r="E904" s="456"/>
      <c r="F904" s="456"/>
      <c r="G904" s="456"/>
      <c r="H904" s="456"/>
      <c r="I904" s="456"/>
      <c r="J904" s="456"/>
      <c r="K904" s="456"/>
      <c r="L904" s="456"/>
      <c r="M904" s="456"/>
      <c r="N904" s="456"/>
      <c r="O904" s="456"/>
      <c r="P904" s="456"/>
      <c r="Q904" s="456"/>
      <c r="R904" s="456"/>
    </row>
    <row r="905" spans="1:18" ht="9.75" customHeight="1" x14ac:dyDescent="0.25">
      <c r="A905" s="456"/>
      <c r="B905" s="456"/>
      <c r="C905" s="456"/>
      <c r="D905" s="456"/>
      <c r="E905" s="456"/>
      <c r="F905" s="456"/>
      <c r="G905" s="456"/>
      <c r="H905" s="456"/>
      <c r="I905" s="456"/>
      <c r="J905" s="456"/>
      <c r="K905" s="456"/>
      <c r="L905" s="456"/>
      <c r="M905" s="456"/>
      <c r="N905" s="456"/>
      <c r="O905" s="456"/>
      <c r="P905" s="456"/>
      <c r="Q905" s="456"/>
      <c r="R905" s="456"/>
    </row>
    <row r="906" spans="1:18" ht="9.75" customHeight="1" x14ac:dyDescent="0.25">
      <c r="A906" s="456"/>
      <c r="B906" s="456"/>
      <c r="C906" s="456"/>
      <c r="D906" s="456"/>
      <c r="E906" s="456"/>
      <c r="F906" s="456"/>
      <c r="G906" s="456"/>
      <c r="H906" s="456"/>
      <c r="I906" s="456"/>
      <c r="J906" s="456"/>
      <c r="K906" s="456"/>
      <c r="L906" s="456"/>
      <c r="M906" s="456"/>
      <c r="N906" s="456"/>
      <c r="O906" s="456"/>
      <c r="P906" s="456"/>
      <c r="Q906" s="456"/>
      <c r="R906" s="456"/>
    </row>
    <row r="907" spans="1:18" ht="9.75" customHeight="1" x14ac:dyDescent="0.25">
      <c r="A907" s="456"/>
      <c r="B907" s="456"/>
      <c r="C907" s="456"/>
      <c r="D907" s="456"/>
      <c r="E907" s="456"/>
      <c r="F907" s="456"/>
      <c r="G907" s="456"/>
      <c r="H907" s="456"/>
      <c r="I907" s="456"/>
      <c r="J907" s="456"/>
      <c r="K907" s="456"/>
      <c r="L907" s="456"/>
      <c r="M907" s="456"/>
      <c r="N907" s="456"/>
      <c r="O907" s="456"/>
      <c r="P907" s="456"/>
      <c r="Q907" s="456"/>
      <c r="R907" s="456"/>
    </row>
    <row r="908" spans="1:18" ht="9.75" customHeight="1" x14ac:dyDescent="0.25">
      <c r="A908" s="456"/>
      <c r="B908" s="456"/>
      <c r="C908" s="456"/>
      <c r="D908" s="456"/>
      <c r="E908" s="456"/>
      <c r="F908" s="456"/>
      <c r="G908" s="456"/>
      <c r="H908" s="456"/>
      <c r="I908" s="456"/>
      <c r="J908" s="456"/>
      <c r="K908" s="456"/>
      <c r="L908" s="456"/>
      <c r="M908" s="456"/>
      <c r="N908" s="456"/>
      <c r="O908" s="456"/>
      <c r="P908" s="456"/>
      <c r="Q908" s="456"/>
      <c r="R908" s="456"/>
    </row>
    <row r="909" spans="1:18" ht="9.75" customHeight="1" x14ac:dyDescent="0.25">
      <c r="A909" s="456"/>
      <c r="B909" s="456"/>
      <c r="C909" s="456"/>
      <c r="D909" s="456"/>
      <c r="E909" s="456"/>
      <c r="F909" s="456"/>
      <c r="G909" s="456"/>
      <c r="H909" s="456"/>
      <c r="I909" s="456"/>
      <c r="J909" s="456"/>
      <c r="K909" s="456"/>
      <c r="L909" s="456"/>
      <c r="M909" s="456"/>
      <c r="N909" s="456"/>
      <c r="O909" s="456"/>
      <c r="P909" s="456"/>
      <c r="Q909" s="456"/>
      <c r="R909" s="456"/>
    </row>
    <row r="910" spans="1:18" ht="9.75" customHeight="1" x14ac:dyDescent="0.25">
      <c r="A910" s="456"/>
      <c r="B910" s="456"/>
      <c r="C910" s="456"/>
      <c r="D910" s="456"/>
      <c r="E910" s="456"/>
      <c r="F910" s="456"/>
      <c r="G910" s="456"/>
      <c r="H910" s="456"/>
      <c r="I910" s="456"/>
      <c r="J910" s="456"/>
      <c r="K910" s="456"/>
      <c r="L910" s="456"/>
      <c r="M910" s="456"/>
      <c r="N910" s="456"/>
      <c r="O910" s="456"/>
      <c r="P910" s="456"/>
      <c r="Q910" s="456"/>
      <c r="R910" s="456"/>
    </row>
    <row r="911" spans="1:18" ht="9.75" customHeight="1" x14ac:dyDescent="0.25">
      <c r="A911" s="456"/>
      <c r="B911" s="456"/>
      <c r="C911" s="456"/>
      <c r="D911" s="456"/>
      <c r="E911" s="456"/>
      <c r="F911" s="456"/>
      <c r="G911" s="456"/>
      <c r="H911" s="456"/>
      <c r="I911" s="456"/>
      <c r="J911" s="456"/>
      <c r="K911" s="456"/>
      <c r="L911" s="456"/>
      <c r="M911" s="456"/>
      <c r="N911" s="456"/>
      <c r="O911" s="456"/>
      <c r="P911" s="456"/>
      <c r="Q911" s="456"/>
      <c r="R911" s="456"/>
    </row>
    <row r="912" spans="1:18" ht="9.75" customHeight="1" x14ac:dyDescent="0.25">
      <c r="A912" s="456"/>
      <c r="B912" s="456"/>
      <c r="C912" s="456"/>
      <c r="D912" s="456"/>
      <c r="E912" s="456"/>
      <c r="F912" s="456"/>
      <c r="G912" s="456"/>
      <c r="H912" s="456"/>
      <c r="I912" s="456"/>
      <c r="J912" s="456"/>
      <c r="K912" s="456"/>
      <c r="L912" s="456"/>
      <c r="M912" s="456"/>
      <c r="N912" s="456"/>
      <c r="O912" s="456"/>
      <c r="P912" s="456"/>
      <c r="Q912" s="456"/>
      <c r="R912" s="456"/>
    </row>
    <row r="913" spans="1:18" ht="9.75" customHeight="1" x14ac:dyDescent="0.25">
      <c r="A913" s="456"/>
      <c r="B913" s="456"/>
      <c r="C913" s="456"/>
      <c r="D913" s="456"/>
      <c r="E913" s="456"/>
      <c r="F913" s="456"/>
      <c r="G913" s="456"/>
      <c r="H913" s="456"/>
      <c r="I913" s="456"/>
      <c r="J913" s="456"/>
      <c r="K913" s="456"/>
      <c r="L913" s="456"/>
      <c r="M913" s="456"/>
      <c r="N913" s="456"/>
      <c r="O913" s="456"/>
      <c r="P913" s="456"/>
      <c r="Q913" s="456"/>
      <c r="R913" s="456"/>
    </row>
    <row r="914" spans="1:18" ht="9.75" customHeight="1" x14ac:dyDescent="0.25">
      <c r="A914" s="456"/>
      <c r="B914" s="456"/>
      <c r="C914" s="456"/>
      <c r="D914" s="456"/>
      <c r="E914" s="456"/>
      <c r="F914" s="456"/>
      <c r="G914" s="456"/>
      <c r="H914" s="456"/>
      <c r="I914" s="456"/>
      <c r="J914" s="456"/>
      <c r="K914" s="456"/>
      <c r="L914" s="456"/>
      <c r="M914" s="456"/>
      <c r="N914" s="456"/>
      <c r="O914" s="456"/>
      <c r="P914" s="456"/>
      <c r="Q914" s="456"/>
      <c r="R914" s="456"/>
    </row>
    <row r="915" spans="1:18" ht="9.75" customHeight="1" x14ac:dyDescent="0.25">
      <c r="A915" s="456"/>
      <c r="B915" s="456"/>
      <c r="C915" s="456"/>
      <c r="D915" s="456"/>
      <c r="E915" s="456"/>
      <c r="F915" s="456"/>
      <c r="G915" s="456"/>
      <c r="H915" s="456"/>
      <c r="I915" s="456"/>
      <c r="J915" s="456"/>
      <c r="K915" s="456"/>
      <c r="L915" s="456"/>
      <c r="M915" s="456"/>
      <c r="N915" s="456"/>
      <c r="O915" s="456"/>
      <c r="P915" s="456"/>
      <c r="Q915" s="456"/>
      <c r="R915" s="456"/>
    </row>
    <row r="916" spans="1:18" ht="9.75" customHeight="1" x14ac:dyDescent="0.25">
      <c r="A916" s="456"/>
      <c r="B916" s="456"/>
      <c r="C916" s="456"/>
      <c r="D916" s="456"/>
      <c r="E916" s="456"/>
      <c r="F916" s="456"/>
      <c r="G916" s="456"/>
      <c r="H916" s="456"/>
      <c r="I916" s="456"/>
      <c r="J916" s="456"/>
      <c r="K916" s="456"/>
      <c r="L916" s="456"/>
      <c r="M916" s="456"/>
      <c r="N916" s="456"/>
      <c r="O916" s="456"/>
      <c r="P916" s="456"/>
      <c r="Q916" s="456"/>
      <c r="R916" s="456"/>
    </row>
    <row r="917" spans="1:18" ht="9.75" customHeight="1" x14ac:dyDescent="0.25">
      <c r="A917" s="456"/>
      <c r="B917" s="456"/>
      <c r="C917" s="456"/>
      <c r="D917" s="456"/>
      <c r="E917" s="456"/>
      <c r="F917" s="456"/>
      <c r="G917" s="456"/>
      <c r="H917" s="456"/>
      <c r="I917" s="456"/>
      <c r="J917" s="456"/>
      <c r="K917" s="456"/>
      <c r="L917" s="456"/>
      <c r="M917" s="456"/>
      <c r="N917" s="456"/>
      <c r="O917" s="456"/>
      <c r="P917" s="456"/>
      <c r="Q917" s="456"/>
      <c r="R917" s="456"/>
    </row>
    <row r="918" spans="1:18" ht="9.75" customHeight="1" x14ac:dyDescent="0.25">
      <c r="A918" s="456"/>
      <c r="B918" s="456"/>
      <c r="C918" s="456"/>
      <c r="D918" s="456"/>
      <c r="E918" s="456"/>
      <c r="F918" s="456"/>
      <c r="G918" s="456"/>
      <c r="H918" s="456"/>
      <c r="I918" s="456"/>
      <c r="J918" s="456"/>
      <c r="K918" s="456"/>
      <c r="L918" s="456"/>
      <c r="M918" s="456"/>
      <c r="N918" s="456"/>
      <c r="O918" s="456"/>
      <c r="P918" s="456"/>
      <c r="Q918" s="456"/>
      <c r="R918" s="456"/>
    </row>
    <row r="919" spans="1:18" ht="9.75" customHeight="1" x14ac:dyDescent="0.25">
      <c r="A919" s="456"/>
      <c r="B919" s="456"/>
      <c r="C919" s="456"/>
      <c r="D919" s="456"/>
      <c r="E919" s="456"/>
      <c r="F919" s="456"/>
      <c r="G919" s="456"/>
      <c r="H919" s="456"/>
      <c r="I919" s="456"/>
      <c r="J919" s="456"/>
      <c r="K919" s="456"/>
      <c r="L919" s="456"/>
      <c r="M919" s="456"/>
      <c r="N919" s="456"/>
      <c r="O919" s="456"/>
      <c r="P919" s="456"/>
      <c r="Q919" s="456"/>
      <c r="R919" s="456"/>
    </row>
    <row r="920" spans="1:18" ht="9.75" customHeight="1" x14ac:dyDescent="0.25">
      <c r="A920" s="456"/>
      <c r="B920" s="456"/>
      <c r="C920" s="456"/>
      <c r="D920" s="456"/>
      <c r="E920" s="456"/>
      <c r="F920" s="456"/>
      <c r="G920" s="456"/>
      <c r="H920" s="456"/>
      <c r="I920" s="456"/>
      <c r="J920" s="456"/>
      <c r="K920" s="456"/>
      <c r="L920" s="456"/>
      <c r="M920" s="456"/>
      <c r="N920" s="456"/>
      <c r="O920" s="456"/>
      <c r="P920" s="456"/>
      <c r="Q920" s="456"/>
      <c r="R920" s="456"/>
    </row>
    <row r="921" spans="1:18" ht="9.75" customHeight="1" x14ac:dyDescent="0.25">
      <c r="A921" s="456"/>
      <c r="B921" s="456"/>
      <c r="C921" s="456"/>
      <c r="D921" s="456"/>
      <c r="E921" s="456"/>
      <c r="F921" s="456"/>
      <c r="G921" s="456"/>
      <c r="H921" s="456"/>
      <c r="I921" s="456"/>
      <c r="J921" s="456"/>
      <c r="K921" s="456"/>
      <c r="L921" s="456"/>
      <c r="M921" s="456"/>
      <c r="N921" s="456"/>
      <c r="O921" s="456"/>
      <c r="P921" s="456"/>
      <c r="Q921" s="456"/>
      <c r="R921" s="456"/>
    </row>
    <row r="922" spans="1:18" ht="9.75" customHeight="1" x14ac:dyDescent="0.25">
      <c r="A922" s="456"/>
      <c r="B922" s="456"/>
      <c r="C922" s="456"/>
      <c r="D922" s="456"/>
      <c r="E922" s="456"/>
      <c r="F922" s="456"/>
      <c r="G922" s="456"/>
      <c r="H922" s="456"/>
      <c r="I922" s="456"/>
      <c r="J922" s="456"/>
      <c r="K922" s="456"/>
      <c r="L922" s="456"/>
      <c r="M922" s="456"/>
      <c r="N922" s="456"/>
      <c r="O922" s="456"/>
      <c r="P922" s="456"/>
      <c r="Q922" s="456"/>
      <c r="R922" s="456"/>
    </row>
    <row r="923" spans="1:18" ht="9.75" customHeight="1" x14ac:dyDescent="0.25">
      <c r="A923" s="456"/>
      <c r="B923" s="456"/>
      <c r="C923" s="456"/>
      <c r="D923" s="456"/>
      <c r="E923" s="456"/>
      <c r="F923" s="456"/>
      <c r="G923" s="456"/>
      <c r="H923" s="456"/>
      <c r="I923" s="456"/>
      <c r="J923" s="456"/>
      <c r="K923" s="456"/>
      <c r="L923" s="456"/>
      <c r="M923" s="456"/>
      <c r="N923" s="456"/>
      <c r="O923" s="456"/>
      <c r="P923" s="456"/>
      <c r="Q923" s="456"/>
      <c r="R923" s="456"/>
    </row>
    <row r="924" spans="1:18" ht="9.75" customHeight="1" x14ac:dyDescent="0.25">
      <c r="A924" s="456"/>
      <c r="B924" s="456"/>
      <c r="C924" s="456"/>
      <c r="D924" s="456"/>
      <c r="E924" s="456"/>
      <c r="F924" s="456"/>
      <c r="G924" s="456"/>
      <c r="H924" s="456"/>
      <c r="I924" s="456"/>
      <c r="J924" s="456"/>
      <c r="K924" s="456"/>
      <c r="L924" s="456"/>
      <c r="M924" s="456"/>
      <c r="N924" s="456"/>
      <c r="O924" s="456"/>
      <c r="P924" s="456"/>
      <c r="Q924" s="456"/>
      <c r="R924" s="456"/>
    </row>
    <row r="925" spans="1:18" ht="9.75" customHeight="1" x14ac:dyDescent="0.25">
      <c r="A925" s="456"/>
      <c r="B925" s="456"/>
      <c r="C925" s="456"/>
      <c r="D925" s="456"/>
      <c r="E925" s="456"/>
      <c r="F925" s="456"/>
      <c r="G925" s="456"/>
      <c r="H925" s="456"/>
      <c r="I925" s="456"/>
      <c r="J925" s="456"/>
      <c r="K925" s="456"/>
      <c r="L925" s="456"/>
      <c r="M925" s="456"/>
      <c r="N925" s="456"/>
      <c r="O925" s="456"/>
      <c r="P925" s="456"/>
      <c r="Q925" s="456"/>
      <c r="R925" s="456"/>
    </row>
    <row r="926" spans="1:18" ht="9.75" customHeight="1" x14ac:dyDescent="0.25">
      <c r="A926" s="456"/>
      <c r="B926" s="456"/>
      <c r="C926" s="456"/>
      <c r="D926" s="456"/>
      <c r="E926" s="456"/>
      <c r="F926" s="456"/>
      <c r="G926" s="456"/>
      <c r="H926" s="456"/>
      <c r="I926" s="456"/>
      <c r="J926" s="456"/>
      <c r="K926" s="456"/>
      <c r="L926" s="456"/>
      <c r="M926" s="456"/>
      <c r="N926" s="456"/>
      <c r="O926" s="456"/>
      <c r="P926" s="456"/>
      <c r="Q926" s="456"/>
      <c r="R926" s="456"/>
    </row>
    <row r="927" spans="1:18" ht="9.75" customHeight="1" x14ac:dyDescent="0.25">
      <c r="A927" s="456"/>
      <c r="B927" s="456"/>
      <c r="C927" s="456"/>
      <c r="D927" s="456"/>
      <c r="E927" s="456"/>
      <c r="F927" s="456"/>
      <c r="G927" s="456"/>
      <c r="H927" s="456"/>
      <c r="I927" s="456"/>
      <c r="J927" s="456"/>
      <c r="K927" s="456"/>
      <c r="L927" s="456"/>
      <c r="M927" s="456"/>
      <c r="N927" s="456"/>
      <c r="O927" s="456"/>
      <c r="P927" s="456"/>
      <c r="Q927" s="456"/>
      <c r="R927" s="456"/>
    </row>
    <row r="928" spans="1:18" ht="9.75" customHeight="1" x14ac:dyDescent="0.25">
      <c r="A928" s="456"/>
      <c r="B928" s="456"/>
      <c r="C928" s="456"/>
      <c r="D928" s="456"/>
      <c r="E928" s="456"/>
      <c r="F928" s="456"/>
      <c r="G928" s="456"/>
      <c r="H928" s="456"/>
      <c r="I928" s="456"/>
      <c r="J928" s="456"/>
      <c r="K928" s="456"/>
      <c r="L928" s="456"/>
      <c r="M928" s="456"/>
      <c r="N928" s="456"/>
      <c r="O928" s="456"/>
      <c r="P928" s="456"/>
      <c r="Q928" s="456"/>
      <c r="R928" s="456"/>
    </row>
    <row r="929" spans="1:18" ht="9.75" customHeight="1" x14ac:dyDescent="0.25">
      <c r="A929" s="456"/>
      <c r="B929" s="456"/>
      <c r="C929" s="456"/>
      <c r="D929" s="456"/>
      <c r="E929" s="456"/>
      <c r="F929" s="456"/>
      <c r="G929" s="456"/>
      <c r="H929" s="456"/>
      <c r="I929" s="456"/>
      <c r="J929" s="456"/>
      <c r="K929" s="456"/>
      <c r="L929" s="456"/>
      <c r="M929" s="456"/>
      <c r="N929" s="456"/>
      <c r="O929" s="456"/>
      <c r="P929" s="456"/>
      <c r="Q929" s="456"/>
      <c r="R929" s="456"/>
    </row>
    <row r="930" spans="1:18" ht="9.75" customHeight="1" x14ac:dyDescent="0.25">
      <c r="A930" s="456"/>
      <c r="B930" s="456"/>
      <c r="C930" s="456"/>
      <c r="D930" s="456"/>
      <c r="E930" s="456"/>
      <c r="F930" s="456"/>
      <c r="G930" s="456"/>
      <c r="H930" s="456"/>
      <c r="I930" s="456"/>
      <c r="J930" s="456"/>
      <c r="K930" s="456"/>
      <c r="L930" s="456"/>
      <c r="M930" s="456"/>
      <c r="N930" s="456"/>
      <c r="O930" s="456"/>
      <c r="P930" s="456"/>
      <c r="Q930" s="456"/>
      <c r="R930" s="456"/>
    </row>
    <row r="931" spans="1:18" ht="9.75" customHeight="1" x14ac:dyDescent="0.25">
      <c r="A931" s="456"/>
      <c r="B931" s="456"/>
      <c r="C931" s="456"/>
      <c r="D931" s="456"/>
      <c r="E931" s="456"/>
      <c r="F931" s="456"/>
      <c r="G931" s="456"/>
      <c r="H931" s="456"/>
      <c r="I931" s="456"/>
      <c r="J931" s="456"/>
      <c r="K931" s="456"/>
      <c r="L931" s="456"/>
      <c r="M931" s="456"/>
      <c r="N931" s="456"/>
      <c r="O931" s="456"/>
      <c r="P931" s="456"/>
      <c r="Q931" s="456"/>
      <c r="R931" s="456"/>
    </row>
    <row r="932" spans="1:18" ht="9.75" customHeight="1" x14ac:dyDescent="0.25">
      <c r="A932" s="456"/>
      <c r="B932" s="456"/>
      <c r="C932" s="456"/>
      <c r="D932" s="456"/>
      <c r="E932" s="456"/>
      <c r="F932" s="456"/>
      <c r="G932" s="456"/>
      <c r="H932" s="456"/>
      <c r="I932" s="456"/>
      <c r="J932" s="456"/>
      <c r="K932" s="456"/>
      <c r="L932" s="456"/>
      <c r="M932" s="456"/>
      <c r="N932" s="456"/>
      <c r="O932" s="456"/>
      <c r="P932" s="456"/>
      <c r="Q932" s="456"/>
      <c r="R932" s="456"/>
    </row>
    <row r="933" spans="1:18" ht="9.75" customHeight="1" x14ac:dyDescent="0.25">
      <c r="A933" s="456"/>
      <c r="B933" s="456"/>
      <c r="C933" s="456"/>
      <c r="D933" s="456"/>
      <c r="E933" s="456"/>
      <c r="F933" s="456"/>
      <c r="G933" s="456"/>
      <c r="H933" s="456"/>
      <c r="I933" s="456"/>
      <c r="J933" s="456"/>
      <c r="K933" s="456"/>
      <c r="L933" s="456"/>
      <c r="M933" s="456"/>
      <c r="N933" s="456"/>
      <c r="O933" s="456"/>
      <c r="P933" s="456"/>
      <c r="Q933" s="456"/>
      <c r="R933" s="456"/>
    </row>
    <row r="934" spans="1:18" ht="9.75" customHeight="1" x14ac:dyDescent="0.25">
      <c r="A934" s="456"/>
      <c r="B934" s="456"/>
      <c r="C934" s="456"/>
      <c r="D934" s="456"/>
      <c r="E934" s="456"/>
      <c r="F934" s="456"/>
      <c r="G934" s="456"/>
      <c r="H934" s="456"/>
      <c r="I934" s="456"/>
      <c r="J934" s="456"/>
      <c r="K934" s="456"/>
      <c r="L934" s="456"/>
      <c r="M934" s="456"/>
      <c r="N934" s="456"/>
      <c r="O934" s="456"/>
      <c r="P934" s="456"/>
      <c r="Q934" s="456"/>
      <c r="R934" s="456"/>
    </row>
    <row r="935" spans="1:18" ht="9.75" customHeight="1" x14ac:dyDescent="0.25">
      <c r="A935" s="456"/>
      <c r="B935" s="456"/>
      <c r="C935" s="456"/>
      <c r="D935" s="456"/>
      <c r="E935" s="456"/>
      <c r="F935" s="456"/>
      <c r="G935" s="456"/>
      <c r="H935" s="456"/>
      <c r="I935" s="456"/>
      <c r="J935" s="456"/>
      <c r="K935" s="456"/>
      <c r="L935" s="456"/>
      <c r="M935" s="456"/>
      <c r="N935" s="456"/>
      <c r="O935" s="456"/>
      <c r="P935" s="456"/>
      <c r="Q935" s="456"/>
      <c r="R935" s="456"/>
    </row>
    <row r="936" spans="1:18" ht="9.75" customHeight="1" x14ac:dyDescent="0.25">
      <c r="A936" s="456"/>
      <c r="B936" s="456"/>
      <c r="C936" s="456"/>
      <c r="D936" s="456"/>
      <c r="E936" s="456"/>
      <c r="F936" s="456"/>
      <c r="G936" s="456"/>
      <c r="H936" s="456"/>
      <c r="I936" s="456"/>
      <c r="J936" s="456"/>
      <c r="K936" s="456"/>
      <c r="L936" s="456"/>
      <c r="M936" s="456"/>
      <c r="N936" s="456"/>
      <c r="O936" s="456"/>
      <c r="P936" s="456"/>
      <c r="Q936" s="456"/>
      <c r="R936" s="456"/>
    </row>
    <row r="937" spans="1:18" ht="9.75" customHeight="1" x14ac:dyDescent="0.25">
      <c r="A937" s="456"/>
      <c r="B937" s="456"/>
      <c r="C937" s="456"/>
      <c r="D937" s="456"/>
      <c r="E937" s="456"/>
      <c r="F937" s="456"/>
      <c r="G937" s="456"/>
      <c r="H937" s="456"/>
      <c r="I937" s="456"/>
      <c r="J937" s="456"/>
      <c r="K937" s="456"/>
      <c r="L937" s="456"/>
      <c r="M937" s="456"/>
      <c r="N937" s="456"/>
      <c r="O937" s="456"/>
      <c r="P937" s="456"/>
      <c r="Q937" s="456"/>
      <c r="R937" s="456"/>
    </row>
    <row r="938" spans="1:18" ht="9.75" customHeight="1" x14ac:dyDescent="0.25">
      <c r="A938" s="456"/>
      <c r="B938" s="456"/>
      <c r="C938" s="456"/>
      <c r="D938" s="456"/>
      <c r="E938" s="456"/>
      <c r="F938" s="456"/>
      <c r="G938" s="456"/>
      <c r="H938" s="456"/>
      <c r="I938" s="456"/>
      <c r="J938" s="456"/>
      <c r="K938" s="456"/>
      <c r="L938" s="456"/>
      <c r="M938" s="456"/>
      <c r="N938" s="456"/>
      <c r="O938" s="456"/>
      <c r="P938" s="456"/>
      <c r="Q938" s="456"/>
      <c r="R938" s="456"/>
    </row>
    <row r="939" spans="1:18" ht="9.75" customHeight="1" x14ac:dyDescent="0.25">
      <c r="A939" s="456"/>
      <c r="B939" s="456"/>
      <c r="C939" s="456"/>
      <c r="D939" s="456"/>
      <c r="E939" s="456"/>
      <c r="F939" s="456"/>
      <c r="G939" s="456"/>
      <c r="H939" s="456"/>
      <c r="I939" s="456"/>
      <c r="J939" s="456"/>
      <c r="K939" s="456"/>
      <c r="L939" s="456"/>
      <c r="M939" s="456"/>
      <c r="N939" s="456"/>
      <c r="O939" s="456"/>
      <c r="P939" s="456"/>
      <c r="Q939" s="456"/>
      <c r="R939" s="456"/>
    </row>
    <row r="940" spans="1:18" ht="9.75" customHeight="1" x14ac:dyDescent="0.25">
      <c r="A940" s="456"/>
      <c r="B940" s="456"/>
      <c r="C940" s="456"/>
      <c r="D940" s="456"/>
      <c r="E940" s="456"/>
      <c r="F940" s="456"/>
      <c r="G940" s="456"/>
      <c r="H940" s="456"/>
      <c r="I940" s="456"/>
      <c r="J940" s="456"/>
      <c r="K940" s="456"/>
      <c r="L940" s="456"/>
      <c r="M940" s="456"/>
      <c r="N940" s="456"/>
      <c r="O940" s="456"/>
      <c r="P940" s="456"/>
      <c r="Q940" s="456"/>
      <c r="R940" s="456"/>
    </row>
    <row r="941" spans="1:18" ht="9.75" customHeight="1" x14ac:dyDescent="0.25">
      <c r="A941" s="456"/>
      <c r="B941" s="456"/>
      <c r="C941" s="456"/>
      <c r="D941" s="456"/>
      <c r="E941" s="456"/>
      <c r="F941" s="456"/>
      <c r="G941" s="456"/>
      <c r="H941" s="456"/>
      <c r="I941" s="456"/>
      <c r="J941" s="456"/>
      <c r="K941" s="456"/>
      <c r="L941" s="456"/>
      <c r="M941" s="456"/>
      <c r="N941" s="456"/>
      <c r="O941" s="456"/>
      <c r="P941" s="456"/>
      <c r="Q941" s="456"/>
      <c r="R941" s="456"/>
    </row>
    <row r="942" spans="1:18" ht="9.75" customHeight="1" x14ac:dyDescent="0.25">
      <c r="A942" s="456"/>
      <c r="B942" s="456"/>
      <c r="C942" s="456"/>
      <c r="D942" s="456"/>
      <c r="E942" s="456"/>
      <c r="F942" s="456"/>
      <c r="G942" s="456"/>
      <c r="H942" s="456"/>
      <c r="I942" s="456"/>
      <c r="J942" s="456"/>
      <c r="K942" s="456"/>
      <c r="L942" s="456"/>
      <c r="M942" s="456"/>
      <c r="N942" s="456"/>
      <c r="O942" s="456"/>
      <c r="P942" s="456"/>
      <c r="Q942" s="456"/>
      <c r="R942" s="456"/>
    </row>
    <row r="943" spans="1:18" ht="9.75" customHeight="1" x14ac:dyDescent="0.25">
      <c r="A943" s="456"/>
      <c r="B943" s="456"/>
      <c r="C943" s="456"/>
      <c r="D943" s="456"/>
      <c r="E943" s="456"/>
      <c r="F943" s="456"/>
      <c r="G943" s="456"/>
      <c r="H943" s="456"/>
      <c r="I943" s="456"/>
      <c r="J943" s="456"/>
      <c r="K943" s="456"/>
      <c r="L943" s="456"/>
      <c r="M943" s="456"/>
      <c r="N943" s="456"/>
      <c r="O943" s="456"/>
      <c r="P943" s="456"/>
      <c r="Q943" s="456"/>
      <c r="R943" s="456"/>
    </row>
    <row r="944" spans="1:18" ht="9.75" customHeight="1" x14ac:dyDescent="0.25">
      <c r="A944" s="456"/>
      <c r="B944" s="456"/>
      <c r="C944" s="456"/>
      <c r="D944" s="456"/>
      <c r="E944" s="456"/>
      <c r="F944" s="456"/>
      <c r="G944" s="456"/>
      <c r="H944" s="456"/>
      <c r="I944" s="456"/>
      <c r="J944" s="456"/>
      <c r="K944" s="456"/>
      <c r="L944" s="456"/>
      <c r="M944" s="456"/>
      <c r="N944" s="456"/>
      <c r="O944" s="456"/>
      <c r="P944" s="456"/>
      <c r="Q944" s="456"/>
      <c r="R944" s="456"/>
    </row>
    <row r="945" spans="1:18" ht="9.75" customHeight="1" x14ac:dyDescent="0.25">
      <c r="A945" s="456"/>
      <c r="B945" s="456"/>
      <c r="C945" s="456"/>
      <c r="D945" s="456"/>
      <c r="E945" s="456"/>
      <c r="F945" s="456"/>
      <c r="G945" s="456"/>
      <c r="H945" s="456"/>
      <c r="I945" s="456"/>
      <c r="J945" s="456"/>
      <c r="K945" s="456"/>
      <c r="L945" s="456"/>
      <c r="M945" s="456"/>
      <c r="N945" s="456"/>
      <c r="O945" s="456"/>
      <c r="P945" s="456"/>
      <c r="Q945" s="456"/>
      <c r="R945" s="456"/>
    </row>
    <row r="946" spans="1:18" ht="9.75" customHeight="1" x14ac:dyDescent="0.25">
      <c r="A946" s="456"/>
      <c r="B946" s="456"/>
      <c r="C946" s="456"/>
      <c r="D946" s="456"/>
      <c r="E946" s="456"/>
      <c r="F946" s="456"/>
      <c r="G946" s="456"/>
      <c r="H946" s="456"/>
      <c r="I946" s="456"/>
      <c r="J946" s="456"/>
      <c r="K946" s="456"/>
      <c r="L946" s="456"/>
      <c r="M946" s="456"/>
      <c r="N946" s="456"/>
      <c r="O946" s="456"/>
      <c r="P946" s="456"/>
      <c r="Q946" s="456"/>
      <c r="R946" s="456"/>
    </row>
    <row r="947" spans="1:18" ht="9.75" customHeight="1" x14ac:dyDescent="0.25">
      <c r="A947" s="456"/>
      <c r="B947" s="456"/>
      <c r="C947" s="456"/>
      <c r="D947" s="456"/>
      <c r="E947" s="456"/>
      <c r="F947" s="456"/>
      <c r="G947" s="456"/>
      <c r="H947" s="456"/>
      <c r="I947" s="456"/>
      <c r="J947" s="456"/>
      <c r="K947" s="456"/>
      <c r="L947" s="456"/>
      <c r="M947" s="456"/>
      <c r="N947" s="456"/>
      <c r="O947" s="456"/>
      <c r="P947" s="456"/>
      <c r="Q947" s="456"/>
      <c r="R947" s="456"/>
    </row>
    <row r="948" spans="1:18" ht="9.75" customHeight="1" x14ac:dyDescent="0.25">
      <c r="A948" s="456"/>
      <c r="B948" s="456"/>
      <c r="C948" s="456"/>
      <c r="D948" s="456"/>
      <c r="E948" s="456"/>
      <c r="F948" s="456"/>
      <c r="G948" s="456"/>
      <c r="H948" s="456"/>
      <c r="I948" s="456"/>
      <c r="J948" s="456"/>
      <c r="K948" s="456"/>
      <c r="L948" s="456"/>
      <c r="M948" s="456"/>
      <c r="N948" s="456"/>
      <c r="O948" s="456"/>
      <c r="P948" s="456"/>
      <c r="Q948" s="456"/>
      <c r="R948" s="456"/>
    </row>
    <row r="949" spans="1:18" ht="9.75" customHeight="1" x14ac:dyDescent="0.25">
      <c r="A949" s="456"/>
      <c r="B949" s="456"/>
      <c r="C949" s="456"/>
      <c r="D949" s="456"/>
      <c r="E949" s="456"/>
      <c r="F949" s="456"/>
      <c r="G949" s="456"/>
      <c r="H949" s="456"/>
      <c r="I949" s="456"/>
      <c r="J949" s="456"/>
      <c r="K949" s="456"/>
      <c r="L949" s="456"/>
      <c r="M949" s="456"/>
      <c r="N949" s="456"/>
      <c r="O949" s="456"/>
      <c r="P949" s="456"/>
      <c r="Q949" s="456"/>
      <c r="R949" s="456"/>
    </row>
    <row r="950" spans="1:18" ht="9.75" customHeight="1" x14ac:dyDescent="0.25">
      <c r="A950" s="456"/>
      <c r="B950" s="456"/>
      <c r="C950" s="456"/>
      <c r="D950" s="456"/>
      <c r="E950" s="456"/>
      <c r="F950" s="456"/>
      <c r="G950" s="456"/>
      <c r="H950" s="456"/>
      <c r="I950" s="456"/>
      <c r="J950" s="456"/>
      <c r="K950" s="456"/>
      <c r="L950" s="456"/>
      <c r="M950" s="456"/>
      <c r="N950" s="456"/>
      <c r="O950" s="456"/>
      <c r="P950" s="456"/>
      <c r="Q950" s="456"/>
      <c r="R950" s="456"/>
    </row>
    <row r="951" spans="1:18" ht="9.75" customHeight="1" x14ac:dyDescent="0.25">
      <c r="A951" s="456"/>
      <c r="B951" s="456"/>
      <c r="C951" s="456"/>
      <c r="D951" s="456"/>
      <c r="E951" s="456"/>
      <c r="F951" s="456"/>
      <c r="G951" s="456"/>
      <c r="H951" s="456"/>
      <c r="I951" s="456"/>
      <c r="J951" s="456"/>
      <c r="K951" s="456"/>
      <c r="L951" s="456"/>
      <c r="M951" s="456"/>
      <c r="N951" s="456"/>
      <c r="O951" s="456"/>
      <c r="P951" s="456"/>
      <c r="Q951" s="456"/>
      <c r="R951" s="456"/>
    </row>
    <row r="952" spans="1:18" ht="9.75" customHeight="1" x14ac:dyDescent="0.25">
      <c r="A952" s="456"/>
      <c r="B952" s="456"/>
      <c r="C952" s="456"/>
      <c r="D952" s="456"/>
      <c r="E952" s="456"/>
      <c r="F952" s="456"/>
      <c r="G952" s="456"/>
      <c r="H952" s="456"/>
      <c r="I952" s="456"/>
      <c r="J952" s="456"/>
      <c r="K952" s="456"/>
      <c r="L952" s="456"/>
      <c r="M952" s="456"/>
      <c r="N952" s="456"/>
      <c r="O952" s="456"/>
      <c r="P952" s="456"/>
      <c r="Q952" s="456"/>
      <c r="R952" s="456"/>
    </row>
    <row r="953" spans="1:18" ht="9.75" customHeight="1" x14ac:dyDescent="0.25">
      <c r="A953" s="456"/>
      <c r="B953" s="456"/>
      <c r="C953" s="456"/>
      <c r="D953" s="456"/>
      <c r="E953" s="456"/>
      <c r="F953" s="456"/>
      <c r="G953" s="456"/>
      <c r="H953" s="456"/>
      <c r="I953" s="456"/>
      <c r="J953" s="456"/>
      <c r="K953" s="456"/>
      <c r="L953" s="456"/>
      <c r="M953" s="456"/>
      <c r="N953" s="456"/>
      <c r="O953" s="456"/>
      <c r="P953" s="456"/>
      <c r="Q953" s="456"/>
      <c r="R953" s="456"/>
    </row>
    <row r="954" spans="1:18" ht="9.75" customHeight="1" x14ac:dyDescent="0.25">
      <c r="A954" s="456"/>
      <c r="B954" s="456"/>
      <c r="C954" s="456"/>
      <c r="D954" s="456"/>
      <c r="E954" s="456"/>
      <c r="F954" s="456"/>
      <c r="G954" s="456"/>
      <c r="H954" s="456"/>
      <c r="I954" s="456"/>
      <c r="J954" s="456"/>
      <c r="K954" s="456"/>
      <c r="L954" s="456"/>
      <c r="M954" s="456"/>
      <c r="N954" s="456"/>
      <c r="O954" s="456"/>
      <c r="P954" s="456"/>
      <c r="Q954" s="456"/>
      <c r="R954" s="456"/>
    </row>
    <row r="955" spans="1:18" ht="9.75" customHeight="1" x14ac:dyDescent="0.25">
      <c r="A955" s="456"/>
      <c r="B955" s="456"/>
      <c r="C955" s="456"/>
      <c r="D955" s="456"/>
      <c r="E955" s="456"/>
      <c r="F955" s="456"/>
      <c r="G955" s="456"/>
      <c r="H955" s="456"/>
      <c r="I955" s="456"/>
      <c r="J955" s="456"/>
      <c r="K955" s="456"/>
      <c r="L955" s="456"/>
      <c r="M955" s="456"/>
      <c r="N955" s="456"/>
      <c r="O955" s="456"/>
      <c r="P955" s="456"/>
      <c r="Q955" s="456"/>
      <c r="R955" s="456"/>
    </row>
    <row r="956" spans="1:18" ht="9.75" customHeight="1" x14ac:dyDescent="0.25">
      <c r="A956" s="456"/>
      <c r="B956" s="456"/>
      <c r="C956" s="456"/>
      <c r="D956" s="456"/>
      <c r="E956" s="456"/>
      <c r="F956" s="456"/>
      <c r="G956" s="456"/>
      <c r="H956" s="456"/>
      <c r="I956" s="456"/>
      <c r="J956" s="456"/>
      <c r="K956" s="456"/>
      <c r="L956" s="456"/>
      <c r="M956" s="456"/>
      <c r="N956" s="456"/>
      <c r="O956" s="456"/>
      <c r="P956" s="456"/>
      <c r="Q956" s="456"/>
      <c r="R956" s="456"/>
    </row>
    <row r="957" spans="1:18" ht="9.75" customHeight="1" x14ac:dyDescent="0.25">
      <c r="A957" s="456"/>
      <c r="B957" s="456"/>
      <c r="C957" s="456"/>
      <c r="D957" s="456"/>
      <c r="E957" s="456"/>
      <c r="F957" s="456"/>
      <c r="G957" s="456"/>
      <c r="H957" s="456"/>
      <c r="I957" s="456"/>
      <c r="J957" s="456"/>
      <c r="K957" s="456"/>
      <c r="L957" s="456"/>
      <c r="M957" s="456"/>
      <c r="N957" s="456"/>
      <c r="O957" s="456"/>
      <c r="P957" s="456"/>
      <c r="Q957" s="456"/>
      <c r="R957" s="456"/>
    </row>
    <row r="958" spans="1:18" ht="9.75" customHeight="1" x14ac:dyDescent="0.25">
      <c r="A958" s="456"/>
      <c r="B958" s="456"/>
      <c r="C958" s="456"/>
      <c r="D958" s="456"/>
      <c r="E958" s="456"/>
      <c r="F958" s="456"/>
      <c r="G958" s="456"/>
      <c r="H958" s="456"/>
      <c r="I958" s="456"/>
      <c r="J958" s="456"/>
      <c r="K958" s="456"/>
      <c r="L958" s="456"/>
      <c r="M958" s="456"/>
      <c r="N958" s="456"/>
      <c r="O958" s="456"/>
      <c r="P958" s="456"/>
      <c r="Q958" s="456"/>
      <c r="R958" s="456"/>
    </row>
    <row r="959" spans="1:18" ht="9.75" customHeight="1" x14ac:dyDescent="0.25">
      <c r="A959" s="456"/>
      <c r="B959" s="456"/>
      <c r="C959" s="456"/>
      <c r="D959" s="456"/>
      <c r="E959" s="456"/>
      <c r="F959" s="456"/>
      <c r="G959" s="456"/>
      <c r="H959" s="456"/>
      <c r="I959" s="456"/>
      <c r="J959" s="456"/>
      <c r="K959" s="456"/>
      <c r="L959" s="456"/>
      <c r="M959" s="456"/>
      <c r="N959" s="456"/>
      <c r="O959" s="456"/>
      <c r="P959" s="456"/>
      <c r="Q959" s="456"/>
      <c r="R959" s="456"/>
    </row>
    <row r="960" spans="1:18" ht="9.75" customHeight="1" x14ac:dyDescent="0.25">
      <c r="A960" s="456"/>
      <c r="B960" s="456"/>
      <c r="C960" s="456"/>
      <c r="D960" s="456"/>
      <c r="E960" s="456"/>
      <c r="F960" s="456"/>
      <c r="G960" s="456"/>
      <c r="H960" s="456"/>
      <c r="I960" s="456"/>
      <c r="J960" s="456"/>
      <c r="K960" s="456"/>
      <c r="L960" s="456"/>
      <c r="M960" s="456"/>
      <c r="N960" s="456"/>
      <c r="O960" s="456"/>
      <c r="P960" s="456"/>
      <c r="Q960" s="456"/>
      <c r="R960" s="456"/>
    </row>
    <row r="961" spans="1:18" ht="9.75" customHeight="1" x14ac:dyDescent="0.25">
      <c r="A961" s="456"/>
      <c r="B961" s="456"/>
      <c r="C961" s="456"/>
      <c r="D961" s="456"/>
      <c r="E961" s="456"/>
      <c r="F961" s="456"/>
      <c r="G961" s="456"/>
      <c r="H961" s="456"/>
      <c r="I961" s="456"/>
      <c r="J961" s="456"/>
      <c r="K961" s="456"/>
      <c r="L961" s="456"/>
      <c r="M961" s="456"/>
      <c r="N961" s="456"/>
      <c r="O961" s="456"/>
      <c r="P961" s="456"/>
      <c r="Q961" s="456"/>
      <c r="R961" s="456"/>
    </row>
    <row r="962" spans="1:18" ht="9.75" customHeight="1" x14ac:dyDescent="0.25">
      <c r="A962" s="456"/>
      <c r="B962" s="456"/>
      <c r="C962" s="456"/>
      <c r="D962" s="456"/>
      <c r="E962" s="456"/>
      <c r="F962" s="456"/>
      <c r="G962" s="456"/>
      <c r="H962" s="456"/>
      <c r="I962" s="456"/>
      <c r="J962" s="456"/>
      <c r="K962" s="456"/>
      <c r="L962" s="456"/>
      <c r="M962" s="456"/>
      <c r="N962" s="456"/>
      <c r="O962" s="456"/>
      <c r="P962" s="456"/>
      <c r="Q962" s="456"/>
      <c r="R962" s="456"/>
    </row>
    <row r="963" spans="1:18" ht="9.75" customHeight="1" x14ac:dyDescent="0.25">
      <c r="A963" s="456"/>
      <c r="B963" s="456"/>
      <c r="C963" s="456"/>
      <c r="D963" s="456"/>
      <c r="E963" s="456"/>
      <c r="F963" s="456"/>
      <c r="G963" s="456"/>
      <c r="H963" s="456"/>
      <c r="I963" s="456"/>
      <c r="J963" s="456"/>
      <c r="K963" s="456"/>
      <c r="L963" s="456"/>
      <c r="M963" s="456"/>
      <c r="N963" s="456"/>
      <c r="O963" s="456"/>
      <c r="P963" s="456"/>
      <c r="Q963" s="456"/>
      <c r="R963" s="456"/>
    </row>
    <row r="964" spans="1:18" ht="9.75" customHeight="1" x14ac:dyDescent="0.25">
      <c r="A964" s="456"/>
      <c r="B964" s="456"/>
      <c r="C964" s="456"/>
      <c r="D964" s="456"/>
      <c r="E964" s="456"/>
      <c r="F964" s="456"/>
      <c r="G964" s="456"/>
      <c r="H964" s="456"/>
      <c r="I964" s="456"/>
      <c r="J964" s="456"/>
      <c r="K964" s="456"/>
      <c r="L964" s="456"/>
      <c r="M964" s="456"/>
      <c r="N964" s="456"/>
      <c r="O964" s="456"/>
      <c r="P964" s="456"/>
      <c r="Q964" s="456"/>
      <c r="R964" s="456"/>
    </row>
    <row r="965" spans="1:18" ht="9.75" customHeight="1" x14ac:dyDescent="0.25">
      <c r="A965" s="456"/>
      <c r="B965" s="456"/>
      <c r="C965" s="456"/>
      <c r="D965" s="456"/>
      <c r="E965" s="456"/>
      <c r="F965" s="456"/>
      <c r="G965" s="456"/>
      <c r="H965" s="456"/>
      <c r="I965" s="456"/>
      <c r="J965" s="456"/>
      <c r="K965" s="456"/>
      <c r="L965" s="456"/>
      <c r="M965" s="456"/>
      <c r="N965" s="456"/>
      <c r="O965" s="456"/>
      <c r="P965" s="456"/>
      <c r="Q965" s="456"/>
      <c r="R965" s="456"/>
    </row>
    <row r="966" spans="1:18" ht="9.75" customHeight="1" x14ac:dyDescent="0.25">
      <c r="A966" s="456"/>
      <c r="B966" s="456"/>
      <c r="C966" s="456"/>
      <c r="D966" s="456"/>
      <c r="E966" s="456"/>
      <c r="F966" s="456"/>
      <c r="G966" s="456"/>
      <c r="H966" s="456"/>
      <c r="I966" s="456"/>
      <c r="J966" s="456"/>
      <c r="K966" s="456"/>
      <c r="L966" s="456"/>
      <c r="M966" s="456"/>
      <c r="N966" s="456"/>
      <c r="O966" s="456"/>
      <c r="P966" s="456"/>
      <c r="Q966" s="456"/>
      <c r="R966" s="456"/>
    </row>
    <row r="967" spans="1:18" ht="9.75" customHeight="1" x14ac:dyDescent="0.25">
      <c r="A967" s="456"/>
      <c r="B967" s="456"/>
      <c r="C967" s="456"/>
      <c r="D967" s="456"/>
      <c r="E967" s="456"/>
      <c r="F967" s="456"/>
      <c r="G967" s="456"/>
      <c r="H967" s="456"/>
      <c r="I967" s="456"/>
      <c r="J967" s="456"/>
      <c r="K967" s="456"/>
      <c r="L967" s="456"/>
      <c r="M967" s="456"/>
      <c r="N967" s="456"/>
      <c r="O967" s="456"/>
      <c r="P967" s="456"/>
      <c r="Q967" s="456"/>
      <c r="R967" s="456"/>
    </row>
    <row r="968" spans="1:18" ht="9.75" customHeight="1" x14ac:dyDescent="0.25">
      <c r="A968" s="456"/>
      <c r="B968" s="456"/>
      <c r="C968" s="456"/>
      <c r="D968" s="456"/>
      <c r="E968" s="456"/>
      <c r="F968" s="456"/>
      <c r="G968" s="456"/>
      <c r="H968" s="456"/>
      <c r="I968" s="456"/>
      <c r="J968" s="456"/>
      <c r="K968" s="456"/>
      <c r="L968" s="456"/>
      <c r="M968" s="456"/>
      <c r="N968" s="456"/>
      <c r="O968" s="456"/>
      <c r="P968" s="456"/>
      <c r="Q968" s="456"/>
      <c r="R968" s="456"/>
    </row>
    <row r="969" spans="1:18" ht="9.75" customHeight="1" x14ac:dyDescent="0.25">
      <c r="A969" s="456"/>
      <c r="B969" s="456"/>
      <c r="C969" s="456"/>
      <c r="D969" s="456"/>
      <c r="E969" s="456"/>
      <c r="F969" s="456"/>
      <c r="G969" s="456"/>
      <c r="H969" s="456"/>
      <c r="I969" s="456"/>
      <c r="J969" s="456"/>
      <c r="K969" s="456"/>
      <c r="L969" s="456"/>
      <c r="M969" s="456"/>
      <c r="N969" s="456"/>
      <c r="O969" s="456"/>
      <c r="P969" s="456"/>
      <c r="Q969" s="456"/>
      <c r="R969" s="456"/>
    </row>
    <row r="970" spans="1:18" ht="9.75" customHeight="1" x14ac:dyDescent="0.25">
      <c r="A970" s="456"/>
      <c r="B970" s="456"/>
      <c r="C970" s="456"/>
      <c r="D970" s="456"/>
      <c r="E970" s="456"/>
      <c r="F970" s="456"/>
      <c r="G970" s="456"/>
      <c r="H970" s="456"/>
      <c r="I970" s="456"/>
      <c r="J970" s="456"/>
      <c r="K970" s="456"/>
      <c r="L970" s="456"/>
      <c r="M970" s="456"/>
      <c r="N970" s="456"/>
      <c r="O970" s="456"/>
      <c r="P970" s="456"/>
      <c r="Q970" s="456"/>
      <c r="R970" s="456"/>
    </row>
    <row r="971" spans="1:18" ht="9.75" customHeight="1" x14ac:dyDescent="0.25">
      <c r="A971" s="456"/>
      <c r="B971" s="456"/>
      <c r="C971" s="456"/>
      <c r="D971" s="456"/>
      <c r="E971" s="456"/>
      <c r="F971" s="456"/>
      <c r="G971" s="456"/>
      <c r="H971" s="456"/>
      <c r="I971" s="456"/>
      <c r="J971" s="456"/>
      <c r="K971" s="456"/>
      <c r="L971" s="456"/>
      <c r="M971" s="456"/>
      <c r="N971" s="456"/>
      <c r="O971" s="456"/>
      <c r="P971" s="456"/>
      <c r="Q971" s="456"/>
      <c r="R971" s="456"/>
    </row>
    <row r="972" spans="1:18" ht="9.75" customHeight="1" x14ac:dyDescent="0.25">
      <c r="A972" s="456"/>
      <c r="B972" s="456"/>
      <c r="C972" s="456"/>
      <c r="D972" s="456"/>
      <c r="E972" s="456"/>
      <c r="F972" s="456"/>
      <c r="G972" s="456"/>
      <c r="H972" s="456"/>
      <c r="I972" s="456"/>
      <c r="J972" s="456"/>
      <c r="K972" s="456"/>
      <c r="L972" s="456"/>
      <c r="M972" s="456"/>
      <c r="N972" s="456"/>
      <c r="O972" s="456"/>
      <c r="P972" s="456"/>
      <c r="Q972" s="456"/>
      <c r="R972" s="456"/>
    </row>
    <row r="973" spans="1:18" ht="9.75" customHeight="1" x14ac:dyDescent="0.25">
      <c r="A973" s="456"/>
      <c r="B973" s="456"/>
      <c r="C973" s="456"/>
      <c r="D973" s="456"/>
      <c r="E973" s="456"/>
      <c r="F973" s="456"/>
      <c r="G973" s="456"/>
      <c r="H973" s="456"/>
      <c r="I973" s="456"/>
      <c r="J973" s="456"/>
      <c r="K973" s="456"/>
      <c r="L973" s="456"/>
      <c r="M973" s="456"/>
      <c r="N973" s="456"/>
      <c r="O973" s="456"/>
      <c r="P973" s="456"/>
      <c r="Q973" s="456"/>
      <c r="R973" s="456"/>
    </row>
    <row r="974" spans="1:18" ht="9.75" customHeight="1" x14ac:dyDescent="0.25">
      <c r="A974" s="456"/>
      <c r="B974" s="456"/>
      <c r="C974" s="456"/>
      <c r="D974" s="456"/>
      <c r="E974" s="456"/>
      <c r="F974" s="456"/>
      <c r="G974" s="456"/>
      <c r="H974" s="456"/>
      <c r="I974" s="456"/>
      <c r="J974" s="456"/>
      <c r="K974" s="456"/>
      <c r="L974" s="456"/>
      <c r="M974" s="456"/>
      <c r="N974" s="456"/>
      <c r="O974" s="456"/>
      <c r="P974" s="456"/>
      <c r="Q974" s="456"/>
      <c r="R974" s="456"/>
    </row>
    <row r="975" spans="1:18" ht="9.75" customHeight="1" x14ac:dyDescent="0.25">
      <c r="A975" s="456"/>
      <c r="B975" s="456"/>
      <c r="C975" s="456"/>
      <c r="D975" s="456"/>
      <c r="E975" s="456"/>
      <c r="F975" s="456"/>
      <c r="G975" s="456"/>
      <c r="H975" s="456"/>
      <c r="I975" s="456"/>
      <c r="J975" s="456"/>
      <c r="K975" s="456"/>
      <c r="L975" s="456"/>
      <c r="M975" s="456"/>
      <c r="N975" s="456"/>
      <c r="O975" s="456"/>
      <c r="P975" s="456"/>
      <c r="Q975" s="456"/>
      <c r="R975" s="456"/>
    </row>
    <row r="976" spans="1:18" ht="9.75" customHeight="1" x14ac:dyDescent="0.25">
      <c r="A976" s="456"/>
      <c r="B976" s="456"/>
      <c r="C976" s="456"/>
      <c r="D976" s="456"/>
      <c r="E976" s="456"/>
      <c r="F976" s="456"/>
      <c r="G976" s="456"/>
      <c r="H976" s="456"/>
      <c r="I976" s="456"/>
      <c r="J976" s="456"/>
      <c r="K976" s="456"/>
      <c r="L976" s="456"/>
      <c r="M976" s="456"/>
      <c r="N976" s="456"/>
      <c r="O976" s="456"/>
      <c r="P976" s="456"/>
      <c r="Q976" s="456"/>
      <c r="R976" s="456"/>
    </row>
    <row r="977" spans="1:18" ht="9.75" customHeight="1" x14ac:dyDescent="0.25">
      <c r="A977" s="456"/>
      <c r="B977" s="456"/>
      <c r="C977" s="456"/>
      <c r="D977" s="456"/>
      <c r="E977" s="456"/>
      <c r="F977" s="456"/>
      <c r="G977" s="456"/>
      <c r="H977" s="456"/>
      <c r="I977" s="456"/>
      <c r="J977" s="456"/>
      <c r="K977" s="456"/>
      <c r="L977" s="456"/>
      <c r="M977" s="456"/>
      <c r="N977" s="456"/>
      <c r="O977" s="456"/>
      <c r="P977" s="456"/>
      <c r="Q977" s="456"/>
      <c r="R977" s="456"/>
    </row>
    <row r="978" spans="1:18" ht="9.75" customHeight="1" x14ac:dyDescent="0.25">
      <c r="A978" s="456"/>
      <c r="B978" s="456"/>
      <c r="C978" s="456"/>
      <c r="D978" s="456"/>
      <c r="E978" s="456"/>
      <c r="F978" s="456"/>
      <c r="G978" s="456"/>
      <c r="H978" s="456"/>
      <c r="I978" s="456"/>
      <c r="J978" s="456"/>
      <c r="K978" s="456"/>
      <c r="L978" s="456"/>
      <c r="M978" s="456"/>
      <c r="N978" s="456"/>
      <c r="O978" s="456"/>
      <c r="P978" s="456"/>
      <c r="Q978" s="456"/>
      <c r="R978" s="456"/>
    </row>
    <row r="979" spans="1:18" ht="9.75" customHeight="1" x14ac:dyDescent="0.25">
      <c r="A979" s="456"/>
      <c r="B979" s="456"/>
      <c r="C979" s="456"/>
      <c r="D979" s="456"/>
      <c r="E979" s="456"/>
      <c r="F979" s="456"/>
      <c r="G979" s="456"/>
      <c r="H979" s="456"/>
      <c r="I979" s="456"/>
      <c r="J979" s="456"/>
      <c r="K979" s="456"/>
      <c r="L979" s="456"/>
      <c r="M979" s="456"/>
      <c r="N979" s="456"/>
      <c r="O979" s="456"/>
      <c r="P979" s="456"/>
      <c r="Q979" s="456"/>
      <c r="R979" s="456"/>
    </row>
    <row r="980" spans="1:18" ht="9.75" customHeight="1" x14ac:dyDescent="0.25">
      <c r="A980" s="456"/>
      <c r="B980" s="456"/>
      <c r="C980" s="456"/>
      <c r="D980" s="456"/>
      <c r="E980" s="456"/>
      <c r="F980" s="456"/>
      <c r="G980" s="456"/>
      <c r="H980" s="456"/>
      <c r="I980" s="456"/>
      <c r="J980" s="456"/>
      <c r="K980" s="456"/>
      <c r="L980" s="456"/>
      <c r="M980" s="456"/>
      <c r="N980" s="456"/>
      <c r="O980" s="456"/>
      <c r="P980" s="456"/>
      <c r="Q980" s="456"/>
      <c r="R980" s="456"/>
    </row>
    <row r="981" spans="1:18" ht="9.75" customHeight="1" x14ac:dyDescent="0.25">
      <c r="A981" s="456"/>
      <c r="B981" s="456"/>
      <c r="C981" s="456"/>
      <c r="D981" s="456"/>
      <c r="E981" s="456"/>
      <c r="F981" s="456"/>
      <c r="G981" s="456"/>
      <c r="H981" s="456"/>
      <c r="I981" s="456"/>
      <c r="J981" s="456"/>
      <c r="K981" s="456"/>
      <c r="L981" s="456"/>
      <c r="M981" s="456"/>
      <c r="N981" s="456"/>
      <c r="O981" s="456"/>
      <c r="P981" s="456"/>
      <c r="Q981" s="456"/>
      <c r="R981" s="456"/>
    </row>
    <row r="982" spans="1:18" ht="9.75" customHeight="1" x14ac:dyDescent="0.25">
      <c r="A982" s="456"/>
      <c r="B982" s="456"/>
      <c r="C982" s="456"/>
      <c r="D982" s="456"/>
      <c r="E982" s="456"/>
      <c r="F982" s="456"/>
      <c r="G982" s="456"/>
      <c r="H982" s="456"/>
      <c r="I982" s="456"/>
      <c r="J982" s="456"/>
      <c r="K982" s="456"/>
      <c r="L982" s="456"/>
      <c r="M982" s="456"/>
      <c r="N982" s="456"/>
      <c r="O982" s="456"/>
      <c r="P982" s="456"/>
      <c r="Q982" s="456"/>
      <c r="R982" s="456"/>
    </row>
    <row r="983" spans="1:18" ht="9.75" customHeight="1" x14ac:dyDescent="0.25">
      <c r="A983" s="456"/>
      <c r="B983" s="456"/>
      <c r="C983" s="456"/>
      <c r="D983" s="456"/>
      <c r="E983" s="456"/>
      <c r="F983" s="456"/>
      <c r="G983" s="456"/>
      <c r="H983" s="456"/>
      <c r="I983" s="456"/>
      <c r="J983" s="456"/>
      <c r="K983" s="456"/>
      <c r="L983" s="456"/>
      <c r="M983" s="456"/>
      <c r="N983" s="456"/>
      <c r="O983" s="456"/>
      <c r="P983" s="456"/>
      <c r="Q983" s="456"/>
      <c r="R983" s="456"/>
    </row>
    <row r="984" spans="1:18" ht="9.75" customHeight="1" x14ac:dyDescent="0.25">
      <c r="A984" s="456"/>
      <c r="B984" s="456"/>
      <c r="C984" s="456"/>
      <c r="D984" s="456"/>
      <c r="E984" s="456"/>
      <c r="F984" s="456"/>
      <c r="G984" s="456"/>
      <c r="H984" s="456"/>
      <c r="I984" s="456"/>
      <c r="J984" s="456"/>
      <c r="K984" s="456"/>
      <c r="L984" s="456"/>
      <c r="M984" s="456"/>
      <c r="N984" s="456"/>
      <c r="O984" s="456"/>
      <c r="P984" s="456"/>
      <c r="Q984" s="456"/>
      <c r="R984" s="456"/>
    </row>
    <row r="985" spans="1:18" ht="9.75" customHeight="1" x14ac:dyDescent="0.25">
      <c r="A985" s="456"/>
      <c r="B985" s="456"/>
      <c r="C985" s="456"/>
      <c r="D985" s="456"/>
      <c r="E985" s="456"/>
      <c r="F985" s="456"/>
      <c r="G985" s="456"/>
      <c r="H985" s="456"/>
      <c r="I985" s="456"/>
      <c r="J985" s="456"/>
      <c r="K985" s="456"/>
      <c r="L985" s="456"/>
      <c r="M985" s="456"/>
      <c r="N985" s="456"/>
      <c r="O985" s="456"/>
      <c r="P985" s="456"/>
      <c r="Q985" s="456"/>
      <c r="R985" s="456"/>
    </row>
    <row r="986" spans="1:18" ht="9.75" customHeight="1" x14ac:dyDescent="0.25">
      <c r="A986" s="456"/>
      <c r="B986" s="456"/>
      <c r="C986" s="456"/>
      <c r="D986" s="456"/>
      <c r="E986" s="456"/>
      <c r="F986" s="456"/>
      <c r="G986" s="456"/>
      <c r="H986" s="456"/>
      <c r="I986" s="456"/>
      <c r="J986" s="456"/>
      <c r="K986" s="456"/>
      <c r="L986" s="456"/>
      <c r="M986" s="456"/>
      <c r="N986" s="456"/>
      <c r="O986" s="456"/>
      <c r="P986" s="456"/>
      <c r="Q986" s="456"/>
      <c r="R986" s="456"/>
    </row>
    <row r="987" spans="1:18" ht="9.75" customHeight="1" x14ac:dyDescent="0.25">
      <c r="A987" s="456"/>
      <c r="B987" s="456"/>
      <c r="C987" s="456"/>
      <c r="D987" s="456"/>
      <c r="E987" s="456"/>
      <c r="F987" s="456"/>
      <c r="G987" s="456"/>
      <c r="H987" s="456"/>
      <c r="I987" s="456"/>
      <c r="J987" s="456"/>
      <c r="K987" s="456"/>
      <c r="L987" s="456"/>
      <c r="M987" s="456"/>
      <c r="N987" s="456"/>
      <c r="O987" s="456"/>
      <c r="P987" s="456"/>
      <c r="Q987" s="456"/>
      <c r="R987" s="456"/>
    </row>
    <row r="988" spans="1:18" ht="9.75" customHeight="1" x14ac:dyDescent="0.25">
      <c r="A988" s="456"/>
      <c r="B988" s="456"/>
      <c r="C988" s="456"/>
      <c r="D988" s="456"/>
      <c r="E988" s="456"/>
      <c r="F988" s="456"/>
      <c r="G988" s="456"/>
      <c r="H988" s="456"/>
      <c r="I988" s="456"/>
      <c r="J988" s="456"/>
      <c r="K988" s="456"/>
      <c r="L988" s="456"/>
      <c r="M988" s="456"/>
      <c r="N988" s="456"/>
      <c r="O988" s="456"/>
      <c r="P988" s="456"/>
      <c r="Q988" s="456"/>
      <c r="R988" s="456"/>
    </row>
    <row r="989" spans="1:18" ht="9.75" customHeight="1" x14ac:dyDescent="0.25">
      <c r="A989" s="456"/>
      <c r="B989" s="456"/>
      <c r="C989" s="456"/>
      <c r="D989" s="456"/>
      <c r="E989" s="456"/>
      <c r="F989" s="456"/>
      <c r="G989" s="456"/>
      <c r="H989" s="456"/>
      <c r="I989" s="456"/>
      <c r="J989" s="456"/>
      <c r="K989" s="456"/>
      <c r="L989" s="456"/>
      <c r="M989" s="456"/>
      <c r="N989" s="456"/>
      <c r="O989" s="456"/>
      <c r="P989" s="456"/>
      <c r="Q989" s="456"/>
      <c r="R989" s="456"/>
    </row>
    <row r="990" spans="1:18" ht="9.75" customHeight="1" x14ac:dyDescent="0.25">
      <c r="A990" s="456"/>
      <c r="B990" s="456"/>
      <c r="C990" s="456"/>
      <c r="D990" s="456"/>
      <c r="E990" s="456"/>
      <c r="F990" s="456"/>
      <c r="G990" s="456"/>
      <c r="H990" s="456"/>
      <c r="I990" s="456"/>
      <c r="J990" s="456"/>
      <c r="K990" s="456"/>
      <c r="L990" s="456"/>
      <c r="M990" s="456"/>
      <c r="N990" s="456"/>
      <c r="O990" s="456"/>
      <c r="P990" s="456"/>
      <c r="Q990" s="456"/>
      <c r="R990" s="456"/>
    </row>
    <row r="991" spans="1:18" ht="9.75" customHeight="1" x14ac:dyDescent="0.25">
      <c r="A991" s="456"/>
      <c r="B991" s="456"/>
      <c r="C991" s="456"/>
      <c r="D991" s="456"/>
      <c r="E991" s="456"/>
      <c r="F991" s="456"/>
      <c r="G991" s="456"/>
      <c r="H991" s="456"/>
      <c r="I991" s="456"/>
      <c r="J991" s="456"/>
      <c r="K991" s="456"/>
      <c r="L991" s="456"/>
      <c r="M991" s="456"/>
      <c r="N991" s="456"/>
      <c r="O991" s="456"/>
      <c r="P991" s="456"/>
      <c r="Q991" s="456"/>
      <c r="R991" s="456"/>
    </row>
    <row r="992" spans="1:18" ht="9.75" customHeight="1" x14ac:dyDescent="0.25">
      <c r="A992" s="456"/>
      <c r="B992" s="456"/>
      <c r="C992" s="456"/>
      <c r="D992" s="456"/>
      <c r="E992" s="456"/>
      <c r="F992" s="456"/>
      <c r="G992" s="456"/>
      <c r="H992" s="456"/>
      <c r="I992" s="456"/>
      <c r="J992" s="456"/>
      <c r="K992" s="456"/>
      <c r="L992" s="456"/>
      <c r="M992" s="456"/>
      <c r="N992" s="456"/>
      <c r="O992" s="456"/>
      <c r="P992" s="456"/>
      <c r="Q992" s="456"/>
      <c r="R992" s="456"/>
    </row>
    <row r="993" spans="1:18" ht="9.75" customHeight="1" x14ac:dyDescent="0.25">
      <c r="A993" s="456"/>
      <c r="B993" s="456"/>
      <c r="C993" s="456"/>
      <c r="D993" s="456"/>
      <c r="E993" s="456"/>
      <c r="F993" s="456"/>
      <c r="G993" s="456"/>
      <c r="H993" s="456"/>
      <c r="I993" s="456"/>
      <c r="J993" s="456"/>
      <c r="K993" s="456"/>
      <c r="L993" s="456"/>
      <c r="M993" s="456"/>
      <c r="N993" s="456"/>
      <c r="O993" s="456"/>
      <c r="P993" s="456"/>
      <c r="Q993" s="456"/>
      <c r="R993" s="456"/>
    </row>
    <row r="994" spans="1:18" ht="9.75" customHeight="1" x14ac:dyDescent="0.25">
      <c r="A994" s="456"/>
      <c r="B994" s="456"/>
      <c r="C994" s="456"/>
      <c r="D994" s="456"/>
      <c r="E994" s="456"/>
      <c r="F994" s="456"/>
      <c r="G994" s="456"/>
      <c r="H994" s="456"/>
      <c r="I994" s="456"/>
      <c r="J994" s="456"/>
      <c r="K994" s="456"/>
      <c r="L994" s="456"/>
      <c r="M994" s="456"/>
      <c r="N994" s="456"/>
      <c r="O994" s="456"/>
      <c r="P994" s="456"/>
      <c r="Q994" s="456"/>
      <c r="R994" s="456"/>
    </row>
    <row r="995" spans="1:18" ht="9.75" customHeight="1" x14ac:dyDescent="0.25">
      <c r="A995" s="456"/>
      <c r="B995" s="456"/>
      <c r="C995" s="456"/>
      <c r="D995" s="456"/>
      <c r="E995" s="456"/>
      <c r="F995" s="456"/>
      <c r="G995" s="456"/>
      <c r="H995" s="456"/>
      <c r="I995" s="456"/>
      <c r="J995" s="456"/>
      <c r="K995" s="456"/>
      <c r="L995" s="456"/>
      <c r="M995" s="456"/>
      <c r="N995" s="456"/>
      <c r="O995" s="456"/>
      <c r="P995" s="456"/>
      <c r="Q995" s="456"/>
      <c r="R995" s="456"/>
    </row>
    <row r="996" spans="1:18" ht="9.75" customHeight="1" x14ac:dyDescent="0.25">
      <c r="A996" s="456"/>
      <c r="B996" s="456"/>
      <c r="C996" s="456"/>
      <c r="D996" s="456"/>
      <c r="E996" s="456"/>
      <c r="F996" s="456"/>
      <c r="G996" s="456"/>
      <c r="H996" s="456"/>
      <c r="I996" s="456"/>
      <c r="J996" s="456"/>
      <c r="K996" s="456"/>
      <c r="L996" s="456"/>
      <c r="M996" s="456"/>
      <c r="N996" s="456"/>
      <c r="O996" s="456"/>
      <c r="P996" s="456"/>
      <c r="Q996" s="456"/>
      <c r="R996" s="456"/>
    </row>
    <row r="997" spans="1:18" ht="9.75" customHeight="1" x14ac:dyDescent="0.25">
      <c r="A997" s="456"/>
      <c r="B997" s="456"/>
      <c r="C997" s="456"/>
      <c r="D997" s="456"/>
      <c r="E997" s="456"/>
      <c r="F997" s="456"/>
      <c r="G997" s="456"/>
      <c r="H997" s="456"/>
      <c r="I997" s="456"/>
      <c r="J997" s="456"/>
      <c r="K997" s="456"/>
      <c r="L997" s="456"/>
      <c r="M997" s="456"/>
      <c r="N997" s="456"/>
      <c r="O997" s="456"/>
      <c r="P997" s="456"/>
      <c r="Q997" s="456"/>
      <c r="R997" s="456"/>
    </row>
    <row r="998" spans="1:18" ht="9.75" customHeight="1" x14ac:dyDescent="0.25">
      <c r="A998" s="456"/>
      <c r="B998" s="456"/>
      <c r="C998" s="456"/>
      <c r="D998" s="456"/>
      <c r="E998" s="456"/>
      <c r="F998" s="456"/>
      <c r="G998" s="456"/>
      <c r="H998" s="456"/>
      <c r="I998" s="456"/>
      <c r="J998" s="456"/>
      <c r="K998" s="456"/>
      <c r="L998" s="456"/>
      <c r="M998" s="456"/>
      <c r="N998" s="456"/>
      <c r="O998" s="456"/>
      <c r="P998" s="456"/>
      <c r="Q998" s="456"/>
      <c r="R998" s="456"/>
    </row>
    <row r="999" spans="1:18" ht="9.75" customHeight="1" x14ac:dyDescent="0.25">
      <c r="A999" s="456"/>
      <c r="B999" s="456"/>
      <c r="C999" s="456"/>
      <c r="D999" s="456"/>
      <c r="E999" s="456"/>
      <c r="F999" s="456"/>
      <c r="G999" s="456"/>
      <c r="H999" s="456"/>
      <c r="I999" s="456"/>
      <c r="J999" s="456"/>
      <c r="K999" s="456"/>
      <c r="L999" s="456"/>
      <c r="M999" s="456"/>
      <c r="N999" s="456"/>
      <c r="O999" s="456"/>
      <c r="P999" s="456"/>
      <c r="Q999" s="456"/>
      <c r="R999" s="456"/>
    </row>
    <row r="1000" spans="1:18" ht="9.75" customHeight="1" x14ac:dyDescent="0.25">
      <c r="A1000" s="456"/>
      <c r="B1000" s="456"/>
      <c r="C1000" s="456"/>
      <c r="D1000" s="456"/>
      <c r="E1000" s="456"/>
      <c r="F1000" s="456"/>
      <c r="G1000" s="456"/>
      <c r="H1000" s="456"/>
      <c r="I1000" s="456"/>
      <c r="J1000" s="456"/>
      <c r="K1000" s="456"/>
      <c r="L1000" s="456"/>
      <c r="M1000" s="456"/>
      <c r="N1000" s="456"/>
      <c r="O1000" s="456"/>
      <c r="P1000" s="456"/>
      <c r="Q1000" s="456"/>
      <c r="R1000" s="456"/>
    </row>
    <row r="1001" spans="1:18" ht="9.75" customHeight="1" x14ac:dyDescent="0.25">
      <c r="A1001" s="456"/>
      <c r="B1001" s="456"/>
      <c r="C1001" s="456"/>
      <c r="D1001" s="456"/>
      <c r="E1001" s="456"/>
      <c r="F1001" s="456"/>
      <c r="G1001" s="456"/>
      <c r="H1001" s="456"/>
      <c r="I1001" s="456"/>
      <c r="J1001" s="456"/>
      <c r="K1001" s="456"/>
      <c r="L1001" s="456"/>
      <c r="M1001" s="456"/>
      <c r="N1001" s="456"/>
      <c r="O1001" s="456"/>
      <c r="P1001" s="456"/>
      <c r="Q1001" s="456"/>
      <c r="R1001" s="456"/>
    </row>
    <row r="1002" spans="1:18" ht="9.75" customHeight="1" x14ac:dyDescent="0.25">
      <c r="A1002" s="456"/>
      <c r="B1002" s="456"/>
      <c r="C1002" s="456"/>
      <c r="D1002" s="456"/>
      <c r="E1002" s="456"/>
      <c r="F1002" s="456"/>
      <c r="G1002" s="456"/>
      <c r="H1002" s="456"/>
      <c r="I1002" s="456"/>
      <c r="J1002" s="456"/>
      <c r="K1002" s="456"/>
      <c r="L1002" s="456"/>
      <c r="M1002" s="456"/>
      <c r="N1002" s="456"/>
      <c r="O1002" s="456"/>
      <c r="P1002" s="456"/>
      <c r="Q1002" s="456"/>
      <c r="R1002" s="456"/>
    </row>
    <row r="1003" spans="1:18" ht="9.75" customHeight="1" x14ac:dyDescent="0.25">
      <c r="A1003" s="456"/>
      <c r="B1003" s="456"/>
      <c r="C1003" s="456"/>
      <c r="D1003" s="456"/>
      <c r="E1003" s="456"/>
      <c r="F1003" s="456"/>
      <c r="G1003" s="456"/>
      <c r="H1003" s="456"/>
      <c r="I1003" s="456"/>
      <c r="J1003" s="456"/>
      <c r="K1003" s="456"/>
      <c r="L1003" s="456"/>
      <c r="M1003" s="456"/>
      <c r="N1003" s="456"/>
      <c r="O1003" s="456"/>
      <c r="P1003" s="456"/>
      <c r="Q1003" s="456"/>
      <c r="R1003" s="456"/>
    </row>
    <row r="1004" spans="1:18" ht="9.75" customHeight="1" x14ac:dyDescent="0.25">
      <c r="A1004" s="456"/>
      <c r="B1004" s="456"/>
      <c r="C1004" s="456"/>
      <c r="D1004" s="456"/>
      <c r="E1004" s="456"/>
      <c r="F1004" s="456"/>
      <c r="G1004" s="456"/>
      <c r="H1004" s="456"/>
      <c r="I1004" s="456"/>
      <c r="J1004" s="456"/>
      <c r="K1004" s="456"/>
      <c r="L1004" s="456"/>
      <c r="M1004" s="456"/>
      <c r="N1004" s="456"/>
      <c r="O1004" s="456"/>
      <c r="P1004" s="456"/>
      <c r="Q1004" s="456"/>
      <c r="R1004" s="456"/>
    </row>
    <row r="1005" spans="1:18" ht="9.75" customHeight="1" x14ac:dyDescent="0.25">
      <c r="A1005" s="456"/>
      <c r="B1005" s="456"/>
      <c r="C1005" s="456"/>
      <c r="D1005" s="456"/>
      <c r="E1005" s="456"/>
      <c r="F1005" s="456"/>
      <c r="G1005" s="456"/>
      <c r="H1005" s="456"/>
      <c r="I1005" s="456"/>
      <c r="J1005" s="456"/>
      <c r="K1005" s="456"/>
      <c r="L1005" s="456"/>
      <c r="M1005" s="456"/>
      <c r="N1005" s="456"/>
      <c r="O1005" s="456"/>
      <c r="P1005" s="456"/>
      <c r="Q1005" s="456"/>
      <c r="R1005" s="456"/>
    </row>
    <row r="1006" spans="1:18" ht="9.75" customHeight="1" x14ac:dyDescent="0.25">
      <c r="A1006" s="456"/>
      <c r="B1006" s="456"/>
      <c r="C1006" s="456"/>
      <c r="D1006" s="456"/>
      <c r="E1006" s="456"/>
      <c r="F1006" s="456"/>
      <c r="G1006" s="456"/>
      <c r="H1006" s="456"/>
      <c r="I1006" s="456"/>
      <c r="J1006" s="456"/>
      <c r="K1006" s="456"/>
      <c r="L1006" s="456"/>
      <c r="M1006" s="456"/>
      <c r="N1006" s="456"/>
      <c r="O1006" s="456"/>
      <c r="P1006" s="456"/>
      <c r="Q1006" s="456"/>
      <c r="R1006" s="456"/>
    </row>
    <row r="1007" spans="1:18" ht="9.75" customHeight="1" x14ac:dyDescent="0.25">
      <c r="A1007" s="456"/>
      <c r="B1007" s="456"/>
      <c r="C1007" s="456"/>
      <c r="D1007" s="456"/>
      <c r="E1007" s="456"/>
      <c r="F1007" s="456"/>
      <c r="G1007" s="456"/>
      <c r="H1007" s="456"/>
      <c r="I1007" s="456"/>
      <c r="J1007" s="456"/>
      <c r="K1007" s="456"/>
      <c r="L1007" s="456"/>
      <c r="M1007" s="456"/>
      <c r="N1007" s="456"/>
      <c r="O1007" s="456"/>
      <c r="P1007" s="456"/>
      <c r="Q1007" s="456"/>
      <c r="R1007" s="456"/>
    </row>
    <row r="1008" spans="1:18" ht="9.75" customHeight="1" x14ac:dyDescent="0.25">
      <c r="A1008" s="456"/>
      <c r="B1008" s="456"/>
      <c r="C1008" s="456"/>
      <c r="D1008" s="456"/>
      <c r="E1008" s="456"/>
      <c r="F1008" s="456"/>
      <c r="G1008" s="456"/>
      <c r="H1008" s="456"/>
      <c r="I1008" s="456"/>
      <c r="J1008" s="456"/>
      <c r="K1008" s="456"/>
      <c r="L1008" s="456"/>
      <c r="M1008" s="456"/>
      <c r="N1008" s="456"/>
      <c r="O1008" s="456"/>
      <c r="P1008" s="456"/>
      <c r="Q1008" s="456"/>
      <c r="R1008" s="456"/>
    </row>
    <row r="1009" spans="1:18" ht="9.75" customHeight="1" x14ac:dyDescent="0.25">
      <c r="A1009" s="456"/>
      <c r="B1009" s="456"/>
      <c r="C1009" s="456"/>
      <c r="D1009" s="456"/>
      <c r="E1009" s="456"/>
      <c r="F1009" s="456"/>
      <c r="G1009" s="456"/>
      <c r="H1009" s="456"/>
      <c r="I1009" s="456"/>
      <c r="J1009" s="456"/>
      <c r="K1009" s="456"/>
      <c r="L1009" s="456"/>
      <c r="M1009" s="456"/>
      <c r="N1009" s="456"/>
      <c r="O1009" s="456"/>
      <c r="P1009" s="456"/>
      <c r="Q1009" s="456"/>
      <c r="R1009" s="456"/>
    </row>
    <row r="1010" spans="1:18" ht="9.75" customHeight="1" x14ac:dyDescent="0.25">
      <c r="A1010" s="456"/>
      <c r="B1010" s="456"/>
      <c r="C1010" s="456"/>
      <c r="D1010" s="456"/>
      <c r="E1010" s="456"/>
      <c r="F1010" s="456"/>
      <c r="G1010" s="456"/>
      <c r="H1010" s="456"/>
      <c r="I1010" s="456"/>
      <c r="J1010" s="456"/>
      <c r="K1010" s="456"/>
      <c r="L1010" s="456"/>
      <c r="M1010" s="456"/>
      <c r="N1010" s="456"/>
      <c r="O1010" s="456"/>
      <c r="P1010" s="456"/>
      <c r="Q1010" s="456"/>
      <c r="R1010" s="456"/>
    </row>
    <row r="1011" spans="1:18" ht="9.75" customHeight="1" x14ac:dyDescent="0.25">
      <c r="A1011" s="456"/>
      <c r="B1011" s="456"/>
      <c r="C1011" s="456"/>
      <c r="D1011" s="456"/>
      <c r="E1011" s="456"/>
      <c r="F1011" s="456"/>
      <c r="G1011" s="456"/>
      <c r="H1011" s="456"/>
      <c r="I1011" s="456"/>
      <c r="J1011" s="456"/>
      <c r="K1011" s="456"/>
      <c r="L1011" s="456"/>
      <c r="M1011" s="456"/>
      <c r="N1011" s="456"/>
      <c r="O1011" s="456"/>
      <c r="P1011" s="456"/>
      <c r="Q1011" s="456"/>
      <c r="R1011" s="456"/>
    </row>
    <row r="1012" spans="1:18" ht="9.75" customHeight="1" x14ac:dyDescent="0.25">
      <c r="A1012" s="456"/>
      <c r="B1012" s="456"/>
      <c r="C1012" s="456"/>
      <c r="D1012" s="456"/>
      <c r="E1012" s="456"/>
      <c r="F1012" s="456"/>
      <c r="G1012" s="456"/>
      <c r="H1012" s="456"/>
      <c r="I1012" s="456"/>
      <c r="J1012" s="456"/>
      <c r="K1012" s="456"/>
      <c r="L1012" s="456"/>
      <c r="M1012" s="456"/>
      <c r="N1012" s="456"/>
      <c r="O1012" s="456"/>
      <c r="P1012" s="456"/>
      <c r="Q1012" s="456"/>
      <c r="R1012" s="456"/>
    </row>
    <row r="1013" spans="1:18" ht="9.75" customHeight="1" x14ac:dyDescent="0.25">
      <c r="A1013" s="456"/>
      <c r="B1013" s="456"/>
      <c r="C1013" s="456"/>
      <c r="D1013" s="456"/>
      <c r="E1013" s="456"/>
      <c r="F1013" s="456"/>
      <c r="G1013" s="456"/>
      <c r="H1013" s="456"/>
      <c r="I1013" s="456"/>
      <c r="J1013" s="456"/>
      <c r="K1013" s="456"/>
      <c r="L1013" s="456"/>
      <c r="M1013" s="456"/>
      <c r="N1013" s="456"/>
      <c r="O1013" s="456"/>
      <c r="P1013" s="456"/>
      <c r="Q1013" s="456"/>
      <c r="R1013" s="456"/>
    </row>
    <row r="1014" spans="1:18" ht="9.75" customHeight="1" x14ac:dyDescent="0.25">
      <c r="A1014" s="456"/>
      <c r="B1014" s="456"/>
      <c r="C1014" s="456"/>
      <c r="D1014" s="456"/>
      <c r="E1014" s="456"/>
      <c r="F1014" s="456"/>
      <c r="G1014" s="456"/>
      <c r="H1014" s="456"/>
      <c r="I1014" s="456"/>
      <c r="J1014" s="456"/>
      <c r="K1014" s="456"/>
      <c r="L1014" s="456"/>
      <c r="M1014" s="456"/>
      <c r="N1014" s="456"/>
      <c r="O1014" s="456"/>
      <c r="P1014" s="456"/>
      <c r="Q1014" s="456"/>
      <c r="R1014" s="456"/>
    </row>
    <row r="1015" spans="1:18" ht="9.75" customHeight="1" x14ac:dyDescent="0.25">
      <c r="A1015" s="456"/>
      <c r="B1015" s="456"/>
      <c r="C1015" s="456"/>
      <c r="D1015" s="456"/>
      <c r="E1015" s="456"/>
      <c r="F1015" s="456"/>
      <c r="G1015" s="456"/>
      <c r="H1015" s="456"/>
      <c r="I1015" s="456"/>
      <c r="J1015" s="456"/>
      <c r="K1015" s="456"/>
      <c r="L1015" s="456"/>
      <c r="M1015" s="456"/>
      <c r="N1015" s="456"/>
      <c r="O1015" s="456"/>
      <c r="P1015" s="456"/>
      <c r="Q1015" s="456"/>
      <c r="R1015" s="456"/>
    </row>
    <row r="1016" spans="1:18" ht="9.75" customHeight="1" x14ac:dyDescent="0.25">
      <c r="A1016" s="456"/>
      <c r="B1016" s="456"/>
      <c r="C1016" s="456"/>
      <c r="D1016" s="456"/>
      <c r="E1016" s="456"/>
      <c r="F1016" s="456"/>
      <c r="G1016" s="456"/>
      <c r="H1016" s="456"/>
      <c r="I1016" s="456"/>
      <c r="J1016" s="456"/>
      <c r="K1016" s="456"/>
      <c r="L1016" s="456"/>
      <c r="M1016" s="456"/>
      <c r="N1016" s="456"/>
      <c r="O1016" s="456"/>
      <c r="P1016" s="456"/>
      <c r="Q1016" s="456"/>
      <c r="R1016" s="456"/>
    </row>
    <row r="1017" spans="1:18" ht="9.75" customHeight="1" x14ac:dyDescent="0.25">
      <c r="A1017" s="456"/>
      <c r="B1017" s="456"/>
      <c r="C1017" s="456"/>
      <c r="D1017" s="456"/>
      <c r="E1017" s="456"/>
      <c r="F1017" s="456"/>
      <c r="G1017" s="456"/>
      <c r="H1017" s="456"/>
      <c r="I1017" s="456"/>
      <c r="J1017" s="456"/>
      <c r="K1017" s="456"/>
      <c r="L1017" s="456"/>
      <c r="M1017" s="456"/>
      <c r="N1017" s="456"/>
      <c r="O1017" s="456"/>
      <c r="P1017" s="456"/>
      <c r="Q1017" s="456"/>
      <c r="R1017" s="456"/>
    </row>
    <row r="1018" spans="1:18" ht="9.75" customHeight="1" x14ac:dyDescent="0.25">
      <c r="A1018" s="456"/>
      <c r="B1018" s="456"/>
      <c r="C1018" s="456"/>
      <c r="D1018" s="456"/>
      <c r="E1018" s="456"/>
      <c r="F1018" s="456"/>
      <c r="G1018" s="456"/>
      <c r="H1018" s="456"/>
      <c r="I1018" s="456"/>
      <c r="J1018" s="456"/>
      <c r="K1018" s="456"/>
      <c r="L1018" s="456"/>
      <c r="M1018" s="456"/>
      <c r="N1018" s="456"/>
      <c r="O1018" s="456"/>
      <c r="P1018" s="456"/>
      <c r="Q1018" s="456"/>
      <c r="R1018" s="456"/>
    </row>
    <row r="1019" spans="1:18" ht="9.75" customHeight="1" x14ac:dyDescent="0.25">
      <c r="A1019" s="456"/>
      <c r="B1019" s="456"/>
      <c r="C1019" s="456"/>
      <c r="D1019" s="456"/>
      <c r="E1019" s="456"/>
      <c r="F1019" s="456"/>
      <c r="G1019" s="456"/>
      <c r="H1019" s="456"/>
      <c r="I1019" s="456"/>
      <c r="J1019" s="456"/>
      <c r="K1019" s="456"/>
      <c r="L1019" s="456"/>
      <c r="M1019" s="456"/>
      <c r="N1019" s="456"/>
      <c r="O1019" s="456"/>
      <c r="P1019" s="456"/>
      <c r="Q1019" s="456"/>
      <c r="R1019" s="456"/>
    </row>
    <row r="1020" spans="1:18" ht="9.75" customHeight="1" x14ac:dyDescent="0.25">
      <c r="A1020" s="456"/>
      <c r="B1020" s="456"/>
      <c r="C1020" s="456"/>
      <c r="D1020" s="456"/>
      <c r="E1020" s="456"/>
      <c r="F1020" s="456"/>
      <c r="G1020" s="456"/>
      <c r="H1020" s="456"/>
      <c r="I1020" s="456"/>
      <c r="J1020" s="456"/>
      <c r="K1020" s="456"/>
      <c r="L1020" s="456"/>
      <c r="M1020" s="456"/>
      <c r="N1020" s="456"/>
      <c r="O1020" s="456"/>
      <c r="P1020" s="456"/>
      <c r="Q1020" s="456"/>
      <c r="R1020" s="456"/>
    </row>
    <row r="1021" spans="1:18" ht="9.75" customHeight="1" x14ac:dyDescent="0.25">
      <c r="A1021" s="456"/>
      <c r="B1021" s="456"/>
      <c r="C1021" s="456"/>
      <c r="D1021" s="456"/>
      <c r="E1021" s="456"/>
      <c r="F1021" s="456"/>
      <c r="G1021" s="456"/>
      <c r="H1021" s="456"/>
      <c r="I1021" s="456"/>
      <c r="J1021" s="456"/>
      <c r="K1021" s="456"/>
      <c r="L1021" s="456"/>
      <c r="M1021" s="456"/>
      <c r="N1021" s="456"/>
      <c r="O1021" s="456"/>
      <c r="P1021" s="456"/>
      <c r="Q1021" s="456"/>
      <c r="R1021" s="456"/>
    </row>
    <row r="1022" spans="1:18" ht="9.75" customHeight="1" x14ac:dyDescent="0.25">
      <c r="A1022" s="456"/>
      <c r="B1022" s="456"/>
      <c r="C1022" s="456"/>
      <c r="D1022" s="456"/>
      <c r="E1022" s="456"/>
      <c r="F1022" s="456"/>
      <c r="G1022" s="456"/>
      <c r="H1022" s="456"/>
      <c r="I1022" s="456"/>
      <c r="J1022" s="456"/>
      <c r="K1022" s="456"/>
      <c r="L1022" s="456"/>
      <c r="M1022" s="456"/>
      <c r="N1022" s="456"/>
      <c r="O1022" s="456"/>
      <c r="P1022" s="456"/>
      <c r="Q1022" s="456"/>
      <c r="R1022" s="456"/>
    </row>
    <row r="1023" spans="1:18" ht="9.75" customHeight="1" x14ac:dyDescent="0.25">
      <c r="A1023" s="456"/>
      <c r="B1023" s="456"/>
      <c r="C1023" s="456"/>
      <c r="D1023" s="456"/>
      <c r="E1023" s="456"/>
      <c r="F1023" s="456"/>
      <c r="G1023" s="456"/>
      <c r="H1023" s="456"/>
      <c r="I1023" s="456"/>
      <c r="J1023" s="456"/>
      <c r="K1023" s="456"/>
      <c r="L1023" s="456"/>
      <c r="M1023" s="456"/>
      <c r="N1023" s="456"/>
      <c r="O1023" s="456"/>
      <c r="P1023" s="456"/>
      <c r="Q1023" s="456"/>
      <c r="R1023" s="456"/>
    </row>
    <row r="1024" spans="1:18" ht="9.75" customHeight="1" x14ac:dyDescent="0.25">
      <c r="A1024" s="456"/>
      <c r="B1024" s="456"/>
      <c r="C1024" s="456"/>
      <c r="D1024" s="456"/>
      <c r="E1024" s="456"/>
      <c r="F1024" s="456"/>
      <c r="G1024" s="456"/>
      <c r="H1024" s="456"/>
      <c r="I1024" s="456"/>
      <c r="J1024" s="456"/>
      <c r="K1024" s="456"/>
      <c r="L1024" s="456"/>
      <c r="M1024" s="456"/>
      <c r="N1024" s="456"/>
      <c r="O1024" s="456"/>
      <c r="P1024" s="456"/>
      <c r="Q1024" s="456"/>
      <c r="R1024" s="456"/>
    </row>
    <row r="1025" spans="1:18" ht="9.75" customHeight="1" x14ac:dyDescent="0.25">
      <c r="A1025" s="456"/>
      <c r="B1025" s="456"/>
      <c r="C1025" s="456"/>
      <c r="D1025" s="456"/>
      <c r="E1025" s="456"/>
      <c r="F1025" s="456"/>
      <c r="G1025" s="456"/>
      <c r="H1025" s="456"/>
      <c r="I1025" s="456"/>
      <c r="J1025" s="456"/>
      <c r="K1025" s="456"/>
      <c r="L1025" s="456"/>
      <c r="M1025" s="456"/>
      <c r="N1025" s="456"/>
      <c r="O1025" s="456"/>
      <c r="P1025" s="456"/>
      <c r="Q1025" s="456"/>
      <c r="R1025" s="456"/>
    </row>
    <row r="1026" spans="1:18" ht="9.75" customHeight="1" x14ac:dyDescent="0.25">
      <c r="A1026" s="456"/>
      <c r="B1026" s="456"/>
      <c r="C1026" s="456"/>
      <c r="D1026" s="456"/>
      <c r="E1026" s="456"/>
      <c r="F1026" s="456"/>
      <c r="G1026" s="456"/>
      <c r="H1026" s="456"/>
      <c r="I1026" s="456"/>
      <c r="J1026" s="456"/>
      <c r="K1026" s="456"/>
      <c r="L1026" s="456"/>
      <c r="M1026" s="456"/>
      <c r="N1026" s="456"/>
      <c r="O1026" s="456"/>
      <c r="P1026" s="456"/>
      <c r="Q1026" s="456"/>
      <c r="R1026" s="456"/>
    </row>
    <row r="1027" spans="1:18" ht="9.75" customHeight="1" x14ac:dyDescent="0.25">
      <c r="A1027" s="456"/>
      <c r="B1027" s="456"/>
      <c r="C1027" s="456"/>
      <c r="D1027" s="456"/>
      <c r="E1027" s="456"/>
      <c r="F1027" s="456"/>
      <c r="G1027" s="456"/>
      <c r="H1027" s="456"/>
      <c r="I1027" s="456"/>
      <c r="J1027" s="456"/>
      <c r="K1027" s="456"/>
      <c r="L1027" s="456"/>
      <c r="M1027" s="456"/>
      <c r="N1027" s="456"/>
      <c r="O1027" s="456"/>
      <c r="P1027" s="456"/>
      <c r="Q1027" s="456"/>
      <c r="R1027" s="456"/>
    </row>
    <row r="1028" spans="1:18" ht="9.75" customHeight="1" x14ac:dyDescent="0.25">
      <c r="A1028" s="456"/>
      <c r="B1028" s="456"/>
      <c r="C1028" s="456"/>
      <c r="D1028" s="456"/>
      <c r="E1028" s="456"/>
      <c r="F1028" s="456"/>
      <c r="G1028" s="456"/>
      <c r="H1028" s="456"/>
      <c r="I1028" s="456"/>
      <c r="J1028" s="456"/>
      <c r="K1028" s="456"/>
      <c r="L1028" s="456"/>
      <c r="M1028" s="456"/>
      <c r="N1028" s="456"/>
      <c r="O1028" s="456"/>
      <c r="P1028" s="456"/>
      <c r="Q1028" s="456"/>
      <c r="R1028" s="456"/>
    </row>
    <row r="1029" spans="1:18" ht="9.75" customHeight="1" x14ac:dyDescent="0.25">
      <c r="A1029" s="456"/>
      <c r="B1029" s="456"/>
      <c r="C1029" s="456"/>
      <c r="D1029" s="456"/>
      <c r="E1029" s="456"/>
      <c r="F1029" s="456"/>
      <c r="G1029" s="456"/>
      <c r="H1029" s="456"/>
      <c r="I1029" s="456"/>
      <c r="J1029" s="456"/>
      <c r="K1029" s="456"/>
      <c r="L1029" s="456"/>
      <c r="M1029" s="456"/>
      <c r="N1029" s="456"/>
      <c r="O1029" s="456"/>
      <c r="P1029" s="456"/>
      <c r="Q1029" s="456"/>
      <c r="R1029" s="456"/>
    </row>
    <row r="1030" spans="1:18" ht="9.75" customHeight="1" x14ac:dyDescent="0.25">
      <c r="A1030" s="456"/>
      <c r="B1030" s="456"/>
      <c r="C1030" s="456"/>
      <c r="D1030" s="456"/>
      <c r="E1030" s="456"/>
      <c r="F1030" s="456"/>
      <c r="G1030" s="456"/>
      <c r="H1030" s="456"/>
      <c r="I1030" s="456"/>
      <c r="J1030" s="456"/>
      <c r="K1030" s="456"/>
      <c r="L1030" s="456"/>
      <c r="M1030" s="456"/>
      <c r="N1030" s="456"/>
      <c r="O1030" s="456"/>
      <c r="P1030" s="456"/>
      <c r="Q1030" s="456"/>
      <c r="R1030" s="456"/>
    </row>
    <row r="1031" spans="1:18" ht="9.75" customHeight="1" x14ac:dyDescent="0.25">
      <c r="A1031" s="456"/>
      <c r="B1031" s="456"/>
      <c r="C1031" s="456"/>
      <c r="D1031" s="456"/>
      <c r="E1031" s="456"/>
      <c r="F1031" s="456"/>
      <c r="G1031" s="456"/>
      <c r="H1031" s="456"/>
      <c r="I1031" s="456"/>
      <c r="J1031" s="456"/>
      <c r="K1031" s="456"/>
      <c r="L1031" s="456"/>
      <c r="M1031" s="456"/>
      <c r="N1031" s="456"/>
      <c r="O1031" s="456"/>
      <c r="P1031" s="456"/>
      <c r="Q1031" s="456"/>
      <c r="R1031" s="456"/>
    </row>
    <row r="1032" spans="1:18" ht="9.75" customHeight="1" x14ac:dyDescent="0.25">
      <c r="A1032" s="456"/>
      <c r="B1032" s="456"/>
      <c r="C1032" s="456"/>
      <c r="D1032" s="456"/>
      <c r="E1032" s="456"/>
      <c r="F1032" s="456"/>
      <c r="G1032" s="456"/>
      <c r="H1032" s="456"/>
      <c r="I1032" s="456"/>
      <c r="J1032" s="456"/>
      <c r="K1032" s="456"/>
      <c r="L1032" s="456"/>
      <c r="M1032" s="456"/>
      <c r="N1032" s="456"/>
      <c r="O1032" s="456"/>
      <c r="P1032" s="456"/>
      <c r="Q1032" s="456"/>
      <c r="R1032" s="456"/>
    </row>
    <row r="1033" spans="1:18" ht="9.75" customHeight="1" x14ac:dyDescent="0.25">
      <c r="A1033" s="456"/>
      <c r="B1033" s="456"/>
      <c r="C1033" s="456"/>
      <c r="D1033" s="456"/>
      <c r="E1033" s="456"/>
      <c r="F1033" s="456"/>
      <c r="G1033" s="456"/>
      <c r="H1033" s="456"/>
      <c r="I1033" s="456"/>
      <c r="J1033" s="456"/>
      <c r="K1033" s="456"/>
      <c r="L1033" s="456"/>
      <c r="M1033" s="456"/>
      <c r="N1033" s="456"/>
      <c r="O1033" s="456"/>
      <c r="P1033" s="456"/>
      <c r="Q1033" s="456"/>
      <c r="R1033" s="456"/>
    </row>
    <row r="1034" spans="1:18" ht="9.75" customHeight="1" x14ac:dyDescent="0.25">
      <c r="A1034" s="456"/>
      <c r="B1034" s="456"/>
      <c r="C1034" s="456"/>
      <c r="D1034" s="456"/>
      <c r="E1034" s="456"/>
      <c r="F1034" s="456"/>
      <c r="G1034" s="456"/>
      <c r="H1034" s="456"/>
      <c r="I1034" s="456"/>
      <c r="J1034" s="456"/>
      <c r="K1034" s="456"/>
      <c r="L1034" s="456"/>
      <c r="M1034" s="456"/>
      <c r="N1034" s="456"/>
      <c r="O1034" s="456"/>
      <c r="P1034" s="456"/>
      <c r="Q1034" s="456"/>
      <c r="R1034" s="456"/>
    </row>
    <row r="1035" spans="1:18" ht="9.75" customHeight="1" x14ac:dyDescent="0.25">
      <c r="A1035" s="456"/>
      <c r="B1035" s="456"/>
      <c r="C1035" s="456"/>
      <c r="D1035" s="456"/>
      <c r="E1035" s="456"/>
      <c r="F1035" s="456"/>
      <c r="G1035" s="456"/>
      <c r="H1035" s="456"/>
      <c r="I1035" s="456"/>
      <c r="J1035" s="456"/>
      <c r="K1035" s="456"/>
      <c r="L1035" s="456"/>
      <c r="M1035" s="456"/>
      <c r="N1035" s="456"/>
      <c r="O1035" s="456"/>
      <c r="P1035" s="456"/>
      <c r="Q1035" s="456"/>
      <c r="R1035" s="456"/>
    </row>
    <row r="1036" spans="1:18" ht="9.75" customHeight="1" x14ac:dyDescent="0.25">
      <c r="A1036" s="456"/>
      <c r="B1036" s="456"/>
      <c r="C1036" s="456"/>
      <c r="D1036" s="456"/>
      <c r="E1036" s="456"/>
      <c r="F1036" s="456"/>
      <c r="G1036" s="456"/>
      <c r="H1036" s="456"/>
      <c r="I1036" s="456"/>
      <c r="J1036" s="456"/>
      <c r="K1036" s="456"/>
      <c r="L1036" s="456"/>
      <c r="M1036" s="456"/>
      <c r="N1036" s="456"/>
      <c r="O1036" s="456"/>
      <c r="P1036" s="456"/>
      <c r="Q1036" s="456"/>
      <c r="R1036" s="456"/>
    </row>
    <row r="1037" spans="1:18" ht="9.75" customHeight="1" x14ac:dyDescent="0.25">
      <c r="A1037" s="456"/>
      <c r="B1037" s="456"/>
      <c r="C1037" s="456"/>
      <c r="D1037" s="456"/>
      <c r="E1037" s="456"/>
      <c r="F1037" s="456"/>
      <c r="G1037" s="456"/>
      <c r="H1037" s="456"/>
      <c r="I1037" s="456"/>
      <c r="J1037" s="456"/>
      <c r="K1037" s="456"/>
      <c r="L1037" s="456"/>
      <c r="M1037" s="456"/>
      <c r="N1037" s="456"/>
      <c r="O1037" s="456"/>
      <c r="P1037" s="456"/>
      <c r="Q1037" s="456"/>
      <c r="R1037" s="456"/>
    </row>
    <row r="1038" spans="1:18" ht="9.75" customHeight="1" x14ac:dyDescent="0.25">
      <c r="A1038" s="456"/>
      <c r="B1038" s="456"/>
      <c r="C1038" s="456"/>
      <c r="D1038" s="456"/>
      <c r="E1038" s="456"/>
      <c r="F1038" s="456"/>
      <c r="G1038" s="456"/>
      <c r="H1038" s="456"/>
      <c r="I1038" s="456"/>
      <c r="J1038" s="456"/>
      <c r="K1038" s="456"/>
      <c r="L1038" s="456"/>
      <c r="M1038" s="456"/>
      <c r="N1038" s="456"/>
      <c r="O1038" s="456"/>
      <c r="P1038" s="456"/>
      <c r="Q1038" s="456"/>
      <c r="R1038" s="456"/>
    </row>
    <row r="1039" spans="1:18" ht="9.75" customHeight="1" x14ac:dyDescent="0.25">
      <c r="A1039" s="456"/>
      <c r="B1039" s="456"/>
      <c r="C1039" s="456"/>
      <c r="D1039" s="456"/>
      <c r="E1039" s="456"/>
      <c r="F1039" s="456"/>
      <c r="G1039" s="456"/>
      <c r="H1039" s="456"/>
      <c r="I1039" s="456"/>
      <c r="J1039" s="456"/>
      <c r="K1039" s="456"/>
      <c r="L1039" s="456"/>
      <c r="M1039" s="456"/>
      <c r="N1039" s="456"/>
      <c r="O1039" s="456"/>
      <c r="P1039" s="456"/>
      <c r="Q1039" s="456"/>
      <c r="R1039" s="456"/>
    </row>
    <row r="1040" spans="1:18" ht="9.75" customHeight="1" x14ac:dyDescent="0.25">
      <c r="A1040" s="456"/>
      <c r="B1040" s="456"/>
      <c r="C1040" s="456"/>
      <c r="D1040" s="456"/>
      <c r="E1040" s="456"/>
      <c r="F1040" s="456"/>
      <c r="G1040" s="456"/>
      <c r="H1040" s="456"/>
      <c r="I1040" s="456"/>
      <c r="J1040" s="456"/>
      <c r="K1040" s="456"/>
      <c r="L1040" s="456"/>
      <c r="M1040" s="456"/>
      <c r="N1040" s="456"/>
      <c r="O1040" s="456"/>
      <c r="P1040" s="456"/>
      <c r="Q1040" s="456"/>
      <c r="R1040" s="456"/>
    </row>
    <row r="1041" spans="1:18" ht="9.75" customHeight="1" x14ac:dyDescent="0.25">
      <c r="A1041" s="456"/>
      <c r="B1041" s="456"/>
      <c r="C1041" s="456"/>
      <c r="D1041" s="456"/>
      <c r="E1041" s="456"/>
      <c r="F1041" s="456"/>
      <c r="G1041" s="456"/>
      <c r="H1041" s="456"/>
      <c r="I1041" s="456"/>
      <c r="J1041" s="456"/>
      <c r="K1041" s="456"/>
      <c r="L1041" s="456"/>
      <c r="M1041" s="456"/>
      <c r="N1041" s="456"/>
      <c r="O1041" s="456"/>
      <c r="P1041" s="456"/>
      <c r="Q1041" s="456"/>
      <c r="R1041" s="456"/>
    </row>
    <row r="1042" spans="1:18" ht="9.75" customHeight="1" x14ac:dyDescent="0.25">
      <c r="A1042" s="456"/>
      <c r="B1042" s="456"/>
      <c r="C1042" s="456"/>
      <c r="D1042" s="456"/>
      <c r="E1042" s="456"/>
      <c r="F1042" s="456"/>
      <c r="G1042" s="456"/>
      <c r="H1042" s="456"/>
      <c r="I1042" s="456"/>
      <c r="J1042" s="456"/>
      <c r="K1042" s="456"/>
      <c r="L1042" s="456"/>
      <c r="M1042" s="456"/>
      <c r="N1042" s="456"/>
      <c r="O1042" s="456"/>
      <c r="P1042" s="456"/>
      <c r="Q1042" s="456"/>
      <c r="R1042" s="456"/>
    </row>
    <row r="1043" spans="1:18" ht="9.75" customHeight="1" x14ac:dyDescent="0.25">
      <c r="A1043" s="456"/>
      <c r="B1043" s="456"/>
      <c r="C1043" s="456"/>
      <c r="D1043" s="456"/>
      <c r="E1043" s="456"/>
      <c r="F1043" s="456"/>
      <c r="G1043" s="456"/>
      <c r="H1043" s="456"/>
      <c r="I1043" s="456"/>
      <c r="J1043" s="456"/>
      <c r="K1043" s="456"/>
      <c r="L1043" s="456"/>
      <c r="M1043" s="456"/>
      <c r="N1043" s="456"/>
      <c r="O1043" s="456"/>
      <c r="P1043" s="456"/>
      <c r="Q1043" s="456"/>
      <c r="R1043" s="456"/>
    </row>
    <row r="1044" spans="1:18" ht="9.75" customHeight="1" x14ac:dyDescent="0.25">
      <c r="A1044" s="456"/>
      <c r="B1044" s="456"/>
      <c r="C1044" s="456"/>
      <c r="D1044" s="456"/>
      <c r="E1044" s="456"/>
      <c r="F1044" s="456"/>
      <c r="G1044" s="456"/>
      <c r="H1044" s="456"/>
      <c r="I1044" s="456"/>
      <c r="J1044" s="456"/>
      <c r="K1044" s="456"/>
      <c r="L1044" s="456"/>
      <c r="M1044" s="456"/>
      <c r="N1044" s="456"/>
      <c r="O1044" s="456"/>
      <c r="P1044" s="456"/>
      <c r="Q1044" s="456"/>
      <c r="R1044" s="456"/>
    </row>
    <row r="1045" spans="1:18" ht="9.75" customHeight="1" x14ac:dyDescent="0.25">
      <c r="A1045" s="456"/>
      <c r="B1045" s="456"/>
      <c r="C1045" s="456"/>
      <c r="D1045" s="456"/>
      <c r="E1045" s="456"/>
      <c r="F1045" s="456"/>
      <c r="G1045" s="456"/>
      <c r="H1045" s="456"/>
      <c r="I1045" s="456"/>
      <c r="J1045" s="456"/>
      <c r="K1045" s="456"/>
      <c r="L1045" s="456"/>
      <c r="M1045" s="456"/>
      <c r="N1045" s="456"/>
      <c r="O1045" s="456"/>
      <c r="P1045" s="456"/>
      <c r="Q1045" s="456"/>
      <c r="R1045" s="456"/>
    </row>
    <row r="1046" spans="1:18" ht="9.75" customHeight="1" x14ac:dyDescent="0.25">
      <c r="A1046" s="456"/>
      <c r="B1046" s="456"/>
      <c r="C1046" s="456"/>
      <c r="D1046" s="456"/>
      <c r="E1046" s="456"/>
      <c r="F1046" s="456"/>
      <c r="G1046" s="456"/>
      <c r="H1046" s="456"/>
      <c r="I1046" s="456"/>
      <c r="J1046" s="456"/>
      <c r="K1046" s="456"/>
      <c r="L1046" s="456"/>
      <c r="M1046" s="456"/>
      <c r="N1046" s="456"/>
      <c r="O1046" s="456"/>
      <c r="P1046" s="456"/>
      <c r="Q1046" s="456"/>
      <c r="R1046" s="456"/>
    </row>
    <row r="1047" spans="1:18" ht="9.75" customHeight="1" x14ac:dyDescent="0.25">
      <c r="A1047" s="456"/>
      <c r="B1047" s="456"/>
      <c r="C1047" s="456"/>
      <c r="D1047" s="456"/>
      <c r="E1047" s="456"/>
      <c r="F1047" s="456"/>
      <c r="G1047" s="456"/>
      <c r="H1047" s="456"/>
      <c r="I1047" s="456"/>
      <c r="J1047" s="456"/>
      <c r="K1047" s="456"/>
      <c r="L1047" s="456"/>
      <c r="M1047" s="456"/>
      <c r="N1047" s="456"/>
      <c r="O1047" s="456"/>
      <c r="P1047" s="456"/>
      <c r="Q1047" s="456"/>
      <c r="R1047" s="456"/>
    </row>
    <row r="1048" spans="1:18" ht="9.75" customHeight="1" x14ac:dyDescent="0.25">
      <c r="A1048" s="456"/>
      <c r="B1048" s="456"/>
      <c r="C1048" s="456"/>
      <c r="D1048" s="456"/>
      <c r="E1048" s="456"/>
      <c r="F1048" s="456"/>
      <c r="G1048" s="456"/>
      <c r="H1048" s="456"/>
      <c r="I1048" s="456"/>
      <c r="J1048" s="456"/>
      <c r="K1048" s="456"/>
      <c r="L1048" s="456"/>
      <c r="M1048" s="456"/>
      <c r="N1048" s="456"/>
      <c r="O1048" s="456"/>
      <c r="P1048" s="456"/>
      <c r="Q1048" s="456"/>
      <c r="R1048" s="456"/>
    </row>
    <row r="1049" spans="1:18" ht="9.75" customHeight="1" x14ac:dyDescent="0.25">
      <c r="A1049" s="456"/>
      <c r="B1049" s="456"/>
      <c r="C1049" s="456"/>
      <c r="D1049" s="456"/>
      <c r="E1049" s="456"/>
      <c r="F1049" s="456"/>
      <c r="G1049" s="456"/>
      <c r="H1049" s="456"/>
      <c r="I1049" s="456"/>
      <c r="J1049" s="456"/>
      <c r="K1049" s="456"/>
      <c r="L1049" s="456"/>
      <c r="M1049" s="456"/>
      <c r="N1049" s="456"/>
      <c r="O1049" s="456"/>
      <c r="P1049" s="456"/>
      <c r="Q1049" s="456"/>
      <c r="R1049" s="456"/>
    </row>
    <row r="1050" spans="1:18" ht="9.75" customHeight="1" x14ac:dyDescent="0.25">
      <c r="A1050" s="456"/>
      <c r="B1050" s="456"/>
      <c r="C1050" s="456"/>
      <c r="D1050" s="456"/>
      <c r="E1050" s="456"/>
      <c r="F1050" s="456"/>
      <c r="G1050" s="456"/>
      <c r="H1050" s="456"/>
      <c r="I1050" s="456"/>
      <c r="J1050" s="456"/>
      <c r="K1050" s="456"/>
      <c r="L1050" s="456"/>
      <c r="M1050" s="456"/>
      <c r="N1050" s="456"/>
      <c r="O1050" s="456"/>
      <c r="P1050" s="456"/>
      <c r="Q1050" s="456"/>
      <c r="R1050" s="456"/>
    </row>
    <row r="1051" spans="1:18" ht="9.75" customHeight="1" x14ac:dyDescent="0.25">
      <c r="A1051" s="456"/>
      <c r="B1051" s="456"/>
      <c r="C1051" s="456"/>
      <c r="D1051" s="456"/>
      <c r="E1051" s="456"/>
      <c r="F1051" s="456"/>
      <c r="G1051" s="456"/>
      <c r="H1051" s="456"/>
      <c r="I1051" s="456"/>
      <c r="J1051" s="456"/>
      <c r="K1051" s="456"/>
      <c r="L1051" s="456"/>
      <c r="M1051" s="456"/>
      <c r="N1051" s="456"/>
      <c r="O1051" s="456"/>
      <c r="P1051" s="456"/>
      <c r="Q1051" s="456"/>
      <c r="R1051" s="456"/>
    </row>
    <row r="1052" spans="1:18" ht="9.75" customHeight="1" x14ac:dyDescent="0.25">
      <c r="A1052" s="456"/>
      <c r="B1052" s="456"/>
      <c r="C1052" s="456"/>
      <c r="D1052" s="456"/>
      <c r="E1052" s="456"/>
      <c r="F1052" s="456"/>
      <c r="G1052" s="456"/>
      <c r="H1052" s="456"/>
      <c r="I1052" s="456"/>
      <c r="J1052" s="456"/>
      <c r="K1052" s="456"/>
      <c r="L1052" s="456"/>
      <c r="M1052" s="456"/>
      <c r="N1052" s="456"/>
      <c r="O1052" s="456"/>
      <c r="P1052" s="456"/>
      <c r="Q1052" s="456"/>
      <c r="R1052" s="456"/>
    </row>
    <row r="1053" spans="1:18" ht="9.75" customHeight="1" x14ac:dyDescent="0.25">
      <c r="A1053" s="456"/>
      <c r="B1053" s="456"/>
      <c r="C1053" s="456"/>
      <c r="D1053" s="456"/>
      <c r="E1053" s="456"/>
      <c r="F1053" s="456"/>
      <c r="G1053" s="456"/>
      <c r="H1053" s="456"/>
      <c r="I1053" s="456"/>
      <c r="J1053" s="456"/>
      <c r="K1053" s="456"/>
      <c r="L1053" s="456"/>
      <c r="M1053" s="456"/>
      <c r="N1053" s="456"/>
      <c r="O1053" s="456"/>
      <c r="P1053" s="456"/>
      <c r="Q1053" s="456"/>
      <c r="R1053" s="456"/>
    </row>
    <row r="1054" spans="1:18" ht="9.75" customHeight="1" x14ac:dyDescent="0.25">
      <c r="A1054" s="456"/>
      <c r="B1054" s="456"/>
      <c r="C1054" s="456"/>
      <c r="D1054" s="456"/>
      <c r="E1054" s="456"/>
      <c r="F1054" s="456"/>
      <c r="G1054" s="456"/>
      <c r="H1054" s="456"/>
      <c r="I1054" s="456"/>
      <c r="J1054" s="456"/>
      <c r="K1054" s="456"/>
      <c r="L1054" s="456"/>
      <c r="M1054" s="456"/>
      <c r="N1054" s="456"/>
      <c r="O1054" s="456"/>
      <c r="P1054" s="456"/>
      <c r="Q1054" s="456"/>
      <c r="R1054" s="456"/>
    </row>
    <row r="1055" spans="1:18" ht="9.75" customHeight="1" x14ac:dyDescent="0.25">
      <c r="A1055" s="456"/>
      <c r="B1055" s="456"/>
      <c r="C1055" s="456"/>
      <c r="D1055" s="456"/>
      <c r="E1055" s="456"/>
      <c r="F1055" s="456"/>
      <c r="G1055" s="456"/>
      <c r="H1055" s="456"/>
      <c r="I1055" s="456"/>
      <c r="J1055" s="456"/>
      <c r="K1055" s="456"/>
      <c r="L1055" s="456"/>
      <c r="M1055" s="456"/>
      <c r="N1055" s="456"/>
      <c r="O1055" s="456"/>
      <c r="P1055" s="456"/>
      <c r="Q1055" s="456"/>
      <c r="R1055" s="456"/>
    </row>
    <row r="1056" spans="1:18" ht="9.75" customHeight="1" x14ac:dyDescent="0.25">
      <c r="A1056" s="456"/>
      <c r="B1056" s="456"/>
      <c r="C1056" s="456"/>
      <c r="D1056" s="456"/>
      <c r="E1056" s="456"/>
      <c r="F1056" s="456"/>
      <c r="G1056" s="456"/>
      <c r="H1056" s="456"/>
      <c r="I1056" s="456"/>
      <c r="J1056" s="456"/>
      <c r="K1056" s="456"/>
      <c r="L1056" s="456"/>
      <c r="M1056" s="456"/>
      <c r="N1056" s="456"/>
      <c r="O1056" s="456"/>
      <c r="P1056" s="456"/>
      <c r="Q1056" s="456"/>
      <c r="R1056" s="456"/>
    </row>
    <row r="1057" spans="1:18" ht="9.75" customHeight="1" x14ac:dyDescent="0.25">
      <c r="A1057" s="456"/>
      <c r="B1057" s="456"/>
      <c r="C1057" s="456"/>
      <c r="D1057" s="456"/>
      <c r="E1057" s="456"/>
      <c r="F1057" s="456"/>
      <c r="G1057" s="456"/>
      <c r="H1057" s="456"/>
      <c r="I1057" s="456"/>
      <c r="J1057" s="456"/>
      <c r="K1057" s="456"/>
      <c r="L1057" s="456"/>
      <c r="M1057" s="456"/>
      <c r="N1057" s="456"/>
      <c r="O1057" s="456"/>
      <c r="P1057" s="456"/>
      <c r="Q1057" s="456"/>
      <c r="R1057" s="456"/>
    </row>
    <row r="1058" spans="1:18" ht="9.75" customHeight="1" x14ac:dyDescent="0.25">
      <c r="A1058" s="456"/>
      <c r="B1058" s="456"/>
      <c r="C1058" s="456"/>
      <c r="D1058" s="456"/>
      <c r="E1058" s="456"/>
      <c r="F1058" s="456"/>
      <c r="G1058" s="456"/>
      <c r="H1058" s="456"/>
      <c r="I1058" s="456"/>
      <c r="J1058" s="456"/>
      <c r="K1058" s="456"/>
      <c r="L1058" s="456"/>
      <c r="M1058" s="456"/>
      <c r="N1058" s="456"/>
      <c r="O1058" s="456"/>
      <c r="P1058" s="456"/>
      <c r="Q1058" s="456"/>
      <c r="R1058" s="456"/>
    </row>
    <row r="1059" spans="1:18" ht="9.75" customHeight="1" x14ac:dyDescent="0.25">
      <c r="A1059" s="456"/>
      <c r="B1059" s="456"/>
      <c r="C1059" s="456"/>
      <c r="D1059" s="456"/>
      <c r="E1059" s="456"/>
      <c r="F1059" s="456"/>
      <c r="G1059" s="456"/>
      <c r="H1059" s="456"/>
      <c r="I1059" s="456"/>
      <c r="J1059" s="456"/>
      <c r="K1059" s="456"/>
      <c r="L1059" s="456"/>
      <c r="M1059" s="456"/>
      <c r="N1059" s="456"/>
      <c r="O1059" s="456"/>
      <c r="P1059" s="456"/>
      <c r="Q1059" s="456"/>
      <c r="R1059" s="456"/>
    </row>
    <row r="1060" spans="1:18" ht="9.75" customHeight="1" x14ac:dyDescent="0.25">
      <c r="A1060" s="456"/>
      <c r="B1060" s="456"/>
      <c r="C1060" s="456"/>
      <c r="D1060" s="456"/>
      <c r="E1060" s="456"/>
      <c r="F1060" s="456"/>
      <c r="G1060" s="456"/>
      <c r="H1060" s="456"/>
      <c r="I1060" s="456"/>
      <c r="J1060" s="456"/>
      <c r="K1060" s="456"/>
      <c r="L1060" s="456"/>
      <c r="M1060" s="456"/>
      <c r="N1060" s="456"/>
      <c r="O1060" s="456"/>
      <c r="P1060" s="456"/>
      <c r="Q1060" s="456"/>
      <c r="R1060" s="456"/>
    </row>
    <row r="1061" spans="1:18" ht="9.75" customHeight="1" x14ac:dyDescent="0.25">
      <c r="A1061" s="456"/>
      <c r="B1061" s="456"/>
      <c r="C1061" s="456"/>
      <c r="D1061" s="456"/>
      <c r="E1061" s="456"/>
      <c r="F1061" s="456"/>
      <c r="G1061" s="456"/>
      <c r="H1061" s="456"/>
      <c r="I1061" s="456"/>
      <c r="J1061" s="456"/>
      <c r="K1061" s="456"/>
      <c r="L1061" s="456"/>
      <c r="M1061" s="456"/>
      <c r="N1061" s="456"/>
      <c r="O1061" s="456"/>
      <c r="P1061" s="456"/>
      <c r="Q1061" s="456"/>
      <c r="R1061" s="456"/>
    </row>
    <row r="1062" spans="1:18" ht="9.75" customHeight="1" x14ac:dyDescent="0.25">
      <c r="A1062" s="456"/>
      <c r="B1062" s="456"/>
      <c r="C1062" s="456"/>
      <c r="D1062" s="456"/>
      <c r="E1062" s="456"/>
      <c r="F1062" s="456"/>
      <c r="G1062" s="456"/>
      <c r="H1062" s="456"/>
      <c r="I1062" s="456"/>
      <c r="J1062" s="456"/>
      <c r="K1062" s="456"/>
      <c r="L1062" s="456"/>
      <c r="M1062" s="456"/>
      <c r="N1062" s="456"/>
      <c r="O1062" s="456"/>
      <c r="P1062" s="456"/>
      <c r="Q1062" s="456"/>
      <c r="R1062" s="456"/>
    </row>
    <row r="1063" spans="1:18" ht="9.75" customHeight="1" x14ac:dyDescent="0.25">
      <c r="A1063" s="456"/>
      <c r="B1063" s="456"/>
      <c r="C1063" s="456"/>
      <c r="D1063" s="456"/>
      <c r="E1063" s="456"/>
      <c r="F1063" s="456"/>
      <c r="G1063" s="456"/>
      <c r="H1063" s="456"/>
      <c r="I1063" s="456"/>
      <c r="J1063" s="456"/>
      <c r="K1063" s="456"/>
      <c r="L1063" s="456"/>
      <c r="M1063" s="456"/>
      <c r="N1063" s="456"/>
      <c r="O1063" s="456"/>
      <c r="P1063" s="456"/>
      <c r="Q1063" s="456"/>
      <c r="R1063" s="456"/>
    </row>
    <row r="1064" spans="1:18" ht="9.75" customHeight="1" x14ac:dyDescent="0.25">
      <c r="A1064" s="456"/>
      <c r="B1064" s="456"/>
      <c r="C1064" s="456"/>
      <c r="D1064" s="456"/>
      <c r="E1064" s="456"/>
      <c r="F1064" s="456"/>
      <c r="G1064" s="456"/>
      <c r="H1064" s="456"/>
      <c r="I1064" s="456"/>
      <c r="J1064" s="456"/>
      <c r="K1064" s="456"/>
      <c r="L1064" s="456"/>
      <c r="M1064" s="456"/>
      <c r="N1064" s="456"/>
      <c r="O1064" s="456"/>
      <c r="P1064" s="456"/>
      <c r="Q1064" s="456"/>
      <c r="R1064" s="456"/>
    </row>
    <row r="1065" spans="1:18" ht="9.75" customHeight="1" x14ac:dyDescent="0.25">
      <c r="A1065" s="456"/>
      <c r="B1065" s="456"/>
      <c r="C1065" s="456"/>
      <c r="D1065" s="456"/>
      <c r="E1065" s="456"/>
      <c r="F1065" s="456"/>
      <c r="G1065" s="456"/>
      <c r="H1065" s="456"/>
      <c r="I1065" s="456"/>
      <c r="J1065" s="456"/>
      <c r="K1065" s="456"/>
      <c r="L1065" s="456"/>
      <c r="M1065" s="456"/>
      <c r="N1065" s="456"/>
      <c r="O1065" s="456"/>
      <c r="P1065" s="456"/>
      <c r="Q1065" s="456"/>
      <c r="R1065" s="456"/>
    </row>
    <row r="1066" spans="1:18" ht="9.75" customHeight="1" x14ac:dyDescent="0.25">
      <c r="A1066" s="456"/>
      <c r="B1066" s="456"/>
      <c r="C1066" s="456"/>
      <c r="D1066" s="456"/>
      <c r="E1066" s="456"/>
      <c r="F1066" s="456"/>
      <c r="G1066" s="456"/>
      <c r="H1066" s="456"/>
      <c r="I1066" s="456"/>
      <c r="J1066" s="456"/>
      <c r="K1066" s="456"/>
      <c r="L1066" s="456"/>
      <c r="M1066" s="456"/>
      <c r="N1066" s="456"/>
      <c r="O1066" s="456"/>
      <c r="P1066" s="456"/>
      <c r="Q1066" s="456"/>
      <c r="R1066" s="456"/>
    </row>
    <row r="1067" spans="1:18" ht="9.75" customHeight="1" x14ac:dyDescent="0.25">
      <c r="A1067" s="456"/>
      <c r="B1067" s="456"/>
      <c r="C1067" s="456"/>
      <c r="D1067" s="456"/>
      <c r="E1067" s="456"/>
      <c r="F1067" s="456"/>
      <c r="G1067" s="456"/>
      <c r="H1067" s="456"/>
      <c r="I1067" s="456"/>
      <c r="J1067" s="456"/>
      <c r="K1067" s="456"/>
      <c r="L1067" s="456"/>
      <c r="M1067" s="456"/>
      <c r="N1067" s="456"/>
      <c r="O1067" s="456"/>
      <c r="P1067" s="456"/>
      <c r="Q1067" s="456"/>
      <c r="R1067" s="456"/>
    </row>
    <row r="1068" spans="1:18" ht="9.75" customHeight="1" x14ac:dyDescent="0.25">
      <c r="A1068" s="456"/>
      <c r="B1068" s="456"/>
      <c r="C1068" s="456"/>
      <c r="D1068" s="456"/>
      <c r="E1068" s="456"/>
      <c r="F1068" s="456"/>
      <c r="G1068" s="456"/>
      <c r="H1068" s="456"/>
      <c r="I1068" s="456"/>
      <c r="J1068" s="456"/>
      <c r="K1068" s="456"/>
      <c r="L1068" s="456"/>
      <c r="M1068" s="456"/>
      <c r="N1068" s="456"/>
      <c r="O1068" s="456"/>
      <c r="P1068" s="456"/>
      <c r="Q1068" s="456"/>
      <c r="R1068" s="456"/>
    </row>
    <row r="1069" spans="1:18" ht="9.75" customHeight="1" x14ac:dyDescent="0.25">
      <c r="A1069" s="456"/>
      <c r="B1069" s="456"/>
      <c r="C1069" s="456"/>
      <c r="D1069" s="456"/>
      <c r="E1069" s="456"/>
      <c r="F1069" s="456"/>
      <c r="G1069" s="456"/>
      <c r="H1069" s="456"/>
      <c r="I1069" s="456"/>
      <c r="J1069" s="456"/>
      <c r="K1069" s="456"/>
      <c r="L1069" s="456"/>
      <c r="M1069" s="456"/>
      <c r="N1069" s="456"/>
      <c r="O1069" s="456"/>
      <c r="P1069" s="456"/>
      <c r="Q1069" s="456"/>
      <c r="R1069" s="456"/>
    </row>
    <row r="1070" spans="1:18" ht="9.75" customHeight="1" x14ac:dyDescent="0.25">
      <c r="A1070" s="456"/>
      <c r="B1070" s="456"/>
      <c r="C1070" s="456"/>
      <c r="D1070" s="456"/>
      <c r="E1070" s="456"/>
      <c r="F1070" s="456"/>
      <c r="G1070" s="456"/>
      <c r="H1070" s="456"/>
      <c r="I1070" s="456"/>
      <c r="J1070" s="456"/>
      <c r="K1070" s="456"/>
      <c r="L1070" s="456"/>
      <c r="M1070" s="456"/>
      <c r="N1070" s="456"/>
      <c r="O1070" s="456"/>
      <c r="P1070" s="456"/>
      <c r="Q1070" s="456"/>
      <c r="R1070" s="456"/>
    </row>
    <row r="1071" spans="1:18" ht="9.75" customHeight="1" x14ac:dyDescent="0.25">
      <c r="A1071" s="456"/>
      <c r="B1071" s="456"/>
      <c r="C1071" s="456"/>
      <c r="D1071" s="456"/>
      <c r="E1071" s="456"/>
      <c r="F1071" s="456"/>
      <c r="G1071" s="456"/>
      <c r="H1071" s="456"/>
      <c r="I1071" s="456"/>
      <c r="J1071" s="456"/>
      <c r="K1071" s="456"/>
      <c r="L1071" s="456"/>
      <c r="M1071" s="456"/>
      <c r="N1071" s="456"/>
      <c r="O1071" s="456"/>
      <c r="P1071" s="456"/>
      <c r="Q1071" s="456"/>
      <c r="R1071" s="456"/>
    </row>
    <row r="1072" spans="1:18" ht="9.75" customHeight="1" x14ac:dyDescent="0.25">
      <c r="A1072" s="456"/>
      <c r="B1072" s="456"/>
      <c r="C1072" s="456"/>
      <c r="D1072" s="456"/>
      <c r="E1072" s="456"/>
      <c r="F1072" s="456"/>
      <c r="G1072" s="456"/>
      <c r="H1072" s="456"/>
      <c r="I1072" s="456"/>
      <c r="J1072" s="456"/>
      <c r="K1072" s="456"/>
      <c r="L1072" s="456"/>
      <c r="M1072" s="456"/>
      <c r="N1072" s="456"/>
      <c r="O1072" s="456"/>
      <c r="P1072" s="456"/>
      <c r="Q1072" s="456"/>
      <c r="R1072" s="456"/>
    </row>
    <row r="1073" spans="1:18" ht="9.75" customHeight="1" x14ac:dyDescent="0.25">
      <c r="A1073" s="456"/>
      <c r="B1073" s="456"/>
      <c r="C1073" s="456"/>
      <c r="D1073" s="456"/>
      <c r="E1073" s="456"/>
      <c r="F1073" s="456"/>
      <c r="G1073" s="456"/>
      <c r="H1073" s="456"/>
      <c r="I1073" s="456"/>
      <c r="J1073" s="456"/>
      <c r="K1073" s="456"/>
      <c r="L1073" s="456"/>
      <c r="M1073" s="456"/>
      <c r="N1073" s="456"/>
      <c r="O1073" s="456"/>
      <c r="P1073" s="456"/>
      <c r="Q1073" s="456"/>
      <c r="R1073" s="456"/>
    </row>
    <row r="1074" spans="1:18" ht="9.75" customHeight="1" x14ac:dyDescent="0.25">
      <c r="A1074" s="456"/>
      <c r="B1074" s="456"/>
      <c r="C1074" s="456"/>
      <c r="D1074" s="456"/>
      <c r="E1074" s="456"/>
      <c r="F1074" s="456"/>
      <c r="G1074" s="456"/>
      <c r="H1074" s="456"/>
      <c r="I1074" s="456"/>
      <c r="J1074" s="456"/>
      <c r="K1074" s="456"/>
      <c r="L1074" s="456"/>
      <c r="M1074" s="456"/>
      <c r="N1074" s="456"/>
      <c r="O1074" s="456"/>
      <c r="P1074" s="456"/>
      <c r="Q1074" s="456"/>
      <c r="R1074" s="456"/>
    </row>
    <row r="1075" spans="1:18" ht="9.75" customHeight="1" x14ac:dyDescent="0.25">
      <c r="A1075" s="456"/>
      <c r="B1075" s="456"/>
      <c r="C1075" s="456"/>
      <c r="D1075" s="456"/>
      <c r="E1075" s="456"/>
      <c r="F1075" s="456"/>
      <c r="G1075" s="456"/>
      <c r="H1075" s="456"/>
      <c r="I1075" s="456"/>
      <c r="J1075" s="456"/>
      <c r="K1075" s="456"/>
      <c r="L1075" s="456"/>
      <c r="M1075" s="456"/>
      <c r="N1075" s="456"/>
      <c r="O1075" s="456"/>
      <c r="P1075" s="456"/>
      <c r="Q1075" s="456"/>
      <c r="R1075" s="456"/>
    </row>
    <row r="1076" spans="1:18" ht="9.75" customHeight="1" x14ac:dyDescent="0.25">
      <c r="A1076" s="456"/>
      <c r="B1076" s="456"/>
      <c r="C1076" s="456"/>
      <c r="D1076" s="456"/>
      <c r="E1076" s="456"/>
      <c r="F1076" s="456"/>
      <c r="G1076" s="456"/>
      <c r="H1076" s="456"/>
      <c r="I1076" s="456"/>
      <c r="J1076" s="456"/>
      <c r="K1076" s="456"/>
      <c r="L1076" s="456"/>
      <c r="M1076" s="456"/>
      <c r="N1076" s="456"/>
      <c r="O1076" s="456"/>
      <c r="P1076" s="456"/>
      <c r="Q1076" s="456"/>
      <c r="R1076" s="456"/>
    </row>
    <row r="1077" spans="1:18" ht="9.75" customHeight="1" x14ac:dyDescent="0.25">
      <c r="A1077" s="456"/>
      <c r="B1077" s="456"/>
      <c r="C1077" s="456"/>
      <c r="D1077" s="456"/>
      <c r="E1077" s="456"/>
      <c r="F1077" s="456"/>
      <c r="G1077" s="456"/>
      <c r="H1077" s="456"/>
      <c r="I1077" s="456"/>
      <c r="J1077" s="456"/>
      <c r="K1077" s="456"/>
      <c r="L1077" s="456"/>
      <c r="M1077" s="456"/>
      <c r="N1077" s="456"/>
      <c r="O1077" s="456"/>
      <c r="P1077" s="456"/>
      <c r="Q1077" s="456"/>
      <c r="R1077" s="456"/>
    </row>
    <row r="1078" spans="1:18" ht="9.75" customHeight="1" x14ac:dyDescent="0.25">
      <c r="A1078" s="456"/>
      <c r="B1078" s="456"/>
      <c r="C1078" s="456"/>
      <c r="D1078" s="456"/>
      <c r="E1078" s="456"/>
      <c r="F1078" s="456"/>
      <c r="G1078" s="456"/>
      <c r="H1078" s="456"/>
      <c r="I1078" s="456"/>
      <c r="J1078" s="456"/>
      <c r="K1078" s="456"/>
      <c r="L1078" s="456"/>
      <c r="M1078" s="456"/>
      <c r="N1078" s="456"/>
      <c r="O1078" s="456"/>
      <c r="P1078" s="456"/>
      <c r="Q1078" s="456"/>
      <c r="R1078" s="456"/>
    </row>
    <row r="1079" spans="1:18" ht="9.75" customHeight="1" x14ac:dyDescent="0.25">
      <c r="A1079" s="456"/>
      <c r="B1079" s="456"/>
      <c r="C1079" s="456"/>
      <c r="D1079" s="456"/>
      <c r="E1079" s="456"/>
      <c r="F1079" s="456"/>
      <c r="G1079" s="456"/>
      <c r="H1079" s="456"/>
      <c r="I1079" s="456"/>
      <c r="J1079" s="456"/>
      <c r="K1079" s="456"/>
      <c r="L1079" s="456"/>
      <c r="M1079" s="456"/>
      <c r="N1079" s="456"/>
      <c r="O1079" s="456"/>
      <c r="P1079" s="456"/>
      <c r="Q1079" s="456"/>
      <c r="R1079" s="456"/>
    </row>
    <row r="1080" spans="1:18" ht="9.75" customHeight="1" x14ac:dyDescent="0.25">
      <c r="A1080" s="456"/>
      <c r="B1080" s="456"/>
      <c r="C1080" s="456"/>
      <c r="D1080" s="456"/>
      <c r="E1080" s="456"/>
      <c r="F1080" s="456"/>
      <c r="G1080" s="456"/>
      <c r="H1080" s="456"/>
      <c r="I1080" s="456"/>
      <c r="J1080" s="456"/>
      <c r="K1080" s="456"/>
      <c r="L1080" s="456"/>
      <c r="M1080" s="456"/>
      <c r="N1080" s="456"/>
      <c r="O1080" s="456"/>
      <c r="P1080" s="456"/>
      <c r="Q1080" s="456"/>
      <c r="R1080" s="456"/>
    </row>
    <row r="1081" spans="1:18" ht="9.75" customHeight="1" x14ac:dyDescent="0.25">
      <c r="A1081" s="456"/>
      <c r="B1081" s="456"/>
      <c r="C1081" s="456"/>
      <c r="D1081" s="456"/>
      <c r="E1081" s="456"/>
      <c r="F1081" s="456"/>
      <c r="G1081" s="456"/>
      <c r="H1081" s="456"/>
      <c r="I1081" s="456"/>
      <c r="J1081" s="456"/>
      <c r="K1081" s="456"/>
      <c r="L1081" s="456"/>
      <c r="M1081" s="456"/>
      <c r="N1081" s="456"/>
      <c r="O1081" s="456"/>
      <c r="P1081" s="456"/>
      <c r="Q1081" s="456"/>
      <c r="R1081" s="456"/>
    </row>
    <row r="1082" spans="1:18" ht="9.75" customHeight="1" x14ac:dyDescent="0.25">
      <c r="A1082" s="456"/>
      <c r="B1082" s="456"/>
      <c r="C1082" s="456"/>
      <c r="D1082" s="456"/>
      <c r="E1082" s="456"/>
      <c r="F1082" s="456"/>
      <c r="G1082" s="456"/>
      <c r="H1082" s="456"/>
      <c r="I1082" s="456"/>
      <c r="J1082" s="456"/>
      <c r="K1082" s="456"/>
      <c r="L1082" s="456"/>
      <c r="M1082" s="456"/>
      <c r="N1082" s="456"/>
      <c r="O1082" s="456"/>
      <c r="P1082" s="456"/>
      <c r="Q1082" s="456"/>
      <c r="R1082" s="456"/>
    </row>
    <row r="1083" spans="1:18" ht="9.75" customHeight="1" x14ac:dyDescent="0.25">
      <c r="A1083" s="456"/>
      <c r="B1083" s="456"/>
      <c r="C1083" s="456"/>
      <c r="D1083" s="456"/>
      <c r="E1083" s="456"/>
      <c r="F1083" s="456"/>
      <c r="G1083" s="456"/>
      <c r="H1083" s="456"/>
      <c r="I1083" s="456"/>
      <c r="J1083" s="456"/>
      <c r="K1083" s="456"/>
      <c r="L1083" s="456"/>
      <c r="M1083" s="456"/>
      <c r="N1083" s="456"/>
      <c r="O1083" s="456"/>
      <c r="P1083" s="456"/>
      <c r="Q1083" s="456"/>
      <c r="R1083" s="456"/>
    </row>
    <row r="1084" spans="1:18" ht="9.75" customHeight="1" x14ac:dyDescent="0.25">
      <c r="A1084" s="456"/>
      <c r="B1084" s="456"/>
      <c r="C1084" s="456"/>
      <c r="D1084" s="456"/>
      <c r="E1084" s="456"/>
      <c r="F1084" s="456"/>
      <c r="G1084" s="456"/>
      <c r="H1084" s="456"/>
      <c r="I1084" s="456"/>
      <c r="J1084" s="456"/>
      <c r="K1084" s="456"/>
      <c r="L1084" s="456"/>
      <c r="M1084" s="456"/>
      <c r="N1084" s="456"/>
      <c r="O1084" s="456"/>
      <c r="P1084" s="456"/>
      <c r="Q1084" s="456"/>
      <c r="R1084" s="456"/>
    </row>
    <row r="1085" spans="1:18" ht="9.75" customHeight="1" x14ac:dyDescent="0.25">
      <c r="A1085" s="456"/>
      <c r="B1085" s="456"/>
      <c r="C1085" s="456"/>
      <c r="D1085" s="456"/>
      <c r="E1085" s="456"/>
      <c r="F1085" s="456"/>
      <c r="G1085" s="456"/>
      <c r="H1085" s="456"/>
      <c r="I1085" s="456"/>
      <c r="J1085" s="456"/>
      <c r="K1085" s="456"/>
      <c r="L1085" s="456"/>
      <c r="M1085" s="456"/>
      <c r="N1085" s="456"/>
      <c r="O1085" s="456"/>
      <c r="P1085" s="456"/>
      <c r="Q1085" s="456"/>
      <c r="R1085" s="456"/>
    </row>
    <row r="1086" spans="1:18" ht="9.75" customHeight="1" x14ac:dyDescent="0.25">
      <c r="A1086" s="456"/>
      <c r="B1086" s="456"/>
      <c r="C1086" s="456"/>
      <c r="D1086" s="456"/>
      <c r="E1086" s="456"/>
      <c r="F1086" s="456"/>
      <c r="G1086" s="456"/>
      <c r="H1086" s="456"/>
      <c r="I1086" s="456"/>
      <c r="J1086" s="456"/>
      <c r="K1086" s="456"/>
      <c r="L1086" s="456"/>
      <c r="M1086" s="456"/>
      <c r="N1086" s="456"/>
      <c r="O1086" s="456"/>
      <c r="P1086" s="456"/>
      <c r="Q1086" s="456"/>
      <c r="R1086" s="456"/>
    </row>
    <row r="1087" spans="1:18" ht="9.75" customHeight="1" x14ac:dyDescent="0.25">
      <c r="A1087" s="456"/>
      <c r="B1087" s="456"/>
      <c r="C1087" s="456"/>
      <c r="D1087" s="456"/>
      <c r="E1087" s="456"/>
      <c r="F1087" s="456"/>
      <c r="G1087" s="456"/>
      <c r="H1087" s="456"/>
      <c r="I1087" s="456"/>
      <c r="J1087" s="456"/>
      <c r="K1087" s="456"/>
      <c r="L1087" s="456"/>
      <c r="M1087" s="456"/>
      <c r="N1087" s="456"/>
      <c r="O1087" s="456"/>
      <c r="P1087" s="456"/>
      <c r="Q1087" s="456"/>
      <c r="R1087" s="456"/>
    </row>
    <row r="1088" spans="1:18" ht="9.75" customHeight="1" x14ac:dyDescent="0.25">
      <c r="A1088" s="456"/>
      <c r="B1088" s="456"/>
      <c r="C1088" s="456"/>
      <c r="D1088" s="456"/>
      <c r="E1088" s="456"/>
      <c r="F1088" s="456"/>
      <c r="G1088" s="456"/>
      <c r="H1088" s="456"/>
      <c r="I1088" s="456"/>
      <c r="J1088" s="456"/>
      <c r="K1088" s="456"/>
      <c r="L1088" s="456"/>
      <c r="M1088" s="456"/>
      <c r="N1088" s="456"/>
      <c r="O1088" s="456"/>
      <c r="P1088" s="456"/>
      <c r="Q1088" s="456"/>
      <c r="R1088" s="456"/>
    </row>
    <row r="1089" spans="1:18" ht="9.75" customHeight="1" x14ac:dyDescent="0.25">
      <c r="A1089" s="456"/>
      <c r="B1089" s="456"/>
      <c r="C1089" s="456"/>
      <c r="D1089" s="456"/>
      <c r="E1089" s="456"/>
      <c r="F1089" s="456"/>
      <c r="G1089" s="456"/>
      <c r="H1089" s="456"/>
      <c r="I1089" s="456"/>
      <c r="J1089" s="456"/>
      <c r="K1089" s="456"/>
      <c r="L1089" s="456"/>
      <c r="M1089" s="456"/>
      <c r="N1089" s="456"/>
      <c r="O1089" s="456"/>
      <c r="P1089" s="456"/>
      <c r="Q1089" s="456"/>
      <c r="R1089" s="456"/>
    </row>
    <row r="1090" spans="1:18" ht="9.75" customHeight="1" x14ac:dyDescent="0.25">
      <c r="A1090" s="456"/>
      <c r="B1090" s="456"/>
      <c r="C1090" s="456"/>
      <c r="D1090" s="456"/>
      <c r="E1090" s="456"/>
      <c r="F1090" s="456"/>
      <c r="G1090" s="456"/>
      <c r="H1090" s="456"/>
      <c r="I1090" s="456"/>
      <c r="J1090" s="456"/>
      <c r="K1090" s="456"/>
      <c r="L1090" s="456"/>
      <c r="M1090" s="456"/>
      <c r="N1090" s="456"/>
      <c r="O1090" s="456"/>
      <c r="P1090" s="456"/>
      <c r="Q1090" s="456"/>
      <c r="R1090" s="456"/>
    </row>
    <row r="1091" spans="1:18" ht="9.75" customHeight="1" x14ac:dyDescent="0.25">
      <c r="A1091" s="456"/>
      <c r="B1091" s="456"/>
      <c r="C1091" s="456"/>
      <c r="D1091" s="456"/>
      <c r="E1091" s="456"/>
      <c r="F1091" s="456"/>
      <c r="G1091" s="456"/>
      <c r="H1091" s="456"/>
      <c r="I1091" s="456"/>
      <c r="J1091" s="456"/>
      <c r="K1091" s="456"/>
      <c r="L1091" s="456"/>
      <c r="M1091" s="456"/>
      <c r="N1091" s="456"/>
      <c r="O1091" s="456"/>
      <c r="P1091" s="456"/>
      <c r="Q1091" s="456"/>
      <c r="R1091" s="456"/>
    </row>
    <row r="1092" spans="1:18" ht="9.75" customHeight="1" x14ac:dyDescent="0.25">
      <c r="A1092" s="456"/>
      <c r="B1092" s="456"/>
      <c r="C1092" s="456"/>
      <c r="D1092" s="456"/>
      <c r="E1092" s="456"/>
      <c r="F1092" s="456"/>
      <c r="G1092" s="456"/>
      <c r="H1092" s="456"/>
      <c r="I1092" s="456"/>
      <c r="J1092" s="456"/>
      <c r="K1092" s="456"/>
      <c r="L1092" s="456"/>
      <c r="M1092" s="456"/>
      <c r="N1092" s="456"/>
      <c r="O1092" s="456"/>
      <c r="P1092" s="456"/>
      <c r="Q1092" s="456"/>
      <c r="R1092" s="456"/>
    </row>
    <row r="1093" spans="1:18" ht="9.75" customHeight="1" x14ac:dyDescent="0.25">
      <c r="A1093" s="456"/>
      <c r="B1093" s="456"/>
      <c r="C1093" s="456"/>
      <c r="D1093" s="456"/>
      <c r="E1093" s="456"/>
      <c r="F1093" s="456"/>
      <c r="G1093" s="456"/>
      <c r="H1093" s="456"/>
      <c r="I1093" s="456"/>
      <c r="J1093" s="456"/>
      <c r="K1093" s="456"/>
      <c r="L1093" s="456"/>
      <c r="M1093" s="456"/>
      <c r="N1093" s="456"/>
      <c r="O1093" s="456"/>
      <c r="P1093" s="456"/>
      <c r="Q1093" s="456"/>
      <c r="R1093" s="456"/>
    </row>
    <row r="1094" spans="1:18" ht="9.75" customHeight="1" x14ac:dyDescent="0.25">
      <c r="A1094" s="456"/>
      <c r="B1094" s="456"/>
      <c r="C1094" s="456"/>
      <c r="D1094" s="456"/>
      <c r="E1094" s="456"/>
      <c r="F1094" s="456"/>
      <c r="G1094" s="456"/>
      <c r="H1094" s="456"/>
      <c r="I1094" s="456"/>
      <c r="J1094" s="456"/>
      <c r="K1094" s="456"/>
      <c r="L1094" s="456"/>
      <c r="M1094" s="456"/>
      <c r="N1094" s="456"/>
      <c r="O1094" s="456"/>
      <c r="P1094" s="456"/>
      <c r="Q1094" s="456"/>
      <c r="R1094" s="456"/>
    </row>
    <row r="1095" spans="1:18" ht="9.75" customHeight="1" x14ac:dyDescent="0.25">
      <c r="A1095" s="456"/>
      <c r="B1095" s="456"/>
      <c r="C1095" s="456"/>
      <c r="D1095" s="456"/>
      <c r="E1095" s="456"/>
      <c r="F1095" s="456"/>
      <c r="G1095" s="456"/>
      <c r="H1095" s="456"/>
      <c r="I1095" s="456"/>
      <c r="J1095" s="456"/>
      <c r="K1095" s="456"/>
      <c r="L1095" s="456"/>
      <c r="M1095" s="456"/>
      <c r="N1095" s="456"/>
      <c r="O1095" s="456"/>
      <c r="P1095" s="456"/>
      <c r="Q1095" s="456"/>
      <c r="R1095" s="456"/>
    </row>
    <row r="1096" spans="1:18" ht="9.75" customHeight="1" x14ac:dyDescent="0.25">
      <c r="A1096" s="456"/>
      <c r="B1096" s="456"/>
      <c r="C1096" s="456"/>
      <c r="D1096" s="456"/>
      <c r="E1096" s="456"/>
      <c r="F1096" s="456"/>
      <c r="G1096" s="456"/>
      <c r="H1096" s="456"/>
      <c r="I1096" s="456"/>
      <c r="J1096" s="456"/>
      <c r="K1096" s="456"/>
      <c r="L1096" s="456"/>
      <c r="M1096" s="456"/>
      <c r="N1096" s="456"/>
      <c r="O1096" s="456"/>
      <c r="P1096" s="456"/>
      <c r="Q1096" s="456"/>
      <c r="R1096" s="456"/>
    </row>
    <row r="1097" spans="1:18" ht="9.75" customHeight="1" x14ac:dyDescent="0.25">
      <c r="A1097" s="456"/>
      <c r="B1097" s="456"/>
      <c r="C1097" s="456"/>
      <c r="D1097" s="456"/>
      <c r="E1097" s="456"/>
      <c r="F1097" s="456"/>
      <c r="G1097" s="456"/>
      <c r="H1097" s="456"/>
      <c r="I1097" s="456"/>
      <c r="J1097" s="456"/>
      <c r="K1097" s="456"/>
      <c r="L1097" s="456"/>
      <c r="M1097" s="456"/>
      <c r="N1097" s="456"/>
      <c r="O1097" s="456"/>
      <c r="P1097" s="456"/>
      <c r="Q1097" s="456"/>
      <c r="R1097" s="456"/>
    </row>
    <row r="1098" spans="1:18" ht="9.75" customHeight="1" x14ac:dyDescent="0.25">
      <c r="A1098" s="456"/>
      <c r="B1098" s="456"/>
      <c r="C1098" s="456"/>
      <c r="D1098" s="456"/>
      <c r="E1098" s="456"/>
      <c r="F1098" s="456"/>
      <c r="G1098" s="456"/>
      <c r="H1098" s="456"/>
      <c r="I1098" s="456"/>
      <c r="J1098" s="456"/>
      <c r="K1098" s="456"/>
      <c r="L1098" s="456"/>
      <c r="M1098" s="456"/>
      <c r="N1098" s="456"/>
      <c r="O1098" s="456"/>
      <c r="P1098" s="456"/>
      <c r="Q1098" s="456"/>
      <c r="R1098" s="456"/>
    </row>
    <row r="1099" spans="1:18" ht="9.75" customHeight="1" x14ac:dyDescent="0.25">
      <c r="A1099" s="456"/>
      <c r="B1099" s="456"/>
      <c r="C1099" s="456"/>
      <c r="D1099" s="456"/>
      <c r="E1099" s="456"/>
      <c r="F1099" s="456"/>
      <c r="G1099" s="456"/>
      <c r="H1099" s="456"/>
      <c r="I1099" s="456"/>
      <c r="J1099" s="456"/>
      <c r="K1099" s="456"/>
      <c r="L1099" s="456"/>
      <c r="M1099" s="456"/>
      <c r="N1099" s="456"/>
      <c r="O1099" s="456"/>
      <c r="P1099" s="456"/>
      <c r="Q1099" s="456"/>
      <c r="R1099" s="456"/>
    </row>
    <row r="1100" spans="1:18" ht="9.75" customHeight="1" x14ac:dyDescent="0.25">
      <c r="A1100" s="456"/>
      <c r="B1100" s="456"/>
      <c r="C1100" s="456"/>
      <c r="D1100" s="456"/>
      <c r="E1100" s="456"/>
      <c r="F1100" s="456"/>
      <c r="G1100" s="456"/>
      <c r="H1100" s="456"/>
      <c r="I1100" s="456"/>
      <c r="J1100" s="456"/>
      <c r="K1100" s="456"/>
      <c r="L1100" s="456"/>
      <c r="M1100" s="456"/>
      <c r="N1100" s="456"/>
      <c r="O1100" s="456"/>
      <c r="P1100" s="456"/>
      <c r="Q1100" s="456"/>
      <c r="R1100" s="456"/>
    </row>
    <row r="1101" spans="1:18" ht="9.75" customHeight="1" x14ac:dyDescent="0.25">
      <c r="A1101" s="456"/>
      <c r="B1101" s="456"/>
      <c r="C1101" s="456"/>
      <c r="D1101" s="456"/>
      <c r="E1101" s="456"/>
      <c r="F1101" s="456"/>
      <c r="G1101" s="456"/>
      <c r="H1101" s="456"/>
      <c r="I1101" s="456"/>
      <c r="J1101" s="456"/>
      <c r="K1101" s="456"/>
      <c r="L1101" s="456"/>
      <c r="M1101" s="456"/>
      <c r="N1101" s="456"/>
      <c r="O1101" s="456"/>
      <c r="P1101" s="456"/>
      <c r="Q1101" s="456"/>
      <c r="R1101" s="456"/>
    </row>
    <row r="1102" spans="1:18" ht="9.75" customHeight="1" x14ac:dyDescent="0.25">
      <c r="A1102" s="456"/>
      <c r="B1102" s="456"/>
      <c r="C1102" s="456"/>
      <c r="D1102" s="456"/>
      <c r="E1102" s="456"/>
      <c r="F1102" s="456"/>
      <c r="G1102" s="456"/>
      <c r="H1102" s="456"/>
      <c r="I1102" s="456"/>
      <c r="J1102" s="456"/>
      <c r="K1102" s="456"/>
      <c r="L1102" s="456"/>
      <c r="M1102" s="456"/>
      <c r="N1102" s="456"/>
      <c r="O1102" s="456"/>
      <c r="P1102" s="456"/>
      <c r="Q1102" s="456"/>
      <c r="R1102" s="456"/>
    </row>
    <row r="1103" spans="1:18" ht="9.75" customHeight="1" x14ac:dyDescent="0.25">
      <c r="A1103" s="456"/>
      <c r="B1103" s="456"/>
      <c r="C1103" s="456"/>
      <c r="D1103" s="456"/>
      <c r="E1103" s="456"/>
      <c r="F1103" s="456"/>
      <c r="G1103" s="456"/>
      <c r="H1103" s="456"/>
      <c r="I1103" s="456"/>
      <c r="J1103" s="456"/>
      <c r="K1103" s="456"/>
      <c r="L1103" s="456"/>
      <c r="M1103" s="456"/>
      <c r="N1103" s="456"/>
      <c r="O1103" s="456"/>
      <c r="P1103" s="456"/>
      <c r="Q1103" s="456"/>
      <c r="R1103" s="456"/>
    </row>
    <row r="1104" spans="1:18" ht="9.75" customHeight="1" x14ac:dyDescent="0.25">
      <c r="A1104" s="456"/>
      <c r="B1104" s="456"/>
      <c r="C1104" s="456"/>
      <c r="D1104" s="456"/>
      <c r="E1104" s="456"/>
      <c r="F1104" s="456"/>
      <c r="G1104" s="456"/>
      <c r="H1104" s="456"/>
      <c r="I1104" s="456"/>
      <c r="J1104" s="456"/>
      <c r="K1104" s="456"/>
      <c r="L1104" s="456"/>
      <c r="M1104" s="456"/>
      <c r="N1104" s="456"/>
      <c r="O1104" s="456"/>
      <c r="P1104" s="456"/>
      <c r="Q1104" s="456"/>
      <c r="R1104" s="456"/>
    </row>
    <row r="1105" spans="1:18" ht="9.75" customHeight="1" x14ac:dyDescent="0.25">
      <c r="A1105" s="456"/>
      <c r="B1105" s="456"/>
      <c r="C1105" s="456"/>
      <c r="D1105" s="456"/>
      <c r="E1105" s="456"/>
      <c r="F1105" s="456"/>
      <c r="G1105" s="456"/>
      <c r="H1105" s="456"/>
      <c r="I1105" s="456"/>
      <c r="J1105" s="456"/>
      <c r="K1105" s="456"/>
      <c r="L1105" s="456"/>
      <c r="M1105" s="456"/>
      <c r="N1105" s="456"/>
      <c r="O1105" s="456"/>
      <c r="P1105" s="456"/>
      <c r="Q1105" s="456"/>
      <c r="R1105" s="456"/>
    </row>
    <row r="1106" spans="1:18" ht="9.75" customHeight="1" x14ac:dyDescent="0.25">
      <c r="A1106" s="456"/>
      <c r="B1106" s="456"/>
      <c r="C1106" s="456"/>
      <c r="D1106" s="456"/>
      <c r="E1106" s="456"/>
      <c r="F1106" s="456"/>
      <c r="G1106" s="456"/>
      <c r="H1106" s="456"/>
      <c r="I1106" s="456"/>
      <c r="J1106" s="456"/>
      <c r="K1106" s="456"/>
      <c r="L1106" s="456"/>
      <c r="M1106" s="456"/>
      <c r="N1106" s="456"/>
      <c r="O1106" s="456"/>
      <c r="P1106" s="456"/>
      <c r="Q1106" s="456"/>
      <c r="R1106" s="456"/>
    </row>
    <row r="1107" spans="1:18" ht="9.75" customHeight="1" x14ac:dyDescent="0.25">
      <c r="A1107" s="456"/>
      <c r="B1107" s="456"/>
      <c r="C1107" s="456"/>
      <c r="D1107" s="456"/>
      <c r="E1107" s="456"/>
      <c r="F1107" s="456"/>
      <c r="G1107" s="456"/>
      <c r="H1107" s="456"/>
      <c r="I1107" s="456"/>
      <c r="J1107" s="456"/>
      <c r="K1107" s="456"/>
      <c r="L1107" s="456"/>
      <c r="M1107" s="456"/>
      <c r="N1107" s="456"/>
      <c r="O1107" s="456"/>
      <c r="P1107" s="456"/>
      <c r="Q1107" s="456"/>
      <c r="R1107" s="456"/>
    </row>
    <row r="1108" spans="1:18" ht="9.75" customHeight="1" x14ac:dyDescent="0.25">
      <c r="A1108" s="456"/>
      <c r="B1108" s="456"/>
      <c r="C1108" s="456"/>
      <c r="D1108" s="456"/>
      <c r="E1108" s="456"/>
      <c r="F1108" s="456"/>
      <c r="G1108" s="456"/>
      <c r="H1108" s="456"/>
      <c r="I1108" s="456"/>
      <c r="J1108" s="456"/>
      <c r="K1108" s="456"/>
      <c r="L1108" s="456"/>
      <c r="M1108" s="456"/>
      <c r="N1108" s="456"/>
      <c r="O1108" s="456"/>
      <c r="P1108" s="456"/>
      <c r="Q1108" s="456"/>
      <c r="R1108" s="456"/>
    </row>
    <row r="1109" spans="1:18" ht="9.75" customHeight="1" x14ac:dyDescent="0.25">
      <c r="A1109" s="456"/>
      <c r="B1109" s="456"/>
      <c r="C1109" s="456"/>
      <c r="D1109" s="456"/>
      <c r="E1109" s="456"/>
      <c r="F1109" s="456"/>
      <c r="G1109" s="456"/>
      <c r="H1109" s="456"/>
      <c r="I1109" s="456"/>
      <c r="J1109" s="456"/>
      <c r="K1109" s="456"/>
      <c r="L1109" s="456"/>
      <c r="M1109" s="456"/>
      <c r="N1109" s="456"/>
      <c r="O1109" s="456"/>
      <c r="P1109" s="456"/>
      <c r="Q1109" s="456"/>
      <c r="R1109" s="456"/>
    </row>
    <row r="1110" spans="1:18" ht="9.75" customHeight="1" x14ac:dyDescent="0.25">
      <c r="A1110" s="456"/>
      <c r="B1110" s="456"/>
      <c r="C1110" s="456"/>
      <c r="D1110" s="456"/>
      <c r="E1110" s="456"/>
      <c r="F1110" s="456"/>
      <c r="G1110" s="456"/>
      <c r="H1110" s="456"/>
      <c r="I1110" s="456"/>
      <c r="J1110" s="456"/>
      <c r="K1110" s="456"/>
      <c r="L1110" s="456"/>
      <c r="M1110" s="456"/>
      <c r="N1110" s="456"/>
      <c r="O1110" s="456"/>
      <c r="P1110" s="456"/>
      <c r="Q1110" s="456"/>
      <c r="R1110" s="456"/>
    </row>
    <row r="1111" spans="1:18" ht="9.75" customHeight="1" x14ac:dyDescent="0.25">
      <c r="A1111" s="456"/>
      <c r="B1111" s="456"/>
      <c r="C1111" s="456"/>
      <c r="D1111" s="456"/>
      <c r="E1111" s="456"/>
      <c r="F1111" s="456"/>
      <c r="G1111" s="456"/>
      <c r="H1111" s="456"/>
      <c r="I1111" s="456"/>
      <c r="J1111" s="456"/>
      <c r="K1111" s="456"/>
      <c r="L1111" s="456"/>
      <c r="M1111" s="456"/>
      <c r="N1111" s="456"/>
      <c r="O1111" s="456"/>
      <c r="P1111" s="456"/>
      <c r="Q1111" s="456"/>
      <c r="R1111" s="456"/>
    </row>
    <row r="1112" spans="1:18" ht="9.75" customHeight="1" x14ac:dyDescent="0.25">
      <c r="A1112" s="456"/>
      <c r="B1112" s="456"/>
      <c r="C1112" s="456"/>
      <c r="D1112" s="456"/>
      <c r="E1112" s="456"/>
      <c r="F1112" s="456"/>
      <c r="G1112" s="456"/>
      <c r="H1112" s="456"/>
      <c r="I1112" s="456"/>
      <c r="J1112" s="456"/>
      <c r="K1112" s="456"/>
      <c r="L1112" s="456"/>
      <c r="M1112" s="456"/>
      <c r="N1112" s="456"/>
      <c r="O1112" s="456"/>
      <c r="P1112" s="456"/>
      <c r="Q1112" s="456"/>
      <c r="R1112" s="456"/>
    </row>
    <row r="1113" spans="1:18" ht="9.75" customHeight="1" x14ac:dyDescent="0.25">
      <c r="A1113" s="456"/>
      <c r="B1113" s="456"/>
      <c r="C1113" s="456"/>
      <c r="D1113" s="456"/>
      <c r="E1113" s="456"/>
      <c r="F1113" s="456"/>
      <c r="G1113" s="456"/>
      <c r="H1113" s="456"/>
      <c r="I1113" s="456"/>
      <c r="J1113" s="456"/>
      <c r="K1113" s="456"/>
      <c r="L1113" s="456"/>
      <c r="M1113" s="456"/>
      <c r="N1113" s="456"/>
      <c r="O1113" s="456"/>
      <c r="P1113" s="456"/>
      <c r="Q1113" s="456"/>
      <c r="R1113" s="456"/>
    </row>
    <row r="1114" spans="1:18" ht="9.75" customHeight="1" x14ac:dyDescent="0.25">
      <c r="A1114" s="456"/>
      <c r="B1114" s="456"/>
      <c r="C1114" s="456"/>
      <c r="D1114" s="456"/>
      <c r="E1114" s="456"/>
      <c r="F1114" s="456"/>
      <c r="G1114" s="456"/>
      <c r="H1114" s="456"/>
      <c r="I1114" s="456"/>
      <c r="J1114" s="456"/>
      <c r="K1114" s="456"/>
      <c r="L1114" s="456"/>
      <c r="M1114" s="456"/>
      <c r="N1114" s="456"/>
      <c r="O1114" s="456"/>
      <c r="P1114" s="456"/>
      <c r="Q1114" s="456"/>
      <c r="R1114" s="456"/>
    </row>
    <row r="1115" spans="1:18" ht="9.75" customHeight="1" x14ac:dyDescent="0.25">
      <c r="A1115" s="456"/>
      <c r="B1115" s="456"/>
      <c r="C1115" s="456"/>
      <c r="D1115" s="456"/>
      <c r="E1115" s="456"/>
      <c r="F1115" s="456"/>
      <c r="G1115" s="456"/>
      <c r="H1115" s="456"/>
      <c r="I1115" s="456"/>
      <c r="J1115" s="456"/>
      <c r="K1115" s="456"/>
      <c r="L1115" s="456"/>
      <c r="M1115" s="456"/>
      <c r="N1115" s="456"/>
      <c r="O1115" s="456"/>
      <c r="P1115" s="456"/>
      <c r="Q1115" s="456"/>
      <c r="R1115" s="456"/>
    </row>
    <row r="1116" spans="1:18" ht="9.75" customHeight="1" x14ac:dyDescent="0.25">
      <c r="A1116" s="456"/>
      <c r="B1116" s="456"/>
      <c r="C1116" s="456"/>
      <c r="D1116" s="456"/>
      <c r="E1116" s="456"/>
      <c r="F1116" s="456"/>
      <c r="G1116" s="456"/>
      <c r="H1116" s="456"/>
      <c r="I1116" s="456"/>
      <c r="J1116" s="456"/>
      <c r="K1116" s="456"/>
      <c r="L1116" s="456"/>
      <c r="M1116" s="456"/>
      <c r="N1116" s="456"/>
      <c r="O1116" s="456"/>
      <c r="P1116" s="456"/>
      <c r="Q1116" s="456"/>
      <c r="R1116" s="456"/>
    </row>
    <row r="1117" spans="1:18" ht="9.75" customHeight="1" x14ac:dyDescent="0.25">
      <c r="A1117" s="456"/>
      <c r="B1117" s="456"/>
      <c r="C1117" s="456"/>
      <c r="D1117" s="456"/>
      <c r="E1117" s="456"/>
      <c r="F1117" s="456"/>
      <c r="G1117" s="456"/>
      <c r="H1117" s="456"/>
      <c r="I1117" s="456"/>
      <c r="J1117" s="456"/>
      <c r="K1117" s="456"/>
      <c r="L1117" s="456"/>
      <c r="M1117" s="456"/>
      <c r="N1117" s="456"/>
      <c r="O1117" s="456"/>
      <c r="P1117" s="456"/>
      <c r="Q1117" s="456"/>
      <c r="R1117" s="456"/>
    </row>
    <row r="1118" spans="1:18" ht="9.75" customHeight="1" x14ac:dyDescent="0.25">
      <c r="A1118" s="456"/>
      <c r="B1118" s="456"/>
      <c r="C1118" s="456"/>
      <c r="D1118" s="456"/>
      <c r="E1118" s="456"/>
      <c r="F1118" s="456"/>
      <c r="G1118" s="456"/>
      <c r="H1118" s="456"/>
      <c r="I1118" s="456"/>
      <c r="J1118" s="456"/>
      <c r="K1118" s="456"/>
      <c r="L1118" s="456"/>
      <c r="M1118" s="456"/>
      <c r="N1118" s="456"/>
      <c r="O1118" s="456"/>
      <c r="P1118" s="456"/>
      <c r="Q1118" s="456"/>
      <c r="R1118" s="456"/>
    </row>
    <row r="1119" spans="1:18" ht="9.75" customHeight="1" x14ac:dyDescent="0.25">
      <c r="A1119" s="456"/>
      <c r="B1119" s="456"/>
      <c r="C1119" s="456"/>
      <c r="D1119" s="456"/>
      <c r="E1119" s="456"/>
      <c r="F1119" s="456"/>
      <c r="G1119" s="456"/>
      <c r="H1119" s="456"/>
      <c r="I1119" s="456"/>
      <c r="J1119" s="456"/>
      <c r="K1119" s="456"/>
      <c r="L1119" s="456"/>
      <c r="M1119" s="456"/>
      <c r="N1119" s="456"/>
      <c r="O1119" s="456"/>
      <c r="P1119" s="456"/>
      <c r="Q1119" s="456"/>
      <c r="R1119" s="456"/>
    </row>
    <row r="1120" spans="1:18" ht="9.75" customHeight="1" x14ac:dyDescent="0.25">
      <c r="A1120" s="456"/>
      <c r="B1120" s="456"/>
      <c r="C1120" s="456"/>
      <c r="D1120" s="456"/>
      <c r="E1120" s="456"/>
      <c r="F1120" s="456"/>
      <c r="G1120" s="456"/>
      <c r="H1120" s="456"/>
      <c r="I1120" s="456"/>
      <c r="J1120" s="456"/>
      <c r="K1120" s="456"/>
      <c r="L1120" s="456"/>
      <c r="M1120" s="456"/>
      <c r="N1120" s="456"/>
      <c r="O1120" s="456"/>
      <c r="P1120" s="456"/>
      <c r="Q1120" s="456"/>
      <c r="R1120" s="456"/>
    </row>
    <row r="1121" spans="1:18" ht="9.75" customHeight="1" x14ac:dyDescent="0.25">
      <c r="A1121" s="456"/>
      <c r="B1121" s="456"/>
      <c r="C1121" s="456"/>
      <c r="D1121" s="456"/>
      <c r="E1121" s="456"/>
      <c r="F1121" s="456"/>
      <c r="G1121" s="456"/>
      <c r="H1121" s="456"/>
      <c r="I1121" s="456"/>
      <c r="J1121" s="456"/>
      <c r="K1121" s="456"/>
      <c r="L1121" s="456"/>
      <c r="M1121" s="456"/>
      <c r="N1121" s="456"/>
      <c r="O1121" s="456"/>
      <c r="P1121" s="456"/>
      <c r="Q1121" s="456"/>
      <c r="R1121" s="456"/>
    </row>
    <row r="1122" spans="1:18" ht="9.75" customHeight="1" x14ac:dyDescent="0.25">
      <c r="A1122" s="456"/>
      <c r="B1122" s="456"/>
      <c r="C1122" s="456"/>
      <c r="D1122" s="456"/>
      <c r="E1122" s="456"/>
      <c r="F1122" s="456"/>
      <c r="G1122" s="456"/>
      <c r="H1122" s="456"/>
      <c r="I1122" s="456"/>
      <c r="J1122" s="456"/>
      <c r="K1122" s="456"/>
      <c r="L1122" s="456"/>
      <c r="M1122" s="456"/>
      <c r="N1122" s="456"/>
      <c r="O1122" s="456"/>
      <c r="P1122" s="456"/>
      <c r="Q1122" s="456"/>
      <c r="R1122" s="456"/>
    </row>
    <row r="1123" spans="1:18" ht="9.75" customHeight="1" x14ac:dyDescent="0.25">
      <c r="A1123" s="456"/>
      <c r="B1123" s="456"/>
      <c r="C1123" s="456"/>
      <c r="D1123" s="456"/>
      <c r="E1123" s="456"/>
      <c r="F1123" s="456"/>
      <c r="G1123" s="456"/>
      <c r="H1123" s="456"/>
      <c r="I1123" s="456"/>
      <c r="J1123" s="456"/>
      <c r="K1123" s="456"/>
      <c r="L1123" s="456"/>
      <c r="M1123" s="456"/>
      <c r="N1123" s="456"/>
      <c r="O1123" s="456"/>
      <c r="P1123" s="456"/>
      <c r="Q1123" s="456"/>
      <c r="R1123" s="456"/>
    </row>
    <row r="1124" spans="1:18" ht="9.75" customHeight="1" x14ac:dyDescent="0.25">
      <c r="A1124" s="456"/>
      <c r="B1124" s="456"/>
      <c r="C1124" s="456"/>
      <c r="D1124" s="456"/>
      <c r="E1124" s="456"/>
      <c r="F1124" s="456"/>
      <c r="G1124" s="456"/>
      <c r="H1124" s="456"/>
      <c r="I1124" s="456"/>
      <c r="J1124" s="456"/>
      <c r="K1124" s="456"/>
      <c r="L1124" s="456"/>
      <c r="M1124" s="456"/>
      <c r="N1124" s="456"/>
      <c r="O1124" s="456"/>
      <c r="P1124" s="456"/>
      <c r="Q1124" s="456"/>
      <c r="R1124" s="456"/>
    </row>
    <row r="1125" spans="1:18" ht="9.75" customHeight="1" x14ac:dyDescent="0.25">
      <c r="A1125" s="456"/>
      <c r="B1125" s="456"/>
      <c r="C1125" s="456"/>
      <c r="D1125" s="456"/>
      <c r="E1125" s="456"/>
      <c r="F1125" s="456"/>
      <c r="G1125" s="456"/>
      <c r="H1125" s="456"/>
      <c r="I1125" s="456"/>
      <c r="J1125" s="456"/>
      <c r="K1125" s="456"/>
      <c r="L1125" s="456"/>
      <c r="M1125" s="456"/>
      <c r="N1125" s="456"/>
      <c r="O1125" s="456"/>
      <c r="P1125" s="456"/>
      <c r="Q1125" s="456"/>
      <c r="R1125" s="456"/>
    </row>
    <row r="1126" spans="1:18" ht="9.75" customHeight="1" x14ac:dyDescent="0.25">
      <c r="A1126" s="456"/>
      <c r="B1126" s="456"/>
      <c r="C1126" s="456"/>
      <c r="D1126" s="456"/>
      <c r="E1126" s="456"/>
      <c r="F1126" s="456"/>
      <c r="G1126" s="456"/>
      <c r="H1126" s="456"/>
      <c r="I1126" s="456"/>
      <c r="J1126" s="456"/>
      <c r="K1126" s="456"/>
      <c r="L1126" s="456"/>
      <c r="M1126" s="456"/>
      <c r="N1126" s="456"/>
      <c r="O1126" s="456"/>
      <c r="P1126" s="456"/>
      <c r="Q1126" s="456"/>
      <c r="R1126" s="456"/>
    </row>
    <row r="1127" spans="1:18" ht="9.75" customHeight="1" x14ac:dyDescent="0.25">
      <c r="A1127" s="456"/>
      <c r="B1127" s="456"/>
      <c r="C1127" s="456"/>
      <c r="D1127" s="456"/>
      <c r="E1127" s="456"/>
      <c r="F1127" s="456"/>
      <c r="G1127" s="456"/>
      <c r="H1127" s="456"/>
      <c r="I1127" s="456"/>
      <c r="J1127" s="456"/>
      <c r="K1127" s="456"/>
      <c r="L1127" s="456"/>
      <c r="M1127" s="456"/>
      <c r="N1127" s="456"/>
      <c r="O1127" s="456"/>
      <c r="P1127" s="456"/>
      <c r="Q1127" s="456"/>
      <c r="R1127" s="456"/>
    </row>
    <row r="1128" spans="1:18" ht="9.75" customHeight="1" x14ac:dyDescent="0.25">
      <c r="A1128" s="456"/>
      <c r="B1128" s="456"/>
      <c r="C1128" s="456"/>
      <c r="D1128" s="456"/>
      <c r="E1128" s="456"/>
      <c r="F1128" s="456"/>
      <c r="G1128" s="456"/>
      <c r="H1128" s="456"/>
      <c r="I1128" s="456"/>
      <c r="J1128" s="456"/>
      <c r="K1128" s="456"/>
      <c r="L1128" s="456"/>
      <c r="M1128" s="456"/>
      <c r="N1128" s="456"/>
      <c r="O1128" s="456"/>
      <c r="P1128" s="456"/>
      <c r="Q1128" s="456"/>
      <c r="R1128" s="456"/>
    </row>
    <row r="1129" spans="1:18" ht="9.75" customHeight="1" x14ac:dyDescent="0.25">
      <c r="A1129" s="456"/>
      <c r="B1129" s="456"/>
      <c r="C1129" s="456"/>
      <c r="D1129" s="456"/>
      <c r="E1129" s="456"/>
      <c r="F1129" s="456"/>
      <c r="G1129" s="456"/>
      <c r="H1129" s="456"/>
      <c r="I1129" s="456"/>
      <c r="J1129" s="456"/>
      <c r="K1129" s="456"/>
      <c r="L1129" s="456"/>
      <c r="M1129" s="456"/>
      <c r="N1129" s="456"/>
      <c r="O1129" s="456"/>
      <c r="P1129" s="456"/>
      <c r="Q1129" s="456"/>
      <c r="R1129" s="456"/>
    </row>
    <row r="1130" spans="1:18" ht="9.75" customHeight="1" x14ac:dyDescent="0.25">
      <c r="A1130" s="456"/>
      <c r="B1130" s="456"/>
      <c r="C1130" s="456"/>
      <c r="D1130" s="456"/>
      <c r="E1130" s="456"/>
      <c r="F1130" s="456"/>
      <c r="G1130" s="456"/>
      <c r="H1130" s="456"/>
      <c r="I1130" s="456"/>
      <c r="J1130" s="456"/>
      <c r="K1130" s="456"/>
      <c r="L1130" s="456"/>
      <c r="M1130" s="456"/>
      <c r="N1130" s="456"/>
      <c r="O1130" s="456"/>
      <c r="P1130" s="456"/>
      <c r="Q1130" s="456"/>
      <c r="R1130" s="456"/>
    </row>
    <row r="1131" spans="1:18" ht="9.75" customHeight="1" x14ac:dyDescent="0.25">
      <c r="A1131" s="456"/>
      <c r="B1131" s="456"/>
      <c r="C1131" s="456"/>
      <c r="D1131" s="456"/>
      <c r="E1131" s="456"/>
      <c r="F1131" s="456"/>
      <c r="G1131" s="456"/>
      <c r="H1131" s="456"/>
      <c r="I1131" s="456"/>
      <c r="J1131" s="456"/>
      <c r="K1131" s="456"/>
      <c r="L1131" s="456"/>
      <c r="M1131" s="456"/>
      <c r="N1131" s="456"/>
      <c r="O1131" s="456"/>
      <c r="P1131" s="456"/>
      <c r="Q1131" s="456"/>
      <c r="R1131" s="456"/>
    </row>
    <row r="1132" spans="1:18" ht="9.75" customHeight="1" x14ac:dyDescent="0.25">
      <c r="A1132" s="456"/>
      <c r="B1132" s="456"/>
      <c r="C1132" s="456"/>
      <c r="D1132" s="456"/>
      <c r="E1132" s="456"/>
      <c r="F1132" s="456"/>
      <c r="G1132" s="456"/>
      <c r="H1132" s="456"/>
      <c r="I1132" s="456"/>
      <c r="J1132" s="456"/>
      <c r="K1132" s="456"/>
      <c r="L1132" s="456"/>
      <c r="M1132" s="456"/>
      <c r="N1132" s="456"/>
      <c r="O1132" s="456"/>
      <c r="P1132" s="456"/>
      <c r="Q1132" s="456"/>
      <c r="R1132" s="456"/>
    </row>
    <row r="1133" spans="1:18" ht="9.75" customHeight="1" x14ac:dyDescent="0.25">
      <c r="A1133" s="456"/>
      <c r="B1133" s="456"/>
      <c r="C1133" s="456"/>
      <c r="D1133" s="456"/>
      <c r="E1133" s="456"/>
      <c r="F1133" s="456"/>
      <c r="G1133" s="456"/>
      <c r="H1133" s="456"/>
      <c r="I1133" s="456"/>
      <c r="J1133" s="456"/>
      <c r="K1133" s="456"/>
      <c r="L1133" s="456"/>
      <c r="M1133" s="456"/>
      <c r="N1133" s="456"/>
      <c r="O1133" s="456"/>
      <c r="P1133" s="456"/>
      <c r="Q1133" s="456"/>
      <c r="R1133" s="456"/>
    </row>
    <row r="1134" spans="1:18" ht="9.75" customHeight="1" x14ac:dyDescent="0.25">
      <c r="A1134" s="456"/>
      <c r="B1134" s="456"/>
      <c r="C1134" s="456"/>
      <c r="D1134" s="456"/>
      <c r="E1134" s="456"/>
      <c r="F1134" s="456"/>
      <c r="G1134" s="456"/>
      <c r="H1134" s="456"/>
      <c r="I1134" s="456"/>
      <c r="J1134" s="456"/>
      <c r="K1134" s="456"/>
      <c r="L1134" s="456"/>
      <c r="M1134" s="456"/>
      <c r="N1134" s="456"/>
      <c r="O1134" s="456"/>
      <c r="P1134" s="456"/>
      <c r="Q1134" s="456"/>
      <c r="R1134" s="456"/>
    </row>
    <row r="1135" spans="1:18" ht="9.75" customHeight="1" x14ac:dyDescent="0.25">
      <c r="A1135" s="456"/>
      <c r="B1135" s="456"/>
      <c r="C1135" s="456"/>
      <c r="D1135" s="456"/>
      <c r="E1135" s="456"/>
      <c r="F1135" s="456"/>
      <c r="G1135" s="456"/>
      <c r="H1135" s="456"/>
      <c r="I1135" s="456"/>
      <c r="J1135" s="456"/>
      <c r="K1135" s="456"/>
      <c r="L1135" s="456"/>
      <c r="M1135" s="456"/>
      <c r="N1135" s="456"/>
      <c r="O1135" s="456"/>
      <c r="P1135" s="456"/>
      <c r="Q1135" s="456"/>
      <c r="R1135" s="456"/>
    </row>
    <row r="1136" spans="1:18" ht="9.75" customHeight="1" x14ac:dyDescent="0.25">
      <c r="A1136" s="456"/>
      <c r="B1136" s="456"/>
      <c r="C1136" s="456"/>
      <c r="D1136" s="456"/>
      <c r="E1136" s="456"/>
      <c r="F1136" s="456"/>
      <c r="G1136" s="456"/>
      <c r="H1136" s="456"/>
      <c r="I1136" s="456"/>
      <c r="J1136" s="456"/>
      <c r="K1136" s="456"/>
      <c r="L1136" s="456"/>
      <c r="M1136" s="456"/>
      <c r="N1136" s="456"/>
      <c r="O1136" s="456"/>
      <c r="P1136" s="456"/>
      <c r="Q1136" s="456"/>
      <c r="R1136" s="456"/>
    </row>
    <row r="1137" spans="1:18" ht="9.75" customHeight="1" x14ac:dyDescent="0.25">
      <c r="A1137" s="456"/>
      <c r="B1137" s="456"/>
      <c r="C1137" s="456"/>
      <c r="D1137" s="456"/>
      <c r="E1137" s="456"/>
      <c r="F1137" s="456"/>
      <c r="G1137" s="456"/>
      <c r="H1137" s="456"/>
      <c r="I1137" s="456"/>
      <c r="J1137" s="456"/>
      <c r="K1137" s="456"/>
      <c r="L1137" s="456"/>
      <c r="M1137" s="456"/>
      <c r="N1137" s="456"/>
      <c r="O1137" s="456"/>
      <c r="P1137" s="456"/>
      <c r="Q1137" s="456"/>
      <c r="R1137" s="456"/>
    </row>
    <row r="1138" spans="1:18" ht="9.75" customHeight="1" x14ac:dyDescent="0.25">
      <c r="A1138" s="456"/>
      <c r="B1138" s="456"/>
      <c r="C1138" s="456"/>
      <c r="D1138" s="456"/>
      <c r="E1138" s="456"/>
      <c r="F1138" s="456"/>
      <c r="G1138" s="456"/>
      <c r="H1138" s="456"/>
      <c r="I1138" s="456"/>
      <c r="J1138" s="456"/>
      <c r="K1138" s="456"/>
      <c r="L1138" s="456"/>
      <c r="M1138" s="456"/>
      <c r="N1138" s="456"/>
      <c r="O1138" s="456"/>
      <c r="P1138" s="456"/>
      <c r="Q1138" s="456"/>
      <c r="R1138" s="456"/>
    </row>
    <row r="1139" spans="1:18" ht="9.75" customHeight="1" x14ac:dyDescent="0.25">
      <c r="A1139" s="456"/>
      <c r="B1139" s="456"/>
      <c r="C1139" s="456"/>
      <c r="D1139" s="456"/>
      <c r="E1139" s="456"/>
      <c r="F1139" s="456"/>
      <c r="G1139" s="456"/>
      <c r="H1139" s="456"/>
      <c r="I1139" s="456"/>
      <c r="J1139" s="456"/>
      <c r="K1139" s="456"/>
      <c r="L1139" s="456"/>
      <c r="M1139" s="456"/>
      <c r="N1139" s="456"/>
      <c r="O1139" s="456"/>
      <c r="P1139" s="456"/>
      <c r="Q1139" s="456"/>
      <c r="R1139" s="456"/>
    </row>
    <row r="1140" spans="1:18" ht="9.75" customHeight="1" x14ac:dyDescent="0.25">
      <c r="A1140" s="456"/>
      <c r="B1140" s="456"/>
      <c r="C1140" s="456"/>
      <c r="D1140" s="456"/>
      <c r="E1140" s="456"/>
      <c r="F1140" s="456"/>
      <c r="G1140" s="456"/>
      <c r="H1140" s="456"/>
      <c r="I1140" s="456"/>
      <c r="J1140" s="456"/>
      <c r="K1140" s="456"/>
      <c r="L1140" s="456"/>
      <c r="M1140" s="456"/>
      <c r="N1140" s="456"/>
      <c r="O1140" s="456"/>
      <c r="P1140" s="456"/>
      <c r="Q1140" s="456"/>
      <c r="R1140" s="456"/>
    </row>
    <row r="1141" spans="1:18" ht="9.75" customHeight="1" x14ac:dyDescent="0.25">
      <c r="A1141" s="456"/>
      <c r="B1141" s="456"/>
      <c r="C1141" s="456"/>
      <c r="D1141" s="456"/>
      <c r="E1141" s="456"/>
      <c r="F1141" s="456"/>
      <c r="G1141" s="456"/>
      <c r="H1141" s="456"/>
      <c r="I1141" s="456"/>
      <c r="J1141" s="456"/>
      <c r="K1141" s="456"/>
      <c r="L1141" s="456"/>
      <c r="M1141" s="456"/>
      <c r="N1141" s="456"/>
      <c r="O1141" s="456"/>
      <c r="P1141" s="456"/>
      <c r="Q1141" s="456"/>
      <c r="R1141" s="456"/>
    </row>
    <row r="1142" spans="1:18" ht="9.75" customHeight="1" x14ac:dyDescent="0.25">
      <c r="A1142" s="456"/>
      <c r="B1142" s="456"/>
      <c r="C1142" s="456"/>
      <c r="D1142" s="456"/>
      <c r="E1142" s="456"/>
      <c r="F1142" s="456"/>
      <c r="G1142" s="456"/>
      <c r="H1142" s="456"/>
      <c r="I1142" s="456"/>
      <c r="J1142" s="456"/>
      <c r="K1142" s="456"/>
      <c r="L1142" s="456"/>
      <c r="M1142" s="456"/>
      <c r="N1142" s="456"/>
      <c r="O1142" s="456"/>
      <c r="P1142" s="456"/>
      <c r="Q1142" s="456"/>
      <c r="R1142" s="456"/>
    </row>
    <row r="1143" spans="1:18" ht="9.75" customHeight="1" x14ac:dyDescent="0.25">
      <c r="A1143" s="456"/>
      <c r="B1143" s="456"/>
      <c r="C1143" s="456"/>
      <c r="D1143" s="456"/>
      <c r="E1143" s="456"/>
      <c r="F1143" s="456"/>
      <c r="G1143" s="456"/>
      <c r="H1143" s="456"/>
      <c r="I1143" s="456"/>
      <c r="J1143" s="456"/>
      <c r="K1143" s="456"/>
      <c r="L1143" s="456"/>
      <c r="M1143" s="456"/>
      <c r="N1143" s="456"/>
      <c r="O1143" s="456"/>
      <c r="P1143" s="456"/>
      <c r="Q1143" s="456"/>
      <c r="R1143" s="456"/>
    </row>
    <row r="1144" spans="1:18" ht="9.75" customHeight="1" x14ac:dyDescent="0.25">
      <c r="A1144" s="456"/>
      <c r="B1144" s="456"/>
      <c r="C1144" s="456"/>
      <c r="D1144" s="456"/>
      <c r="E1144" s="456"/>
      <c r="F1144" s="456"/>
      <c r="G1144" s="456"/>
      <c r="H1144" s="456"/>
      <c r="I1144" s="456"/>
      <c r="J1144" s="456"/>
      <c r="K1144" s="456"/>
      <c r="L1144" s="456"/>
      <c r="M1144" s="456"/>
      <c r="N1144" s="456"/>
      <c r="O1144" s="456"/>
      <c r="P1144" s="456"/>
      <c r="Q1144" s="456"/>
      <c r="R1144" s="456"/>
    </row>
    <row r="1145" spans="1:18" ht="9.75" customHeight="1" x14ac:dyDescent="0.25">
      <c r="A1145" s="456"/>
      <c r="B1145" s="456"/>
      <c r="C1145" s="456"/>
      <c r="D1145" s="456"/>
      <c r="E1145" s="456"/>
      <c r="F1145" s="456"/>
      <c r="G1145" s="456"/>
      <c r="H1145" s="456"/>
      <c r="I1145" s="456"/>
      <c r="J1145" s="456"/>
      <c r="K1145" s="456"/>
      <c r="L1145" s="456"/>
      <c r="M1145" s="456"/>
      <c r="N1145" s="456"/>
      <c r="O1145" s="456"/>
      <c r="P1145" s="456"/>
      <c r="Q1145" s="456"/>
      <c r="R1145" s="456"/>
    </row>
    <row r="1146" spans="1:18" ht="9.75" customHeight="1" x14ac:dyDescent="0.25">
      <c r="A1146" s="456"/>
      <c r="B1146" s="456"/>
      <c r="C1146" s="456"/>
      <c r="D1146" s="456"/>
      <c r="E1146" s="456"/>
      <c r="F1146" s="456"/>
      <c r="G1146" s="456"/>
      <c r="H1146" s="456"/>
      <c r="I1146" s="456"/>
      <c r="J1146" s="456"/>
      <c r="K1146" s="456"/>
      <c r="L1146" s="456"/>
      <c r="M1146" s="456"/>
      <c r="N1146" s="456"/>
      <c r="O1146" s="456"/>
      <c r="P1146" s="456"/>
      <c r="Q1146" s="456"/>
      <c r="R1146" s="456"/>
    </row>
    <row r="1147" spans="1:18" ht="9.75" customHeight="1" x14ac:dyDescent="0.25">
      <c r="A1147" s="456"/>
      <c r="B1147" s="456"/>
      <c r="C1147" s="456"/>
      <c r="D1147" s="456"/>
      <c r="E1147" s="456"/>
      <c r="F1147" s="456"/>
      <c r="G1147" s="456"/>
      <c r="H1147" s="456"/>
      <c r="I1147" s="456"/>
      <c r="J1147" s="456"/>
      <c r="K1147" s="456"/>
      <c r="L1147" s="456"/>
      <c r="M1147" s="456"/>
      <c r="N1147" s="456"/>
      <c r="O1147" s="456"/>
      <c r="P1147" s="456"/>
      <c r="Q1147" s="456"/>
      <c r="R1147" s="456"/>
    </row>
    <row r="1148" spans="1:18" ht="9.75" customHeight="1" x14ac:dyDescent="0.25">
      <c r="A1148" s="456"/>
      <c r="B1148" s="456"/>
      <c r="C1148" s="456"/>
      <c r="D1148" s="456"/>
      <c r="E1148" s="456"/>
      <c r="F1148" s="456"/>
      <c r="G1148" s="456"/>
      <c r="H1148" s="456"/>
      <c r="I1148" s="456"/>
      <c r="J1148" s="456"/>
      <c r="K1148" s="456"/>
      <c r="L1148" s="456"/>
      <c r="M1148" s="456"/>
      <c r="N1148" s="456"/>
      <c r="O1148" s="456"/>
      <c r="P1148" s="456"/>
      <c r="Q1148" s="456"/>
      <c r="R1148" s="456"/>
    </row>
    <row r="1149" spans="1:18" ht="9.75" customHeight="1" x14ac:dyDescent="0.25">
      <c r="A1149" s="456"/>
      <c r="B1149" s="456"/>
      <c r="C1149" s="456"/>
      <c r="D1149" s="456"/>
      <c r="E1149" s="456"/>
      <c r="F1149" s="456"/>
      <c r="G1149" s="456"/>
      <c r="H1149" s="456"/>
      <c r="I1149" s="456"/>
      <c r="J1149" s="456"/>
      <c r="K1149" s="456"/>
      <c r="L1149" s="456"/>
      <c r="M1149" s="456"/>
      <c r="N1149" s="456"/>
      <c r="O1149" s="456"/>
      <c r="P1149" s="456"/>
      <c r="Q1149" s="456"/>
      <c r="R1149" s="456"/>
    </row>
    <row r="1150" spans="1:18" ht="9.75" customHeight="1" x14ac:dyDescent="0.25">
      <c r="A1150" s="456"/>
      <c r="B1150" s="456"/>
      <c r="C1150" s="456"/>
      <c r="D1150" s="456"/>
      <c r="E1150" s="456"/>
      <c r="F1150" s="456"/>
      <c r="G1150" s="456"/>
      <c r="H1150" s="456"/>
      <c r="I1150" s="456"/>
      <c r="J1150" s="456"/>
      <c r="K1150" s="456"/>
      <c r="L1150" s="456"/>
      <c r="M1150" s="456"/>
      <c r="N1150" s="456"/>
      <c r="O1150" s="456"/>
      <c r="P1150" s="456"/>
      <c r="Q1150" s="456"/>
      <c r="R1150" s="456"/>
    </row>
    <row r="1151" spans="1:18" ht="9.75" customHeight="1" x14ac:dyDescent="0.25">
      <c r="A1151" s="456"/>
      <c r="B1151" s="456"/>
      <c r="C1151" s="456"/>
      <c r="D1151" s="456"/>
      <c r="E1151" s="456"/>
      <c r="F1151" s="456"/>
      <c r="G1151" s="456"/>
      <c r="H1151" s="456"/>
      <c r="I1151" s="456"/>
      <c r="J1151" s="456"/>
      <c r="K1151" s="456"/>
      <c r="L1151" s="456"/>
      <c r="M1151" s="456"/>
      <c r="N1151" s="456"/>
      <c r="O1151" s="456"/>
      <c r="P1151" s="456"/>
      <c r="Q1151" s="456"/>
      <c r="R1151" s="456"/>
    </row>
    <row r="1152" spans="1:18" ht="9.75" customHeight="1" x14ac:dyDescent="0.25">
      <c r="A1152" s="456"/>
      <c r="B1152" s="456"/>
      <c r="C1152" s="456"/>
      <c r="D1152" s="456"/>
      <c r="E1152" s="456"/>
      <c r="F1152" s="456"/>
      <c r="G1152" s="456"/>
      <c r="H1152" s="456"/>
      <c r="I1152" s="456"/>
      <c r="J1152" s="456"/>
      <c r="K1152" s="456"/>
      <c r="L1152" s="456"/>
      <c r="M1152" s="456"/>
      <c r="N1152" s="456"/>
      <c r="O1152" s="456"/>
      <c r="P1152" s="456"/>
      <c r="Q1152" s="456"/>
      <c r="R1152" s="456"/>
    </row>
    <row r="1153" spans="1:18" ht="9.75" customHeight="1" x14ac:dyDescent="0.25">
      <c r="A1153" s="456"/>
      <c r="B1153" s="456"/>
      <c r="C1153" s="456"/>
      <c r="D1153" s="456"/>
      <c r="E1153" s="456"/>
      <c r="F1153" s="456"/>
      <c r="G1153" s="456"/>
      <c r="H1153" s="456"/>
      <c r="I1153" s="456"/>
      <c r="J1153" s="456"/>
      <c r="K1153" s="456"/>
      <c r="L1153" s="456"/>
      <c r="M1153" s="456"/>
      <c r="N1153" s="456"/>
      <c r="O1153" s="456"/>
      <c r="P1153" s="456"/>
      <c r="Q1153" s="456"/>
      <c r="R1153" s="456"/>
    </row>
    <row r="1154" spans="1:18" ht="9.75" customHeight="1" x14ac:dyDescent="0.25">
      <c r="A1154" s="456"/>
      <c r="B1154" s="456"/>
      <c r="C1154" s="456"/>
      <c r="D1154" s="456"/>
      <c r="E1154" s="456"/>
      <c r="F1154" s="456"/>
      <c r="G1154" s="456"/>
      <c r="H1154" s="456"/>
      <c r="I1154" s="456"/>
      <c r="J1154" s="456"/>
      <c r="K1154" s="456"/>
      <c r="L1154" s="456"/>
      <c r="M1154" s="456"/>
      <c r="N1154" s="456"/>
      <c r="O1154" s="456"/>
      <c r="P1154" s="456"/>
      <c r="Q1154" s="456"/>
      <c r="R1154" s="456"/>
    </row>
    <row r="1155" spans="1:18" ht="9.75" customHeight="1" x14ac:dyDescent="0.25">
      <c r="A1155" s="456"/>
      <c r="B1155" s="456"/>
      <c r="C1155" s="456"/>
      <c r="D1155" s="456"/>
      <c r="E1155" s="456"/>
      <c r="F1155" s="456"/>
      <c r="G1155" s="456"/>
      <c r="H1155" s="456"/>
      <c r="I1155" s="456"/>
      <c r="J1155" s="456"/>
      <c r="K1155" s="456"/>
      <c r="L1155" s="456"/>
      <c r="M1155" s="456"/>
      <c r="N1155" s="456"/>
      <c r="O1155" s="456"/>
      <c r="P1155" s="456"/>
      <c r="Q1155" s="456"/>
      <c r="R1155" s="456"/>
    </row>
    <row r="1156" spans="1:18" ht="9.75" customHeight="1" x14ac:dyDescent="0.25">
      <c r="A1156" s="456"/>
      <c r="B1156" s="456"/>
      <c r="C1156" s="456"/>
      <c r="D1156" s="456"/>
      <c r="E1156" s="456"/>
      <c r="F1156" s="456"/>
      <c r="G1156" s="456"/>
      <c r="H1156" s="456"/>
      <c r="I1156" s="456"/>
      <c r="J1156" s="456"/>
      <c r="K1156" s="456"/>
      <c r="L1156" s="456"/>
      <c r="M1156" s="456"/>
      <c r="N1156" s="456"/>
      <c r="O1156" s="456"/>
      <c r="P1156" s="456"/>
      <c r="Q1156" s="456"/>
      <c r="R1156" s="456"/>
    </row>
    <row r="1157" spans="1:18" ht="9.75" customHeight="1" x14ac:dyDescent="0.25">
      <c r="A1157" s="456"/>
      <c r="B1157" s="456"/>
      <c r="C1157" s="456"/>
      <c r="D1157" s="456"/>
      <c r="E1157" s="456"/>
      <c r="F1157" s="456"/>
      <c r="G1157" s="456"/>
      <c r="H1157" s="456"/>
      <c r="I1157" s="456"/>
      <c r="J1157" s="456"/>
      <c r="K1157" s="456"/>
      <c r="L1157" s="456"/>
      <c r="M1157" s="456"/>
      <c r="N1157" s="456"/>
      <c r="O1157" s="456"/>
      <c r="P1157" s="456"/>
      <c r="Q1157" s="456"/>
      <c r="R1157" s="456"/>
    </row>
    <row r="1158" spans="1:18" ht="9.75" customHeight="1" x14ac:dyDescent="0.25">
      <c r="A1158" s="456"/>
      <c r="B1158" s="456"/>
      <c r="C1158" s="456"/>
      <c r="D1158" s="456"/>
      <c r="E1158" s="456"/>
      <c r="F1158" s="456"/>
      <c r="G1158" s="456"/>
      <c r="H1158" s="456"/>
      <c r="I1158" s="456"/>
      <c r="J1158" s="456"/>
      <c r="K1158" s="456"/>
      <c r="L1158" s="456"/>
      <c r="M1158" s="456"/>
      <c r="N1158" s="456"/>
      <c r="O1158" s="456"/>
      <c r="P1158" s="456"/>
      <c r="Q1158" s="456"/>
      <c r="R1158" s="456"/>
    </row>
    <row r="1159" spans="1:18" ht="9.75" customHeight="1" x14ac:dyDescent="0.25">
      <c r="A1159" s="456"/>
      <c r="B1159" s="456"/>
      <c r="C1159" s="456"/>
      <c r="D1159" s="456"/>
      <c r="E1159" s="456"/>
      <c r="F1159" s="456"/>
      <c r="G1159" s="456"/>
      <c r="H1159" s="456"/>
      <c r="I1159" s="456"/>
      <c r="J1159" s="456"/>
      <c r="K1159" s="456"/>
      <c r="L1159" s="456"/>
      <c r="M1159" s="456"/>
      <c r="N1159" s="456"/>
      <c r="O1159" s="456"/>
      <c r="P1159" s="456"/>
      <c r="Q1159" s="456"/>
      <c r="R1159" s="456"/>
    </row>
    <row r="1160" spans="1:18" ht="9.75" customHeight="1" x14ac:dyDescent="0.25">
      <c r="A1160" s="456"/>
      <c r="B1160" s="456"/>
      <c r="C1160" s="456"/>
      <c r="D1160" s="456"/>
      <c r="E1160" s="456"/>
      <c r="F1160" s="456"/>
      <c r="G1160" s="456"/>
      <c r="H1160" s="456"/>
      <c r="I1160" s="456"/>
      <c r="J1160" s="456"/>
      <c r="K1160" s="456"/>
      <c r="L1160" s="456"/>
      <c r="M1160" s="456"/>
      <c r="N1160" s="456"/>
      <c r="O1160" s="456"/>
      <c r="P1160" s="456"/>
      <c r="Q1160" s="456"/>
      <c r="R1160" s="456"/>
    </row>
    <row r="1161" spans="1:18" ht="9.75" customHeight="1" x14ac:dyDescent="0.25">
      <c r="A1161" s="456"/>
      <c r="B1161" s="456"/>
      <c r="C1161" s="456"/>
      <c r="D1161" s="456"/>
      <c r="E1161" s="456"/>
      <c r="F1161" s="456"/>
      <c r="G1161" s="456"/>
      <c r="H1161" s="456"/>
      <c r="I1161" s="456"/>
      <c r="J1161" s="456"/>
      <c r="K1161" s="456"/>
      <c r="L1161" s="456"/>
      <c r="M1161" s="456"/>
      <c r="N1161" s="456"/>
      <c r="O1161" s="456"/>
      <c r="P1161" s="456"/>
      <c r="Q1161" s="456"/>
      <c r="R1161" s="456"/>
    </row>
    <row r="1162" spans="1:18" ht="9.75" customHeight="1" x14ac:dyDescent="0.25">
      <c r="A1162" s="456"/>
      <c r="B1162" s="456"/>
      <c r="C1162" s="456"/>
      <c r="D1162" s="456"/>
      <c r="E1162" s="456"/>
      <c r="F1162" s="456"/>
      <c r="G1162" s="456"/>
      <c r="H1162" s="456"/>
      <c r="I1162" s="456"/>
      <c r="J1162" s="456"/>
      <c r="K1162" s="456"/>
      <c r="L1162" s="456"/>
      <c r="M1162" s="456"/>
      <c r="N1162" s="456"/>
      <c r="O1162" s="456"/>
      <c r="P1162" s="456"/>
      <c r="Q1162" s="456"/>
      <c r="R1162" s="456"/>
    </row>
    <row r="1163" spans="1:18" ht="9.75" customHeight="1" x14ac:dyDescent="0.25">
      <c r="A1163" s="456"/>
      <c r="B1163" s="456"/>
      <c r="C1163" s="456"/>
      <c r="D1163" s="456"/>
      <c r="E1163" s="456"/>
      <c r="F1163" s="456"/>
      <c r="G1163" s="456"/>
      <c r="H1163" s="456"/>
      <c r="I1163" s="456"/>
      <c r="J1163" s="456"/>
      <c r="K1163" s="456"/>
      <c r="L1163" s="456"/>
      <c r="M1163" s="456"/>
      <c r="N1163" s="456"/>
      <c r="O1163" s="456"/>
      <c r="P1163" s="456"/>
      <c r="Q1163" s="456"/>
      <c r="R1163" s="456"/>
    </row>
    <row r="1164" spans="1:18" ht="9.75" customHeight="1" x14ac:dyDescent="0.25">
      <c r="A1164" s="456"/>
      <c r="B1164" s="456"/>
      <c r="C1164" s="456"/>
      <c r="D1164" s="456"/>
      <c r="E1164" s="456"/>
      <c r="F1164" s="456"/>
      <c r="G1164" s="456"/>
      <c r="H1164" s="456"/>
      <c r="I1164" s="456"/>
      <c r="J1164" s="456"/>
      <c r="K1164" s="456"/>
      <c r="L1164" s="456"/>
      <c r="M1164" s="456"/>
      <c r="N1164" s="456"/>
      <c r="O1164" s="456"/>
      <c r="P1164" s="456"/>
      <c r="Q1164" s="456"/>
      <c r="R1164" s="456"/>
    </row>
    <row r="1165" spans="1:18" ht="9.75" customHeight="1" x14ac:dyDescent="0.25">
      <c r="A1165" s="456"/>
      <c r="B1165" s="456"/>
      <c r="C1165" s="456"/>
      <c r="D1165" s="456"/>
      <c r="E1165" s="456"/>
      <c r="F1165" s="456"/>
      <c r="G1165" s="456"/>
      <c r="H1165" s="456"/>
      <c r="I1165" s="456"/>
      <c r="J1165" s="456"/>
      <c r="K1165" s="456"/>
      <c r="L1165" s="456"/>
      <c r="M1165" s="456"/>
      <c r="N1165" s="456"/>
      <c r="O1165" s="456"/>
      <c r="P1165" s="456"/>
      <c r="Q1165" s="456"/>
      <c r="R1165" s="456"/>
    </row>
    <row r="1166" spans="1:18" ht="9.75" customHeight="1" x14ac:dyDescent="0.25">
      <c r="A1166" s="456"/>
      <c r="B1166" s="456"/>
      <c r="C1166" s="456"/>
      <c r="D1166" s="456"/>
      <c r="E1166" s="456"/>
      <c r="F1166" s="456"/>
      <c r="G1166" s="456"/>
      <c r="H1166" s="456"/>
      <c r="I1166" s="456"/>
      <c r="J1166" s="456"/>
      <c r="K1166" s="456"/>
      <c r="L1166" s="456"/>
      <c r="M1166" s="456"/>
      <c r="N1166" s="456"/>
      <c r="O1166" s="456"/>
      <c r="P1166" s="456"/>
      <c r="Q1166" s="456"/>
      <c r="R1166" s="456"/>
    </row>
    <row r="1167" spans="1:18" ht="9.75" customHeight="1" x14ac:dyDescent="0.25">
      <c r="A1167" s="456"/>
      <c r="B1167" s="456"/>
      <c r="C1167" s="456"/>
      <c r="D1167" s="456"/>
      <c r="E1167" s="456"/>
      <c r="F1167" s="456"/>
      <c r="G1167" s="456"/>
      <c r="H1167" s="456"/>
      <c r="I1167" s="456"/>
      <c r="J1167" s="456"/>
      <c r="K1167" s="456"/>
      <c r="L1167" s="456"/>
      <c r="M1167" s="456"/>
      <c r="N1167" s="456"/>
      <c r="O1167" s="456"/>
      <c r="P1167" s="456"/>
      <c r="Q1167" s="456"/>
      <c r="R1167" s="456"/>
    </row>
    <row r="1168" spans="1:18" ht="9.75" customHeight="1" x14ac:dyDescent="0.25">
      <c r="A1168" s="456"/>
      <c r="B1168" s="456"/>
      <c r="C1168" s="456"/>
      <c r="D1168" s="456"/>
      <c r="E1168" s="456"/>
      <c r="F1168" s="456"/>
      <c r="G1168" s="456"/>
      <c r="H1168" s="456"/>
      <c r="I1168" s="456"/>
      <c r="J1168" s="456"/>
      <c r="K1168" s="456"/>
      <c r="L1168" s="456"/>
      <c r="M1168" s="456"/>
      <c r="N1168" s="456"/>
      <c r="O1168" s="456"/>
      <c r="P1168" s="456"/>
      <c r="Q1168" s="456"/>
      <c r="R1168" s="456"/>
    </row>
    <row r="1169" spans="1:18" ht="9.75" customHeight="1" x14ac:dyDescent="0.25">
      <c r="A1169" s="456"/>
      <c r="B1169" s="456"/>
      <c r="C1169" s="456"/>
      <c r="D1169" s="456"/>
      <c r="E1169" s="456"/>
      <c r="F1169" s="456"/>
      <c r="G1169" s="456"/>
      <c r="H1169" s="456"/>
      <c r="I1169" s="456"/>
      <c r="J1169" s="456"/>
      <c r="K1169" s="456"/>
      <c r="L1169" s="456"/>
      <c r="M1169" s="456"/>
      <c r="N1169" s="456"/>
      <c r="O1169" s="456"/>
      <c r="P1169" s="456"/>
      <c r="Q1169" s="456"/>
      <c r="R1169" s="456"/>
    </row>
    <row r="1170" spans="1:18" ht="9.75" customHeight="1" x14ac:dyDescent="0.25">
      <c r="A1170" s="456"/>
      <c r="B1170" s="456"/>
      <c r="C1170" s="456"/>
      <c r="D1170" s="456"/>
      <c r="E1170" s="456"/>
      <c r="F1170" s="456"/>
      <c r="G1170" s="456"/>
      <c r="H1170" s="456"/>
      <c r="I1170" s="456"/>
      <c r="J1170" s="456"/>
      <c r="K1170" s="456"/>
      <c r="L1170" s="456"/>
      <c r="M1170" s="456"/>
      <c r="N1170" s="456"/>
      <c r="O1170" s="456"/>
      <c r="P1170" s="456"/>
      <c r="Q1170" s="456"/>
      <c r="R1170" s="456"/>
    </row>
    <row r="1171" spans="1:18" ht="9.75" customHeight="1" x14ac:dyDescent="0.25">
      <c r="A1171" s="456"/>
      <c r="B1171" s="456"/>
      <c r="C1171" s="456"/>
      <c r="D1171" s="456"/>
      <c r="E1171" s="456"/>
      <c r="F1171" s="456"/>
      <c r="G1171" s="456"/>
      <c r="H1171" s="456"/>
      <c r="I1171" s="456"/>
      <c r="J1171" s="456"/>
      <c r="K1171" s="456"/>
      <c r="L1171" s="456"/>
      <c r="M1171" s="456"/>
      <c r="N1171" s="456"/>
      <c r="O1171" s="456"/>
      <c r="P1171" s="456"/>
      <c r="Q1171" s="456"/>
      <c r="R1171" s="456"/>
    </row>
    <row r="1172" spans="1:18" ht="9.75" customHeight="1" x14ac:dyDescent="0.25">
      <c r="A1172" s="456"/>
      <c r="B1172" s="456"/>
      <c r="C1172" s="456"/>
      <c r="D1172" s="456"/>
      <c r="E1172" s="456"/>
      <c r="F1172" s="456"/>
      <c r="G1172" s="456"/>
      <c r="H1172" s="456"/>
      <c r="I1172" s="456"/>
      <c r="J1172" s="456"/>
      <c r="K1172" s="456"/>
      <c r="L1172" s="456"/>
      <c r="M1172" s="456"/>
      <c r="N1172" s="456"/>
      <c r="O1172" s="456"/>
      <c r="P1172" s="456"/>
      <c r="Q1172" s="456"/>
      <c r="R1172" s="456"/>
    </row>
    <row r="1173" spans="1:18" ht="9.75" customHeight="1" x14ac:dyDescent="0.25">
      <c r="A1173" s="456"/>
      <c r="B1173" s="456"/>
      <c r="C1173" s="456"/>
      <c r="D1173" s="456"/>
      <c r="E1173" s="456"/>
      <c r="F1173" s="456"/>
      <c r="G1173" s="456"/>
      <c r="H1173" s="456"/>
      <c r="I1173" s="456"/>
      <c r="J1173" s="456"/>
      <c r="K1173" s="456"/>
      <c r="L1173" s="456"/>
      <c r="M1173" s="456"/>
      <c r="N1173" s="456"/>
      <c r="O1173" s="456"/>
      <c r="P1173" s="456"/>
      <c r="Q1173" s="456"/>
      <c r="R1173" s="456"/>
    </row>
    <row r="1174" spans="1:18" ht="9.75" customHeight="1" x14ac:dyDescent="0.25">
      <c r="A1174" s="456"/>
      <c r="B1174" s="456"/>
      <c r="C1174" s="456"/>
      <c r="D1174" s="456"/>
      <c r="E1174" s="456"/>
      <c r="F1174" s="456"/>
      <c r="G1174" s="456"/>
      <c r="H1174" s="456"/>
      <c r="I1174" s="456"/>
      <c r="J1174" s="456"/>
      <c r="K1174" s="456"/>
      <c r="L1174" s="456"/>
      <c r="M1174" s="456"/>
      <c r="N1174" s="456"/>
      <c r="O1174" s="456"/>
      <c r="P1174" s="456"/>
      <c r="Q1174" s="456"/>
      <c r="R1174" s="456"/>
    </row>
    <row r="1175" spans="1:18" ht="9.75" customHeight="1" x14ac:dyDescent="0.25">
      <c r="A1175" s="456"/>
      <c r="B1175" s="456"/>
      <c r="C1175" s="456"/>
      <c r="D1175" s="456"/>
      <c r="E1175" s="456"/>
      <c r="F1175" s="456"/>
      <c r="G1175" s="456"/>
      <c r="H1175" s="456"/>
      <c r="I1175" s="456"/>
      <c r="J1175" s="456"/>
      <c r="K1175" s="456"/>
      <c r="L1175" s="456"/>
      <c r="M1175" s="456"/>
      <c r="N1175" s="456"/>
      <c r="O1175" s="456"/>
      <c r="P1175" s="456"/>
      <c r="Q1175" s="456"/>
      <c r="R1175" s="456"/>
    </row>
    <row r="1176" spans="1:18" ht="9.75" customHeight="1" x14ac:dyDescent="0.25">
      <c r="A1176" s="456"/>
      <c r="B1176" s="456"/>
      <c r="C1176" s="456"/>
      <c r="D1176" s="456"/>
      <c r="E1176" s="456"/>
      <c r="F1176" s="456"/>
      <c r="G1176" s="456"/>
      <c r="H1176" s="456"/>
      <c r="I1176" s="456"/>
      <c r="J1176" s="456"/>
      <c r="K1176" s="456"/>
      <c r="L1176" s="456"/>
      <c r="M1176" s="456"/>
      <c r="N1176" s="456"/>
      <c r="O1176" s="456"/>
      <c r="P1176" s="456"/>
      <c r="Q1176" s="456"/>
      <c r="R1176" s="456"/>
    </row>
    <row r="1177" spans="1:18" ht="9.75" customHeight="1" x14ac:dyDescent="0.25">
      <c r="A1177" s="456"/>
      <c r="B1177" s="456"/>
      <c r="C1177" s="456"/>
      <c r="D1177" s="456"/>
      <c r="E1177" s="456"/>
      <c r="F1177" s="456"/>
      <c r="G1177" s="456"/>
      <c r="H1177" s="456"/>
      <c r="I1177" s="456"/>
      <c r="J1177" s="456"/>
      <c r="K1177" s="456"/>
      <c r="L1177" s="456"/>
      <c r="M1177" s="456"/>
      <c r="N1177" s="456"/>
      <c r="O1177" s="456"/>
      <c r="P1177" s="456"/>
      <c r="Q1177" s="456"/>
      <c r="R1177" s="456"/>
    </row>
    <row r="1178" spans="1:18" ht="9.75" customHeight="1" x14ac:dyDescent="0.25">
      <c r="A1178" s="456"/>
      <c r="B1178" s="456"/>
      <c r="C1178" s="456"/>
      <c r="D1178" s="456"/>
      <c r="E1178" s="456"/>
      <c r="F1178" s="456"/>
      <c r="G1178" s="456"/>
      <c r="H1178" s="456"/>
      <c r="I1178" s="456"/>
      <c r="J1178" s="456"/>
      <c r="K1178" s="456"/>
      <c r="L1178" s="456"/>
      <c r="M1178" s="456"/>
      <c r="N1178" s="456"/>
      <c r="O1178" s="456"/>
      <c r="P1178" s="456"/>
      <c r="Q1178" s="456"/>
      <c r="R1178" s="456"/>
    </row>
    <row r="1179" spans="1:18" ht="9.75" customHeight="1" x14ac:dyDescent="0.25">
      <c r="A1179" s="456"/>
      <c r="B1179" s="456"/>
      <c r="C1179" s="456"/>
      <c r="D1179" s="456"/>
      <c r="E1179" s="456"/>
      <c r="F1179" s="456"/>
      <c r="G1179" s="456"/>
      <c r="H1179" s="456"/>
      <c r="I1179" s="456"/>
      <c r="J1179" s="456"/>
      <c r="K1179" s="456"/>
      <c r="L1179" s="456"/>
      <c r="M1179" s="456"/>
      <c r="N1179" s="456"/>
      <c r="O1179" s="456"/>
      <c r="P1179" s="456"/>
      <c r="Q1179" s="456"/>
      <c r="R1179" s="456"/>
    </row>
    <row r="1180" spans="1:18" ht="9.75" customHeight="1" x14ac:dyDescent="0.25">
      <c r="A1180" s="456"/>
      <c r="B1180" s="456"/>
      <c r="C1180" s="456"/>
      <c r="D1180" s="456"/>
      <c r="E1180" s="456"/>
      <c r="F1180" s="456"/>
      <c r="G1180" s="456"/>
      <c r="H1180" s="456"/>
      <c r="I1180" s="456"/>
      <c r="J1180" s="456"/>
      <c r="K1180" s="456"/>
      <c r="L1180" s="456"/>
      <c r="M1180" s="456"/>
      <c r="N1180" s="456"/>
      <c r="O1180" s="456"/>
      <c r="P1180" s="456"/>
      <c r="Q1180" s="456"/>
      <c r="R1180" s="456"/>
    </row>
    <row r="1181" spans="1:18" ht="9.75" customHeight="1" x14ac:dyDescent="0.25">
      <c r="A1181" s="456"/>
      <c r="B1181" s="456"/>
      <c r="C1181" s="456"/>
      <c r="D1181" s="456"/>
      <c r="E1181" s="456"/>
      <c r="F1181" s="456"/>
      <c r="G1181" s="456"/>
      <c r="H1181" s="456"/>
      <c r="I1181" s="456"/>
      <c r="J1181" s="456"/>
      <c r="K1181" s="456"/>
      <c r="L1181" s="456"/>
      <c r="M1181" s="456"/>
      <c r="N1181" s="456"/>
      <c r="O1181" s="456"/>
      <c r="P1181" s="456"/>
      <c r="Q1181" s="456"/>
      <c r="R1181" s="456"/>
    </row>
    <row r="1182" spans="1:18" ht="9.75" customHeight="1" x14ac:dyDescent="0.25">
      <c r="A1182" s="456"/>
      <c r="B1182" s="456"/>
      <c r="C1182" s="456"/>
      <c r="D1182" s="456"/>
      <c r="E1182" s="456"/>
      <c r="F1182" s="456"/>
      <c r="G1182" s="456"/>
      <c r="H1182" s="456"/>
      <c r="I1182" s="456"/>
      <c r="J1182" s="456"/>
      <c r="K1182" s="456"/>
      <c r="L1182" s="456"/>
      <c r="M1182" s="456"/>
      <c r="N1182" s="456"/>
      <c r="O1182" s="456"/>
      <c r="P1182" s="456"/>
      <c r="Q1182" s="456"/>
      <c r="R1182" s="456"/>
    </row>
    <row r="1183" spans="1:18" ht="9.75" customHeight="1" x14ac:dyDescent="0.25">
      <c r="A1183" s="456"/>
      <c r="B1183" s="456"/>
      <c r="C1183" s="456"/>
      <c r="D1183" s="456"/>
      <c r="E1183" s="456"/>
      <c r="F1183" s="456"/>
      <c r="G1183" s="456"/>
      <c r="H1183" s="456"/>
      <c r="I1183" s="456"/>
      <c r="J1183" s="456"/>
      <c r="K1183" s="456"/>
      <c r="L1183" s="456"/>
      <c r="M1183" s="456"/>
      <c r="N1183" s="456"/>
      <c r="O1183" s="456"/>
      <c r="P1183" s="456"/>
      <c r="Q1183" s="456"/>
      <c r="R1183" s="456"/>
    </row>
    <row r="1184" spans="1:18" ht="9.75" customHeight="1" x14ac:dyDescent="0.25">
      <c r="A1184" s="456"/>
      <c r="B1184" s="456"/>
      <c r="C1184" s="456"/>
      <c r="D1184" s="456"/>
      <c r="E1184" s="456"/>
      <c r="F1184" s="456"/>
      <c r="G1184" s="456"/>
      <c r="H1184" s="456"/>
      <c r="I1184" s="456"/>
      <c r="J1184" s="456"/>
      <c r="K1184" s="456"/>
      <c r="L1184" s="456"/>
      <c r="M1184" s="456"/>
      <c r="N1184" s="456"/>
      <c r="O1184" s="456"/>
      <c r="P1184" s="456"/>
      <c r="Q1184" s="456"/>
      <c r="R1184" s="456"/>
    </row>
    <row r="1185" spans="1:18" ht="9.75" customHeight="1" x14ac:dyDescent="0.25">
      <c r="A1185" s="456"/>
      <c r="B1185" s="456"/>
      <c r="C1185" s="456"/>
      <c r="D1185" s="456"/>
      <c r="E1185" s="456"/>
      <c r="F1185" s="456"/>
      <c r="G1185" s="456"/>
      <c r="H1185" s="456"/>
      <c r="I1185" s="456"/>
      <c r="J1185" s="456"/>
      <c r="K1185" s="456"/>
      <c r="L1185" s="456"/>
      <c r="M1185" s="456"/>
      <c r="N1185" s="456"/>
      <c r="O1185" s="456"/>
      <c r="P1185" s="456"/>
      <c r="Q1185" s="456"/>
      <c r="R1185" s="456"/>
    </row>
    <row r="1186" spans="1:18" ht="9.75" customHeight="1" x14ac:dyDescent="0.25">
      <c r="A1186" s="456"/>
      <c r="B1186" s="456"/>
      <c r="C1186" s="456"/>
      <c r="D1186" s="456"/>
      <c r="E1186" s="456"/>
      <c r="F1186" s="456"/>
      <c r="G1186" s="456"/>
      <c r="H1186" s="456"/>
      <c r="I1186" s="456"/>
      <c r="J1186" s="456"/>
      <c r="K1186" s="456"/>
      <c r="L1186" s="456"/>
      <c r="M1186" s="456"/>
      <c r="N1186" s="456"/>
      <c r="O1186" s="456"/>
      <c r="P1186" s="456"/>
      <c r="Q1186" s="456"/>
      <c r="R1186" s="456"/>
    </row>
    <row r="1187" spans="1:18" ht="9.75" customHeight="1" x14ac:dyDescent="0.25">
      <c r="A1187" s="456"/>
      <c r="B1187" s="456"/>
      <c r="C1187" s="456"/>
      <c r="D1187" s="456"/>
      <c r="E1187" s="456"/>
      <c r="F1187" s="456"/>
      <c r="G1187" s="456"/>
      <c r="H1187" s="456"/>
      <c r="I1187" s="456"/>
      <c r="J1187" s="456"/>
      <c r="K1187" s="456"/>
      <c r="L1187" s="456"/>
      <c r="M1187" s="456"/>
      <c r="N1187" s="456"/>
      <c r="O1187" s="456"/>
      <c r="P1187" s="456"/>
      <c r="Q1187" s="456"/>
      <c r="R1187" s="456"/>
    </row>
    <row r="1188" spans="1:18" ht="9.75" customHeight="1" x14ac:dyDescent="0.25">
      <c r="A1188" s="456"/>
      <c r="B1188" s="456"/>
      <c r="C1188" s="456"/>
      <c r="D1188" s="456"/>
      <c r="E1188" s="456"/>
      <c r="F1188" s="456"/>
      <c r="G1188" s="456"/>
      <c r="H1188" s="456"/>
      <c r="I1188" s="456"/>
      <c r="J1188" s="456"/>
      <c r="K1188" s="456"/>
      <c r="L1188" s="456"/>
      <c r="M1188" s="456"/>
      <c r="N1188" s="456"/>
      <c r="O1188" s="456"/>
      <c r="P1188" s="456"/>
      <c r="Q1188" s="456"/>
      <c r="R1188" s="456"/>
    </row>
    <row r="1189" spans="1:18" ht="9.75" customHeight="1" x14ac:dyDescent="0.25">
      <c r="A1189" s="456"/>
      <c r="B1189" s="456"/>
      <c r="C1189" s="456"/>
      <c r="D1189" s="456"/>
      <c r="E1189" s="456"/>
      <c r="F1189" s="456"/>
      <c r="G1189" s="456"/>
      <c r="H1189" s="456"/>
      <c r="I1189" s="456"/>
      <c r="J1189" s="456"/>
      <c r="K1189" s="456"/>
      <c r="L1189" s="456"/>
      <c r="M1189" s="456"/>
      <c r="N1189" s="456"/>
      <c r="O1189" s="456"/>
      <c r="P1189" s="456"/>
      <c r="Q1189" s="456"/>
      <c r="R1189" s="456"/>
    </row>
    <row r="1190" spans="1:18" ht="9.75" customHeight="1" x14ac:dyDescent="0.25">
      <c r="A1190" s="456"/>
      <c r="B1190" s="456"/>
      <c r="C1190" s="456"/>
      <c r="D1190" s="456"/>
      <c r="E1190" s="456"/>
      <c r="F1190" s="456"/>
      <c r="G1190" s="456"/>
      <c r="H1190" s="456"/>
      <c r="I1190" s="456"/>
      <c r="J1190" s="456"/>
      <c r="K1190" s="456"/>
      <c r="L1190" s="456"/>
      <c r="M1190" s="456"/>
      <c r="N1190" s="456"/>
      <c r="O1190" s="456"/>
      <c r="P1190" s="456"/>
      <c r="Q1190" s="456"/>
      <c r="R1190" s="456"/>
    </row>
    <row r="1191" spans="1:18" ht="9.75" customHeight="1" x14ac:dyDescent="0.25">
      <c r="A1191" s="456"/>
      <c r="B1191" s="456"/>
      <c r="C1191" s="456"/>
      <c r="D1191" s="456"/>
      <c r="E1191" s="456"/>
      <c r="F1191" s="456"/>
      <c r="G1191" s="456"/>
      <c r="H1191" s="456"/>
      <c r="I1191" s="456"/>
      <c r="J1191" s="456"/>
      <c r="K1191" s="456"/>
      <c r="L1191" s="456"/>
      <c r="M1191" s="456"/>
      <c r="N1191" s="456"/>
      <c r="O1191" s="456"/>
      <c r="P1191" s="456"/>
      <c r="Q1191" s="456"/>
      <c r="R1191" s="456"/>
    </row>
    <row r="1192" spans="1:18" ht="9.75" customHeight="1" x14ac:dyDescent="0.25">
      <c r="A1192" s="456"/>
      <c r="B1192" s="456"/>
      <c r="C1192" s="456"/>
      <c r="D1192" s="456"/>
      <c r="E1192" s="456"/>
      <c r="F1192" s="456"/>
      <c r="G1192" s="456"/>
      <c r="H1192" s="456"/>
      <c r="I1192" s="456"/>
      <c r="J1192" s="456"/>
      <c r="K1192" s="456"/>
      <c r="L1192" s="456"/>
      <c r="M1192" s="456"/>
      <c r="N1192" s="456"/>
      <c r="O1192" s="456"/>
      <c r="P1192" s="456"/>
      <c r="Q1192" s="456"/>
      <c r="R1192" s="456"/>
    </row>
    <row r="1193" spans="1:18" ht="9.75" customHeight="1" x14ac:dyDescent="0.25">
      <c r="A1193" s="456"/>
      <c r="B1193" s="456"/>
      <c r="C1193" s="456"/>
      <c r="D1193" s="456"/>
      <c r="E1193" s="456"/>
      <c r="F1193" s="456"/>
      <c r="G1193" s="456"/>
      <c r="H1193" s="456"/>
      <c r="I1193" s="456"/>
      <c r="J1193" s="456"/>
      <c r="K1193" s="456"/>
      <c r="L1193" s="456"/>
      <c r="M1193" s="456"/>
      <c r="N1193" s="456"/>
      <c r="O1193" s="456"/>
      <c r="P1193" s="456"/>
      <c r="Q1193" s="456"/>
      <c r="R1193" s="456"/>
    </row>
    <row r="1194" spans="1:18" ht="9.75" customHeight="1" x14ac:dyDescent="0.25">
      <c r="A1194" s="456"/>
      <c r="B1194" s="456"/>
      <c r="C1194" s="456"/>
      <c r="D1194" s="456"/>
      <c r="E1194" s="456"/>
      <c r="F1194" s="456"/>
      <c r="G1194" s="456"/>
      <c r="H1194" s="456"/>
      <c r="I1194" s="456"/>
      <c r="J1194" s="456"/>
      <c r="K1194" s="456"/>
      <c r="L1194" s="456"/>
      <c r="M1194" s="456"/>
      <c r="N1194" s="456"/>
      <c r="O1194" s="456"/>
      <c r="P1194" s="456"/>
      <c r="Q1194" s="456"/>
      <c r="R1194" s="456"/>
    </row>
    <row r="1195" spans="1:18" ht="9.75" customHeight="1" x14ac:dyDescent="0.25">
      <c r="A1195" s="456"/>
      <c r="B1195" s="456"/>
      <c r="C1195" s="456"/>
      <c r="D1195" s="456"/>
      <c r="E1195" s="456"/>
      <c r="F1195" s="456"/>
      <c r="G1195" s="456"/>
      <c r="H1195" s="456"/>
      <c r="I1195" s="456"/>
      <c r="J1195" s="456"/>
      <c r="K1195" s="456"/>
      <c r="L1195" s="456"/>
      <c r="M1195" s="456"/>
      <c r="N1195" s="456"/>
      <c r="O1195" s="456"/>
      <c r="P1195" s="456"/>
      <c r="Q1195" s="456"/>
      <c r="R1195" s="456"/>
    </row>
    <row r="1196" spans="1:18" ht="9.75" customHeight="1" x14ac:dyDescent="0.25">
      <c r="A1196" s="456"/>
      <c r="B1196" s="456"/>
      <c r="C1196" s="456"/>
      <c r="D1196" s="456"/>
      <c r="E1196" s="456"/>
      <c r="F1196" s="456"/>
      <c r="G1196" s="456"/>
      <c r="H1196" s="456"/>
      <c r="I1196" s="456"/>
      <c r="J1196" s="456"/>
      <c r="K1196" s="456"/>
      <c r="L1196" s="456"/>
      <c r="M1196" s="456"/>
      <c r="N1196" s="456"/>
      <c r="O1196" s="456"/>
      <c r="P1196" s="456"/>
      <c r="Q1196" s="456"/>
      <c r="R1196" s="456"/>
    </row>
    <row r="1197" spans="1:18" ht="9.75" customHeight="1" x14ac:dyDescent="0.25">
      <c r="A1197" s="456"/>
      <c r="B1197" s="456"/>
      <c r="C1197" s="456"/>
      <c r="D1197" s="456"/>
      <c r="E1197" s="456"/>
      <c r="F1197" s="456"/>
      <c r="G1197" s="456"/>
      <c r="H1197" s="456"/>
      <c r="I1197" s="456"/>
      <c r="J1197" s="456"/>
      <c r="K1197" s="456"/>
      <c r="L1197" s="456"/>
      <c r="M1197" s="456"/>
      <c r="N1197" s="456"/>
      <c r="O1197" s="456"/>
      <c r="P1197" s="456"/>
      <c r="Q1197" s="456"/>
      <c r="R1197" s="456"/>
    </row>
    <row r="1198" spans="1:18" ht="9.75" customHeight="1" x14ac:dyDescent="0.25">
      <c r="A1198" s="456"/>
      <c r="B1198" s="456"/>
      <c r="C1198" s="456"/>
      <c r="D1198" s="456"/>
      <c r="E1198" s="456"/>
      <c r="F1198" s="456"/>
      <c r="G1198" s="456"/>
      <c r="H1198" s="456"/>
      <c r="I1198" s="456"/>
      <c r="J1198" s="456"/>
      <c r="K1198" s="456"/>
      <c r="L1198" s="456"/>
      <c r="M1198" s="456"/>
      <c r="N1198" s="456"/>
      <c r="O1198" s="456"/>
      <c r="P1198" s="456"/>
      <c r="Q1198" s="456"/>
      <c r="R1198" s="456"/>
    </row>
    <row r="1199" spans="1:18" ht="9.75" customHeight="1" x14ac:dyDescent="0.25">
      <c r="A1199" s="456"/>
      <c r="B1199" s="456"/>
      <c r="C1199" s="456"/>
      <c r="D1199" s="456"/>
      <c r="E1199" s="456"/>
      <c r="F1199" s="456"/>
      <c r="G1199" s="456"/>
      <c r="H1199" s="456"/>
      <c r="I1199" s="456"/>
      <c r="J1199" s="456"/>
      <c r="K1199" s="456"/>
      <c r="L1199" s="456"/>
      <c r="M1199" s="456"/>
      <c r="N1199" s="456"/>
      <c r="O1199" s="456"/>
      <c r="P1199" s="456"/>
      <c r="Q1199" s="456"/>
      <c r="R1199" s="456"/>
    </row>
    <row r="1200" spans="1:18" ht="9.75" customHeight="1" x14ac:dyDescent="0.25">
      <c r="A1200" s="456"/>
      <c r="B1200" s="456"/>
      <c r="C1200" s="456"/>
      <c r="D1200" s="456"/>
      <c r="E1200" s="456"/>
      <c r="F1200" s="456"/>
      <c r="G1200" s="456"/>
      <c r="H1200" s="456"/>
      <c r="I1200" s="456"/>
      <c r="J1200" s="456"/>
      <c r="K1200" s="456"/>
      <c r="L1200" s="456"/>
      <c r="M1200" s="456"/>
      <c r="N1200" s="456"/>
      <c r="O1200" s="456"/>
      <c r="P1200" s="456"/>
      <c r="Q1200" s="456"/>
      <c r="R1200" s="456"/>
    </row>
  </sheetData>
  <mergeCells count="2">
    <mergeCell ref="A1:R1"/>
    <mergeCell ref="A2:R2"/>
  </mergeCells>
  <printOptions horizontalCentered="1"/>
  <pageMargins left="0" right="0" top="0" bottom="0" header="0" footer="0"/>
  <pageSetup orientation="landscape" r:id="rId1"/>
  <headerFooter>
    <oddFooter>&amp;C&amp;7* CONFIDENTIAL - REPORT COMPILED BY  DIAMOND PHARMACY SERVICES  645 KOLTER DRIVE INDIANA, PA  15701-3570  800.882.6337 *&amp;R1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66"/>
  <sheetViews>
    <sheetView workbookViewId="0">
      <selection activeCell="K135" sqref="K135:M135"/>
    </sheetView>
  </sheetViews>
  <sheetFormatPr defaultRowHeight="12.75" x14ac:dyDescent="0.2"/>
  <cols>
    <col min="2" max="2" width="14.28515625" customWidth="1"/>
  </cols>
  <sheetData>
    <row r="2" spans="2:22" x14ac:dyDescent="0.2">
      <c r="B2" t="s">
        <v>608</v>
      </c>
      <c r="C2" s="13" t="s">
        <v>58</v>
      </c>
      <c r="D2" s="13" t="s">
        <v>18</v>
      </c>
      <c r="E2" s="13" t="s">
        <v>57</v>
      </c>
      <c r="F2" s="13" t="s">
        <v>34</v>
      </c>
    </row>
    <row r="3" spans="2:22" x14ac:dyDescent="0.2">
      <c r="B3" s="232">
        <v>15.5</v>
      </c>
      <c r="C3" s="232">
        <v>30</v>
      </c>
      <c r="D3" s="232">
        <v>31</v>
      </c>
      <c r="E3" s="232">
        <v>24</v>
      </c>
      <c r="F3" s="232">
        <v>15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2:22" x14ac:dyDescent="0.2">
      <c r="B4" s="232">
        <v>15.73</v>
      </c>
      <c r="C4" s="232">
        <v>29</v>
      </c>
      <c r="D4" s="232">
        <v>28.7</v>
      </c>
      <c r="E4" s="232">
        <v>19.5</v>
      </c>
      <c r="F4" s="232">
        <v>15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</row>
    <row r="5" spans="2:22" x14ac:dyDescent="0.2">
      <c r="B5" s="232"/>
      <c r="C5" s="232">
        <v>29.5</v>
      </c>
      <c r="D5" s="232">
        <v>33</v>
      </c>
      <c r="E5" s="232">
        <v>20</v>
      </c>
      <c r="F5" s="232">
        <v>13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2:22" x14ac:dyDescent="0.2">
      <c r="B6" s="232">
        <f>AVERAGE(B3:B4)</f>
        <v>15.615</v>
      </c>
      <c r="C6" s="232">
        <v>30.5</v>
      </c>
      <c r="D6" s="232">
        <v>29.5</v>
      </c>
      <c r="E6" s="232">
        <v>20.5</v>
      </c>
      <c r="F6" s="232">
        <v>14.79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2:22" x14ac:dyDescent="0.2">
      <c r="B7" s="232"/>
      <c r="C7" s="232">
        <v>26.5</v>
      </c>
      <c r="D7" s="232">
        <v>32</v>
      </c>
      <c r="E7" s="233">
        <v>21.5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2:22" x14ac:dyDescent="0.2">
      <c r="B8" s="345">
        <v>15.75</v>
      </c>
      <c r="C8" s="232">
        <v>26.5</v>
      </c>
      <c r="D8" s="232">
        <v>30</v>
      </c>
      <c r="E8" s="232">
        <v>23</v>
      </c>
      <c r="F8" s="232">
        <f>AVERAGE(F3:F6)</f>
        <v>14.4475</v>
      </c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2:22" x14ac:dyDescent="0.2">
      <c r="B9" s="232"/>
      <c r="C9" s="232">
        <v>30.5</v>
      </c>
      <c r="D9" s="232">
        <v>34</v>
      </c>
      <c r="E9" s="232">
        <v>19.5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</row>
    <row r="10" spans="2:22" x14ac:dyDescent="0.2">
      <c r="B10" s="232"/>
      <c r="C10" s="232"/>
      <c r="D10" s="232">
        <v>33.5</v>
      </c>
      <c r="E10" s="232">
        <v>22</v>
      </c>
      <c r="F10" s="345">
        <v>16</v>
      </c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</row>
    <row r="11" spans="2:22" x14ac:dyDescent="0.2">
      <c r="B11" s="232"/>
      <c r="C11" s="232">
        <f>AVERAGE(C3:C9)</f>
        <v>28.928571428571427</v>
      </c>
      <c r="D11" s="232">
        <v>30</v>
      </c>
      <c r="E11" s="232">
        <v>21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2:22" x14ac:dyDescent="0.2">
      <c r="B12" s="232"/>
      <c r="C12" s="232"/>
      <c r="D12" s="232">
        <v>30</v>
      </c>
      <c r="E12" s="232">
        <v>21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</row>
    <row r="13" spans="2:22" x14ac:dyDescent="0.2">
      <c r="B13" s="232"/>
      <c r="C13" s="345">
        <v>30</v>
      </c>
      <c r="D13" s="232">
        <v>28.7</v>
      </c>
      <c r="E13" s="232">
        <v>22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2:22" x14ac:dyDescent="0.2">
      <c r="B14" s="232"/>
      <c r="C14" s="232"/>
      <c r="D14" s="232"/>
      <c r="E14" s="232">
        <v>28.89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</row>
    <row r="15" spans="2:22" x14ac:dyDescent="0.2">
      <c r="B15" s="232"/>
      <c r="C15" s="232"/>
      <c r="D15" s="232">
        <f>AVERAGE(D3:D13)</f>
        <v>30.945454545454542</v>
      </c>
      <c r="E15" s="232">
        <v>24.280999999999999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</row>
    <row r="16" spans="2:22" x14ac:dyDescent="0.2">
      <c r="B16" s="232"/>
      <c r="C16" s="232"/>
      <c r="D16" s="232"/>
      <c r="E16" s="232">
        <v>27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</row>
    <row r="17" spans="2:22" x14ac:dyDescent="0.2">
      <c r="B17" s="232"/>
      <c r="C17" s="232"/>
      <c r="D17" s="345">
        <v>31</v>
      </c>
      <c r="E17" s="232">
        <v>24.64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2:22" x14ac:dyDescent="0.2">
      <c r="B18" s="232"/>
      <c r="C18" s="232"/>
      <c r="D18" s="232"/>
      <c r="E18" s="232">
        <v>23.35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2:22" x14ac:dyDescent="0.2">
      <c r="B19" s="232"/>
      <c r="C19" s="232"/>
      <c r="D19" s="232"/>
      <c r="E19" s="232">
        <v>24.6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</row>
    <row r="20" spans="2:22" x14ac:dyDescent="0.2"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</row>
    <row r="21" spans="2:22" x14ac:dyDescent="0.2">
      <c r="B21" s="232"/>
      <c r="C21" s="232"/>
      <c r="D21" s="232"/>
      <c r="E21" s="232">
        <f>AVERAGE(E3:E19)</f>
        <v>22.750647058823532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</row>
    <row r="22" spans="2:22" x14ac:dyDescent="0.2"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</row>
    <row r="23" spans="2:22" x14ac:dyDescent="0.2">
      <c r="B23" s="232"/>
      <c r="C23" s="232"/>
      <c r="D23" s="232"/>
      <c r="E23" s="345">
        <v>24.25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</row>
    <row r="24" spans="2:22" x14ac:dyDescent="0.2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2:22" x14ac:dyDescent="0.2"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</row>
    <row r="26" spans="2:22" x14ac:dyDescent="0.2"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</row>
    <row r="27" spans="2:22" x14ac:dyDescent="0.2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</row>
    <row r="28" spans="2:22" x14ac:dyDescent="0.2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</row>
    <row r="29" spans="2:22" x14ac:dyDescent="0.2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</row>
    <row r="30" spans="2:22" x14ac:dyDescent="0.2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</row>
    <row r="31" spans="2:22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</row>
    <row r="32" spans="2:22" x14ac:dyDescent="0.2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  <row r="33" spans="2:22" x14ac:dyDescent="0.2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</row>
    <row r="34" spans="2:22" x14ac:dyDescent="0.2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</row>
    <row r="35" spans="2:22" x14ac:dyDescent="0.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</row>
    <row r="36" spans="2:22" x14ac:dyDescent="0.2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</row>
    <row r="37" spans="2:22" x14ac:dyDescent="0.2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</row>
    <row r="38" spans="2:22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</row>
    <row r="39" spans="2:22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</row>
    <row r="40" spans="2:22" x14ac:dyDescent="0.2"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</row>
    <row r="41" spans="2:22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</row>
    <row r="42" spans="2:22" x14ac:dyDescent="0.2"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</row>
    <row r="43" spans="2:22" x14ac:dyDescent="0.2"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</row>
    <row r="44" spans="2:22" x14ac:dyDescent="0.2"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</row>
    <row r="45" spans="2:22" x14ac:dyDescent="0.2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</row>
    <row r="46" spans="2:22" x14ac:dyDescent="0.2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</row>
    <row r="47" spans="2:22" x14ac:dyDescent="0.2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</row>
    <row r="48" spans="2:22" x14ac:dyDescent="0.2"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</row>
    <row r="49" spans="2:22" x14ac:dyDescent="0.2"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</row>
    <row r="50" spans="2:22" x14ac:dyDescent="0.2"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</row>
    <row r="51" spans="2:22" x14ac:dyDescent="0.2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</row>
    <row r="52" spans="2:22" x14ac:dyDescent="0.2"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</row>
    <row r="53" spans="2:22" x14ac:dyDescent="0.2"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</row>
    <row r="54" spans="2:22" x14ac:dyDescent="0.2"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</row>
    <row r="55" spans="2:22" x14ac:dyDescent="0.2"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</row>
    <row r="56" spans="2:22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</row>
    <row r="57" spans="2:22" x14ac:dyDescent="0.2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</row>
    <row r="58" spans="2:22" x14ac:dyDescent="0.2"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</row>
    <row r="59" spans="2:22" x14ac:dyDescent="0.2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</row>
    <row r="60" spans="2:22" x14ac:dyDescent="0.2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</row>
    <row r="61" spans="2:22" x14ac:dyDescent="0.2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</row>
    <row r="62" spans="2:22" x14ac:dyDescent="0.2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</row>
    <row r="63" spans="2:22" x14ac:dyDescent="0.2"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</row>
    <row r="64" spans="2:22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</row>
    <row r="65" spans="2:22" x14ac:dyDescent="0.2"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</row>
    <row r="66" spans="2:22" x14ac:dyDescent="0.2"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CS General Document" ma:contentTypeID="0x010100CC9C0345B9A48A40A4D7427A3F95596E000B1F0DECB3CB504D98846257F96F6682" ma:contentTypeVersion="0" ma:contentTypeDescription="" ma:contentTypeScope="" ma:versionID="77ec884b273e26ddc5ac3939803d8215">
  <xsd:schema xmlns:xsd="http://www.w3.org/2001/XMLSchema" xmlns:xs="http://www.w3.org/2001/XMLSchema" xmlns:p="http://schemas.microsoft.com/office/2006/metadata/properties" xmlns:ns3="54a99f72-a6a0-4a83-9340-f7a54568712d" targetNamespace="http://schemas.microsoft.com/office/2006/metadata/properties" ma:root="true" ma:fieldsID="57f1fd0b2399fd32a7fe0fa797953f6f" ns3:_="">
    <xsd:import namespace="54a99f72-a6a0-4a83-9340-f7a54568712d"/>
    <xsd:element name="properties">
      <xsd:complexType>
        <xsd:sequence>
          <xsd:element name="documentManagement">
            <xsd:complexType>
              <xsd:all>
                <xsd:element ref="ns3:CCS_x0020_Category" minOccurs="0"/>
                <xsd:element ref="ns3:CCS_x0020_Contributor" minOccurs="0"/>
                <xsd:element ref="ns3:CCS_x0020_Departments" minOccurs="0"/>
                <xsd:element ref="ns3:CCS_x0020_Description" minOccurs="0"/>
                <xsd:element ref="ns3:CCS_x0020_Effective_x0020_Date" minOccurs="0"/>
                <xsd:element ref="ns3:CCS_x0020_Expiration_x0020_Date" minOccurs="0"/>
                <xsd:element ref="ns3:CCS_x0020_Keywords" minOccurs="0"/>
                <xsd:element ref="ns3:CCS_x0020_Package_x0020_Type" minOccurs="0"/>
                <xsd:element ref="ns3:CCS_x0020_Regions" minOccurs="0"/>
                <xsd:element ref="ns3:CCS_x0020_Sites" minOccurs="0"/>
                <xsd:element ref="ns3:CCS_x0020_Team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99f72-a6a0-4a83-9340-f7a54568712d" elementFormDefault="qualified">
    <xsd:import namespace="http://schemas.microsoft.com/office/2006/documentManagement/types"/>
    <xsd:import namespace="http://schemas.microsoft.com/office/infopath/2007/PartnerControls"/>
    <xsd:element name="CCS_x0020_Category" ma:index="8" nillable="true" ma:displayName="CCS Category" ma:list="{3708edde-c070-4b2b-bc2a-0b4b3d3aed5a}" ma:internalName="CCS_x0020_Category" ma:showField="Title" ma:web="54a99f72-a6a0-4a83-9340-f7a5456871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S_x0020_Contributor" ma:index="9" nillable="true" ma:displayName="CCS Contributor" ma:internalName="CCS_x0020_Contributor">
      <xsd:simpleType>
        <xsd:restriction base="dms:Note">
          <xsd:maxLength value="255"/>
        </xsd:restriction>
      </xsd:simpleType>
    </xsd:element>
    <xsd:element name="CCS_x0020_Departments" ma:index="10" nillable="true" ma:displayName="CCS Departments" ma:list="{b5879e26-f835-4e01-ab67-4029c07a14a6}" ma:internalName="CCS_x0020_Departments" ma:showField="Title" ma:web="54a99f72-a6a0-4a83-9340-f7a5456871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S_x0020_Description" ma:index="11" nillable="true" ma:displayName="CCS Description" ma:internalName="CCS_x0020_Description">
      <xsd:simpleType>
        <xsd:restriction base="dms:Note">
          <xsd:maxLength value="255"/>
        </xsd:restriction>
      </xsd:simpleType>
    </xsd:element>
    <xsd:element name="CCS_x0020_Effective_x0020_Date" ma:index="12" nillable="true" ma:displayName="CCS Effective Date" ma:format="DateOnly" ma:internalName="CCS_x0020_Effective_x0020_Date">
      <xsd:simpleType>
        <xsd:restriction base="dms:DateTime"/>
      </xsd:simpleType>
    </xsd:element>
    <xsd:element name="CCS_x0020_Expiration_x0020_Date" ma:index="13" nillable="true" ma:displayName="CCS Expiration Date" ma:format="DateOnly" ma:internalName="CCS_x0020_Expiration_x0020_Date">
      <xsd:simpleType>
        <xsd:restriction base="dms:DateTime"/>
      </xsd:simpleType>
    </xsd:element>
    <xsd:element name="CCS_x0020_Keywords" ma:index="14" nillable="true" ma:displayName="CCS Keywords" ma:internalName="CCS_x0020_Keywords">
      <xsd:simpleType>
        <xsd:restriction base="dms:Note">
          <xsd:maxLength value="255"/>
        </xsd:restriction>
      </xsd:simpleType>
    </xsd:element>
    <xsd:element name="CCS_x0020_Package_x0020_Type" ma:index="15" nillable="true" ma:displayName="CCS Package Type" ma:list="{995ad009-84e6-45f1-8d4d-290954191abe}" ma:internalName="CCS_x0020_Package_x0020_Type" ma:showField="Title" ma:web="54a99f72-a6a0-4a83-9340-f7a5456871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S_x0020_Regions" ma:index="16" nillable="true" ma:displayName="CCS Regions" ma:list="{1f0d7372-8533-4192-bf8c-40479b5aaac4}" ma:internalName="CCS_x0020_Regions" ma:showField="Title" ma:web="54a99f72-a6a0-4a83-9340-f7a54568712d">
      <xsd:simpleType>
        <xsd:restriction base="dms:Lookup"/>
      </xsd:simpleType>
    </xsd:element>
    <xsd:element name="CCS_x0020_Sites" ma:index="17" nillable="true" ma:displayName="CCS Sites" ma:list="{4e956449-d919-4841-9b74-ffd7dbc57a12}" ma:internalName="CCS_x0020_Sites" ma:showField="Title" ma:web="54a99f72-a6a0-4a83-9340-f7a54568712d">
      <xsd:simpleType>
        <xsd:restriction base="dms:Lookup"/>
      </xsd:simpleType>
    </xsd:element>
    <xsd:element name="CCS_x0020_Teams" ma:index="18" nillable="true" ma:displayName="CCS Teams" ma:list="{a0062db9-42be-4946-a9a3-806555949ec6}" ma:internalName="CCS_x0020_Teams" ma:showField="Title" ma:web="54a99f72-a6a0-4a83-9340-f7a5456871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M:SIMData xmlns:SIM="SIMDataNamespace">
  <LIDData/>
  <SIMStorageType/>
  <SIMManagementComments/>
  <SIMEditedCells/>
  <SIMMode>1</SIMMode>
</SIM:SI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S_x0020_Effective_x0020_Date xmlns="54a99f72-a6a0-4a83-9340-f7a54568712d" xsi:nil="true"/>
    <CCS_x0020_Teams xmlns="54a99f72-a6a0-4a83-9340-f7a54568712d"/>
    <CCS_x0020_Category xmlns="54a99f72-a6a0-4a83-9340-f7a54568712d"/>
    <CCS_x0020_Departments xmlns="54a99f72-a6a0-4a83-9340-f7a54568712d">
      <Value>6</Value>
    </CCS_x0020_Departments>
    <CCS_x0020_Package_x0020_Type xmlns="54a99f72-a6a0-4a83-9340-f7a54568712d"/>
    <CCS_x0020_Sites xmlns="54a99f72-a6a0-4a83-9340-f7a54568712d" xsi:nil="true"/>
    <CCS_x0020_Regions xmlns="54a99f72-a6a0-4a83-9340-f7a54568712d" xsi:nil="true"/>
    <CCS_x0020_Keywords xmlns="54a99f72-a6a0-4a83-9340-f7a54568712d" xsi:nil="true"/>
    <CCS_x0020_Description xmlns="54a99f72-a6a0-4a83-9340-f7a54568712d" xsi:nil="true"/>
    <CCS_x0020_Expiration_x0020_Date xmlns="54a99f72-a6a0-4a83-9340-f7a54568712d" xsi:nil="true"/>
    <CCS_x0020_Contributor xmlns="54a99f72-a6a0-4a83-9340-f7a54568712d" xsi:nil="true"/>
  </documentManagement>
</p:properties>
</file>

<file path=customXml/itemProps1.xml><?xml version="1.0" encoding="utf-8"?>
<ds:datastoreItem xmlns:ds="http://schemas.openxmlformats.org/officeDocument/2006/customXml" ds:itemID="{C5A0AA08-A444-41C4-8181-9CD918EEA4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4D112-6397-4D5C-B25F-FCA723E4E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99f72-a6a0-4a83-9340-f7a545687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FF268F-29F9-4D82-8BE4-73CEAA26FCB7}">
  <ds:schemaRefs>
    <ds:schemaRef ds:uri="SIMDataNamespace"/>
  </ds:schemaRefs>
</ds:datastoreItem>
</file>

<file path=customXml/itemProps4.xml><?xml version="1.0" encoding="utf-8"?>
<ds:datastoreItem xmlns:ds="http://schemas.openxmlformats.org/officeDocument/2006/customXml" ds:itemID="{B143B849-D9B5-432A-A35F-4F8D30B3983A}">
  <ds:schemaRefs>
    <ds:schemaRef ds:uri="http://purl.org/dc/elements/1.1/"/>
    <ds:schemaRef ds:uri="http://schemas.microsoft.com/office/2006/metadata/properties"/>
    <ds:schemaRef ds:uri="http://purl.org/dc/terms/"/>
    <ds:schemaRef ds:uri="54a99f72-a6a0-4a83-9340-f7a545687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326</vt:i4>
      </vt:variant>
    </vt:vector>
  </HeadingPairs>
  <TitlesOfParts>
    <vt:vector size="347" baseType="lpstr">
      <vt:lpstr>Ft Bend Budget FYE15 v2</vt:lpstr>
      <vt:lpstr>CCS Budget Cost Worksheet v2 </vt:lpstr>
      <vt:lpstr>Fort Bend 753 v2</vt:lpstr>
      <vt:lpstr>Fort Bend 755</vt:lpstr>
      <vt:lpstr>Annualized Trend</vt:lpstr>
      <vt:lpstr>Off-Site (2)</vt:lpstr>
      <vt:lpstr>Insurance</vt:lpstr>
      <vt:lpstr>Pharmacy</vt:lpstr>
      <vt:lpstr>Avg salaries  memo</vt:lpstr>
      <vt:lpstr>Updated Staffing Matrix</vt:lpstr>
      <vt:lpstr>Cost DIfferences</vt:lpstr>
      <vt:lpstr>AVG Rates</vt:lpstr>
      <vt:lpstr>Trended Detail</vt:lpstr>
      <vt:lpstr>Off-Site</vt:lpstr>
      <vt:lpstr>New Pricing</vt:lpstr>
      <vt:lpstr>Price Form Pg 2</vt:lpstr>
      <vt:lpstr>Price Form Pg 3</vt:lpstr>
      <vt:lpstr>Price Form Pg 4</vt:lpstr>
      <vt:lpstr>Proposed Budget Year 1</vt:lpstr>
      <vt:lpstr>Proposed Budget Year 2</vt:lpstr>
      <vt:lpstr>Monthly Budget</vt:lpstr>
      <vt:lpstr>'Annualized Trend'!OSRRefB13_0_0x_1</vt:lpstr>
      <vt:lpstr>'Annualized Trend'!OSRRefB13_0_0x_2</vt:lpstr>
      <vt:lpstr>'Annualized Trend'!OSRRefB13_0_0x_3</vt:lpstr>
      <vt:lpstr>'Annualized Trend'!OSRRefB13_0_0x_4</vt:lpstr>
      <vt:lpstr>'Annualized Trend'!OSRRefB13_1_0x_1</vt:lpstr>
      <vt:lpstr>'Annualized Trend'!OSRRefB13_1_0x_2</vt:lpstr>
      <vt:lpstr>'Annualized Trend'!OSRRefB13_1_0x_3</vt:lpstr>
      <vt:lpstr>'Annualized Trend'!OSRRefB13_1_0x_4</vt:lpstr>
      <vt:lpstr>'Annualized Trend'!OSRRefB13_2_0x_1</vt:lpstr>
      <vt:lpstr>'Annualized Trend'!OSRRefB13_2_0x_2</vt:lpstr>
      <vt:lpstr>'Annualized Trend'!OSRRefB13_2_0x_3</vt:lpstr>
      <vt:lpstr>'Annualized Trend'!OSRRefB13_2_0x_4</vt:lpstr>
      <vt:lpstr>'Annualized Trend'!OSRRefB13_2_1x_1</vt:lpstr>
      <vt:lpstr>'Annualized Trend'!OSRRefB13_2_1x_2</vt:lpstr>
      <vt:lpstr>'Annualized Trend'!OSRRefB13_2_1x_3</vt:lpstr>
      <vt:lpstr>'Annualized Trend'!OSRRefB13_2_1x_4</vt:lpstr>
      <vt:lpstr>'Annualized Trend'!OSRRefB13_2_2x_1</vt:lpstr>
      <vt:lpstr>'Annualized Trend'!OSRRefB13_2_2x_2</vt:lpstr>
      <vt:lpstr>'Annualized Trend'!OSRRefB13_2_2x_3</vt:lpstr>
      <vt:lpstr>'Annualized Trend'!OSRRefB13_2_2x_4</vt:lpstr>
      <vt:lpstr>'Annualized Trend'!OSRRefB13_2_3x_1</vt:lpstr>
      <vt:lpstr>'Annualized Trend'!OSRRefB13_2_3x_2</vt:lpstr>
      <vt:lpstr>'Annualized Trend'!OSRRefB13_2_3x_3</vt:lpstr>
      <vt:lpstr>'Annualized Trend'!OSRRefB13_2_3x_4</vt:lpstr>
      <vt:lpstr>'Annualized Trend'!OSRRefB13_3_0x_1</vt:lpstr>
      <vt:lpstr>'Annualized Trend'!OSRRefB13_3_0x_2</vt:lpstr>
      <vt:lpstr>'Annualized Trend'!OSRRefB13_3_0x_3</vt:lpstr>
      <vt:lpstr>'Annualized Trend'!OSRRefB13_3_0x_4</vt:lpstr>
      <vt:lpstr>'Annualized Trend'!OSRRefB13_4_0x_1</vt:lpstr>
      <vt:lpstr>'Annualized Trend'!OSRRefB13_4_0x_2</vt:lpstr>
      <vt:lpstr>'Annualized Trend'!OSRRefB13_4_0x_3</vt:lpstr>
      <vt:lpstr>'Annualized Trend'!OSRRefB13_4_0x_4</vt:lpstr>
      <vt:lpstr>'Annualized Trend'!OSRRefB14_0x_1</vt:lpstr>
      <vt:lpstr>'Annualized Trend'!OSRRefB14_0x_2</vt:lpstr>
      <vt:lpstr>'Annualized Trend'!OSRRefB14_0x_3</vt:lpstr>
      <vt:lpstr>'Annualized Trend'!OSRRefB14_0x_4</vt:lpstr>
      <vt:lpstr>'Annualized Trend'!OSRRefB14_1x_1</vt:lpstr>
      <vt:lpstr>'Annualized Trend'!OSRRefB14_1x_2</vt:lpstr>
      <vt:lpstr>'Annualized Trend'!OSRRefB14_1x_3</vt:lpstr>
      <vt:lpstr>'Annualized Trend'!OSRRefB14_1x_4</vt:lpstr>
      <vt:lpstr>'Annualized Trend'!OSRRefB14_2x_1</vt:lpstr>
      <vt:lpstr>'Annualized Trend'!OSRRefB14_2x_2</vt:lpstr>
      <vt:lpstr>'Annualized Trend'!OSRRefB14_2x_3</vt:lpstr>
      <vt:lpstr>'Annualized Trend'!OSRRefB14_2x_4</vt:lpstr>
      <vt:lpstr>'Annualized Trend'!OSRRefB14_3x_1</vt:lpstr>
      <vt:lpstr>'Annualized Trend'!OSRRefB14_3x_2</vt:lpstr>
      <vt:lpstr>'Annualized Trend'!OSRRefB14_3x_3</vt:lpstr>
      <vt:lpstr>'Annualized Trend'!OSRRefB14_3x_4</vt:lpstr>
      <vt:lpstr>'Annualized Trend'!OSRRefB14_4x_1</vt:lpstr>
      <vt:lpstr>'Annualized Trend'!OSRRefB14_4x_2</vt:lpstr>
      <vt:lpstr>'Annualized Trend'!OSRRefB14_4x_3</vt:lpstr>
      <vt:lpstr>'Annualized Trend'!OSRRefB14_4x_4</vt:lpstr>
      <vt:lpstr>'Annualized Trend'!OSRRefB15x_1</vt:lpstr>
      <vt:lpstr>'Annualized Trend'!OSRRefB15x_2</vt:lpstr>
      <vt:lpstr>'Annualized Trend'!OSRRefB15x_3</vt:lpstr>
      <vt:lpstr>'Annualized Trend'!OSRRefB15x_4</vt:lpstr>
      <vt:lpstr>'Annualized Trend'!OSRRefB20_0_0x_1</vt:lpstr>
      <vt:lpstr>'Annualized Trend'!OSRRefB20_0_0x_2</vt:lpstr>
      <vt:lpstr>'Annualized Trend'!OSRRefB20_0_0x_3</vt:lpstr>
      <vt:lpstr>'Annualized Trend'!OSRRefB20_0_0x_4</vt:lpstr>
      <vt:lpstr>'Annualized Trend'!OSRRefB20_1_0x_1</vt:lpstr>
      <vt:lpstr>'Annualized Trend'!OSRRefB20_1_0x_2</vt:lpstr>
      <vt:lpstr>'Annualized Trend'!OSRRefB20_1_0x_3</vt:lpstr>
      <vt:lpstr>'Annualized Trend'!OSRRefB20_1_0x_4</vt:lpstr>
      <vt:lpstr>'Annualized Trend'!OSRRefB20_2_0x_1</vt:lpstr>
      <vt:lpstr>'Annualized Trend'!OSRRefB20_2_0x_2</vt:lpstr>
      <vt:lpstr>'Annualized Trend'!OSRRefB20_2_0x_3</vt:lpstr>
      <vt:lpstr>'Annualized Trend'!OSRRefB20_2_0x_4</vt:lpstr>
      <vt:lpstr>'Annualized Trend'!OSRRefB20_3_0x_1</vt:lpstr>
      <vt:lpstr>'Annualized Trend'!OSRRefB20_3_0x_2</vt:lpstr>
      <vt:lpstr>'Annualized Trend'!OSRRefB20_3_0x_3</vt:lpstr>
      <vt:lpstr>'Annualized Trend'!OSRRefB20_3_0x_4</vt:lpstr>
      <vt:lpstr>'Annualized Trend'!OSRRefB21_0x_1</vt:lpstr>
      <vt:lpstr>'Annualized Trend'!OSRRefB21_0x_2</vt:lpstr>
      <vt:lpstr>'Annualized Trend'!OSRRefB21_0x_3</vt:lpstr>
      <vt:lpstr>'Annualized Trend'!OSRRefB21_0x_4</vt:lpstr>
      <vt:lpstr>'Annualized Trend'!OSRRefB21_1x_1</vt:lpstr>
      <vt:lpstr>'Annualized Trend'!OSRRefB21_1x_2</vt:lpstr>
      <vt:lpstr>'Annualized Trend'!OSRRefB21_1x_3</vt:lpstr>
      <vt:lpstr>'Annualized Trend'!OSRRefB21_1x_4</vt:lpstr>
      <vt:lpstr>'Annualized Trend'!OSRRefB21_2x_1</vt:lpstr>
      <vt:lpstr>'Annualized Trend'!OSRRefB21_2x_2</vt:lpstr>
      <vt:lpstr>'Annualized Trend'!OSRRefB21_2x_3</vt:lpstr>
      <vt:lpstr>'Annualized Trend'!OSRRefB21_2x_4</vt:lpstr>
      <vt:lpstr>'Annualized Trend'!OSRRefB21_3x_1</vt:lpstr>
      <vt:lpstr>'Annualized Trend'!OSRRefB21_3x_2</vt:lpstr>
      <vt:lpstr>'Annualized Trend'!OSRRefB21_3x_3</vt:lpstr>
      <vt:lpstr>'Annualized Trend'!OSRRefB21_3x_4</vt:lpstr>
      <vt:lpstr>'Annualized Trend'!OSRRefB22x_1</vt:lpstr>
      <vt:lpstr>'Annualized Trend'!OSRRefB22x_2</vt:lpstr>
      <vt:lpstr>'Annualized Trend'!OSRRefB22x_3</vt:lpstr>
      <vt:lpstr>'Annualized Trend'!OSRRefB22x_4</vt:lpstr>
      <vt:lpstr>'Annualized Trend'!OSRRefB24x_1</vt:lpstr>
      <vt:lpstr>'Annualized Trend'!OSRRefB24x_2</vt:lpstr>
      <vt:lpstr>'Annualized Trend'!OSRRefB24x_3</vt:lpstr>
      <vt:lpstr>'Annualized Trend'!OSRRefB24x_4</vt:lpstr>
      <vt:lpstr>'Annualized Trend'!OSRRefB27_0_0x_1</vt:lpstr>
      <vt:lpstr>'Annualized Trend'!OSRRefB27_0_0x_2</vt:lpstr>
      <vt:lpstr>'Annualized Trend'!OSRRefB27_0_0x_3</vt:lpstr>
      <vt:lpstr>'Annualized Trend'!OSRRefB27_0_0x_4</vt:lpstr>
      <vt:lpstr>'Annualized Trend'!OSRRefB27_0_1x_1</vt:lpstr>
      <vt:lpstr>'Annualized Trend'!OSRRefB27_0_1x_2</vt:lpstr>
      <vt:lpstr>'Annualized Trend'!OSRRefB27_0_1x_3</vt:lpstr>
      <vt:lpstr>'Annualized Trend'!OSRRefB27_0_1x_4</vt:lpstr>
      <vt:lpstr>'Annualized Trend'!OSRRefB27_0_2x_1</vt:lpstr>
      <vt:lpstr>'Annualized Trend'!OSRRefB27_0_2x_2</vt:lpstr>
      <vt:lpstr>'Annualized Trend'!OSRRefB27_0_2x_3</vt:lpstr>
      <vt:lpstr>'Annualized Trend'!OSRRefB27_0_2x_4</vt:lpstr>
      <vt:lpstr>'Annualized Trend'!OSRRefB28_0x_1</vt:lpstr>
      <vt:lpstr>'Annualized Trend'!OSRRefB28_0x_2</vt:lpstr>
      <vt:lpstr>'Annualized Trend'!OSRRefB28_0x_3</vt:lpstr>
      <vt:lpstr>'Annualized Trend'!OSRRefB28_0x_4</vt:lpstr>
      <vt:lpstr>'Annualized Trend'!OSRRefB29x_1</vt:lpstr>
      <vt:lpstr>'Annualized Trend'!OSRRefB29x_2</vt:lpstr>
      <vt:lpstr>'Annualized Trend'!OSRRefB29x_3</vt:lpstr>
      <vt:lpstr>'Annualized Trend'!OSRRefB29x_4</vt:lpstr>
      <vt:lpstr>'Annualized Trend'!OSRRefB31x_1</vt:lpstr>
      <vt:lpstr>'Annualized Trend'!OSRRefB31x_2</vt:lpstr>
      <vt:lpstr>'Annualized Trend'!OSRRefB31x_3</vt:lpstr>
      <vt:lpstr>'Annualized Trend'!OSRRefB31x_4</vt:lpstr>
      <vt:lpstr>'Annualized Trend'!OSRRefB37_0x_1</vt:lpstr>
      <vt:lpstr>'Annualized Trend'!OSRRefB37_0x_2</vt:lpstr>
      <vt:lpstr>'Annualized Trend'!OSRRefB37_0x_3</vt:lpstr>
      <vt:lpstr>'Annualized Trend'!OSRRefB37_0x_4</vt:lpstr>
      <vt:lpstr>'Trended Detail'!OSRRefC10x_10</vt:lpstr>
      <vt:lpstr>'Trended Detail'!OSRRefC10x_11</vt:lpstr>
      <vt:lpstr>'Trended Detail'!OSRRefC10x_3</vt:lpstr>
      <vt:lpstr>'Trended Detail'!OSRRefC10x_4</vt:lpstr>
      <vt:lpstr>'Trended Detail'!OSRRefC10x_5</vt:lpstr>
      <vt:lpstr>'Trended Detail'!OSRRefC10x_6</vt:lpstr>
      <vt:lpstr>'Trended Detail'!OSRRefC10x_7</vt:lpstr>
      <vt:lpstr>'Trended Detail'!OSRRefC10x_8</vt:lpstr>
      <vt:lpstr>'Trended Detail'!OSRRefC10x_9</vt:lpstr>
      <vt:lpstr>'Trended Detail'!OSRRefC12_0x_10</vt:lpstr>
      <vt:lpstr>'Trended Detail'!OSRRefC12_0x_11</vt:lpstr>
      <vt:lpstr>'Trended Detail'!OSRRefC12_0x_3</vt:lpstr>
      <vt:lpstr>'Trended Detail'!OSRRefC12_0x_4</vt:lpstr>
      <vt:lpstr>'Trended Detail'!OSRRefC12_0x_5</vt:lpstr>
      <vt:lpstr>'Trended Detail'!OSRRefC12_0x_6</vt:lpstr>
      <vt:lpstr>'Trended Detail'!OSRRefC12_0x_7</vt:lpstr>
      <vt:lpstr>'Trended Detail'!OSRRefC12_0x_8</vt:lpstr>
      <vt:lpstr>'Trended Detail'!OSRRefC12_0x_9</vt:lpstr>
      <vt:lpstr>'Trended Detail'!OSRRefC13x_10</vt:lpstr>
      <vt:lpstr>'Trended Detail'!OSRRefC13x_11</vt:lpstr>
      <vt:lpstr>'Trended Detail'!OSRRefC13x_3</vt:lpstr>
      <vt:lpstr>'Trended Detail'!OSRRefC13x_4</vt:lpstr>
      <vt:lpstr>'Trended Detail'!OSRRefC13x_5</vt:lpstr>
      <vt:lpstr>'Trended Detail'!OSRRefC13x_6</vt:lpstr>
      <vt:lpstr>'Trended Detail'!OSRRefC13x_7</vt:lpstr>
      <vt:lpstr>'Trended Detail'!OSRRefC13x_8</vt:lpstr>
      <vt:lpstr>'Trended Detail'!OSRRefC13x_9</vt:lpstr>
      <vt:lpstr>'Trended Detail'!OSRRefC15_0x_10</vt:lpstr>
      <vt:lpstr>'Trended Detail'!OSRRefC15_0x_11</vt:lpstr>
      <vt:lpstr>'Trended Detail'!OSRRefC15_0x_3</vt:lpstr>
      <vt:lpstr>'Trended Detail'!OSRRefC15_0x_4</vt:lpstr>
      <vt:lpstr>'Trended Detail'!OSRRefC15_0x_5</vt:lpstr>
      <vt:lpstr>'Trended Detail'!OSRRefC15_0x_6</vt:lpstr>
      <vt:lpstr>'Trended Detail'!OSRRefC15_0x_7</vt:lpstr>
      <vt:lpstr>'Trended Detail'!OSRRefC15_0x_8</vt:lpstr>
      <vt:lpstr>'Trended Detail'!OSRRefC15_0x_9</vt:lpstr>
      <vt:lpstr>'Trended Detail'!OSRRefC16x_10</vt:lpstr>
      <vt:lpstr>'Trended Detail'!OSRRefC16x_11</vt:lpstr>
      <vt:lpstr>'Trended Detail'!OSRRefC16x_3</vt:lpstr>
      <vt:lpstr>'Trended Detail'!OSRRefC16x_4</vt:lpstr>
      <vt:lpstr>'Trended Detail'!OSRRefC16x_5</vt:lpstr>
      <vt:lpstr>'Trended Detail'!OSRRefC16x_6</vt:lpstr>
      <vt:lpstr>'Trended Detail'!OSRRefC16x_7</vt:lpstr>
      <vt:lpstr>'Trended Detail'!OSRRefC16x_8</vt:lpstr>
      <vt:lpstr>'Trended Detail'!OSRRefC16x_9</vt:lpstr>
      <vt:lpstr>'Trended Detail'!OSRRefC21_0x_10</vt:lpstr>
      <vt:lpstr>'Trended Detail'!OSRRefC21_0x_11</vt:lpstr>
      <vt:lpstr>'Trended Detail'!OSRRefC21_0x_3</vt:lpstr>
      <vt:lpstr>'Trended Detail'!OSRRefC21_0x_4</vt:lpstr>
      <vt:lpstr>'Trended Detail'!OSRRefC21_0x_5</vt:lpstr>
      <vt:lpstr>'Trended Detail'!OSRRefC21_0x_6</vt:lpstr>
      <vt:lpstr>'Trended Detail'!OSRRefC21_0x_7</vt:lpstr>
      <vt:lpstr>'Trended Detail'!OSRRefC21_0x_8</vt:lpstr>
      <vt:lpstr>'Trended Detail'!OSRRefC21_0x_9</vt:lpstr>
      <vt:lpstr>'Trended Detail'!OSRRefC21_1x_10</vt:lpstr>
      <vt:lpstr>'Trended Detail'!OSRRefC21_1x_11</vt:lpstr>
      <vt:lpstr>'Trended Detail'!OSRRefC21_1x_3</vt:lpstr>
      <vt:lpstr>'Trended Detail'!OSRRefC21_1x_4</vt:lpstr>
      <vt:lpstr>'Trended Detail'!OSRRefC21_1x_5</vt:lpstr>
      <vt:lpstr>'Trended Detail'!OSRRefC21_1x_6</vt:lpstr>
      <vt:lpstr>'Trended Detail'!OSRRefC21_1x_7</vt:lpstr>
      <vt:lpstr>'Trended Detail'!OSRRefC21_1x_8</vt:lpstr>
      <vt:lpstr>'Trended Detail'!OSRRefC21_1x_9</vt:lpstr>
      <vt:lpstr>'Trended Detail'!OSRRefC22x_10</vt:lpstr>
      <vt:lpstr>'Trended Detail'!OSRRefC22x_11</vt:lpstr>
      <vt:lpstr>'Trended Detail'!OSRRefC22x_3</vt:lpstr>
      <vt:lpstr>'Trended Detail'!OSRRefC22x_4</vt:lpstr>
      <vt:lpstr>'Trended Detail'!OSRRefC22x_5</vt:lpstr>
      <vt:lpstr>'Trended Detail'!OSRRefC22x_6</vt:lpstr>
      <vt:lpstr>'Trended Detail'!OSRRefC22x_7</vt:lpstr>
      <vt:lpstr>'Trended Detail'!OSRRefC22x_8</vt:lpstr>
      <vt:lpstr>'Trended Detail'!OSRRefC22x_9</vt:lpstr>
      <vt:lpstr>'Trended Detail'!OSRRefC25_0x_10</vt:lpstr>
      <vt:lpstr>'Trended Detail'!OSRRefC25_0x_11</vt:lpstr>
      <vt:lpstr>'Trended Detail'!OSRRefC25_0x_3</vt:lpstr>
      <vt:lpstr>'Trended Detail'!OSRRefC25_0x_4</vt:lpstr>
      <vt:lpstr>'Trended Detail'!OSRRefC25_0x_5</vt:lpstr>
      <vt:lpstr>'Trended Detail'!OSRRefC25_0x_6</vt:lpstr>
      <vt:lpstr>'Trended Detail'!OSRRefC25_0x_7</vt:lpstr>
      <vt:lpstr>'Trended Detail'!OSRRefC25_0x_8</vt:lpstr>
      <vt:lpstr>'Trended Detail'!OSRRefC25_0x_9</vt:lpstr>
      <vt:lpstr>'Trended Detail'!OSRRefC25_1x_10</vt:lpstr>
      <vt:lpstr>'Trended Detail'!OSRRefC25_1x_11</vt:lpstr>
      <vt:lpstr>'Trended Detail'!OSRRefC25_1x_3</vt:lpstr>
      <vt:lpstr>'Trended Detail'!OSRRefC25_1x_4</vt:lpstr>
      <vt:lpstr>'Trended Detail'!OSRRefC25_1x_5</vt:lpstr>
      <vt:lpstr>'Trended Detail'!OSRRefC25_1x_6</vt:lpstr>
      <vt:lpstr>'Trended Detail'!OSRRefC25_1x_7</vt:lpstr>
      <vt:lpstr>'Trended Detail'!OSRRefC25_1x_8</vt:lpstr>
      <vt:lpstr>'Trended Detail'!OSRRefC25_1x_9</vt:lpstr>
      <vt:lpstr>'Trended Detail'!OSRRefC25_2x_10</vt:lpstr>
      <vt:lpstr>'Trended Detail'!OSRRefC25_2x_11</vt:lpstr>
      <vt:lpstr>'Trended Detail'!OSRRefC25_2x_3</vt:lpstr>
      <vt:lpstr>'Trended Detail'!OSRRefC25_2x_4</vt:lpstr>
      <vt:lpstr>'Trended Detail'!OSRRefC25_2x_5</vt:lpstr>
      <vt:lpstr>'Trended Detail'!OSRRefC25_2x_6</vt:lpstr>
      <vt:lpstr>'Trended Detail'!OSRRefC25_2x_7</vt:lpstr>
      <vt:lpstr>'Trended Detail'!OSRRefC25_2x_8</vt:lpstr>
      <vt:lpstr>'Trended Detail'!OSRRefC25_2x_9</vt:lpstr>
      <vt:lpstr>'Trended Detail'!OSRRefC25_3x_10</vt:lpstr>
      <vt:lpstr>'Trended Detail'!OSRRefC25_3x_11</vt:lpstr>
      <vt:lpstr>'Trended Detail'!OSRRefC25_3x_3</vt:lpstr>
      <vt:lpstr>'Trended Detail'!OSRRefC25_3x_4</vt:lpstr>
      <vt:lpstr>'Trended Detail'!OSRRefC25_3x_5</vt:lpstr>
      <vt:lpstr>'Trended Detail'!OSRRefC25_3x_6</vt:lpstr>
      <vt:lpstr>'Trended Detail'!OSRRefC25_3x_7</vt:lpstr>
      <vt:lpstr>'Trended Detail'!OSRRefC25_3x_8</vt:lpstr>
      <vt:lpstr>'Trended Detail'!OSRRefC25_3x_9</vt:lpstr>
      <vt:lpstr>'Trended Detail'!OSRRefC26x_10</vt:lpstr>
      <vt:lpstr>'Trended Detail'!OSRRefC26x_11</vt:lpstr>
      <vt:lpstr>'Trended Detail'!OSRRefC26x_3</vt:lpstr>
      <vt:lpstr>'Trended Detail'!OSRRefC26x_4</vt:lpstr>
      <vt:lpstr>'Trended Detail'!OSRRefC26x_5</vt:lpstr>
      <vt:lpstr>'Trended Detail'!OSRRefC26x_6</vt:lpstr>
      <vt:lpstr>'Trended Detail'!OSRRefC26x_7</vt:lpstr>
      <vt:lpstr>'Trended Detail'!OSRRefC26x_8</vt:lpstr>
      <vt:lpstr>'Trended Detail'!OSRRefC26x_9</vt:lpstr>
      <vt:lpstr>'Trended Detail'!OSRRefC28x_10</vt:lpstr>
      <vt:lpstr>'Trended Detail'!OSRRefC28x_11</vt:lpstr>
      <vt:lpstr>'Trended Detail'!OSRRefC28x_3</vt:lpstr>
      <vt:lpstr>'Trended Detail'!OSRRefC28x_4</vt:lpstr>
      <vt:lpstr>'Trended Detail'!OSRRefC28x_5</vt:lpstr>
      <vt:lpstr>'Trended Detail'!OSRRefC28x_6</vt:lpstr>
      <vt:lpstr>'Trended Detail'!OSRRefC28x_7</vt:lpstr>
      <vt:lpstr>'Trended Detail'!OSRRefC28x_8</vt:lpstr>
      <vt:lpstr>'Trended Detail'!OSRRefC28x_9</vt:lpstr>
      <vt:lpstr>'Trended Detail'!OSRRefC31_0x_10</vt:lpstr>
      <vt:lpstr>'Trended Detail'!OSRRefC31_0x_11</vt:lpstr>
      <vt:lpstr>'Trended Detail'!OSRRefC31_0x_3</vt:lpstr>
      <vt:lpstr>'Trended Detail'!OSRRefC31_0x_4</vt:lpstr>
      <vt:lpstr>'Trended Detail'!OSRRefC31_0x_5</vt:lpstr>
      <vt:lpstr>'Trended Detail'!OSRRefC31_0x_6</vt:lpstr>
      <vt:lpstr>'Trended Detail'!OSRRefC31_0x_7</vt:lpstr>
      <vt:lpstr>'Trended Detail'!OSRRefC31_0x_8</vt:lpstr>
      <vt:lpstr>'Trended Detail'!OSRRefC31_0x_9</vt:lpstr>
      <vt:lpstr>'Trended Detail'!OSRRefC31_1x_10</vt:lpstr>
      <vt:lpstr>'Trended Detail'!OSRRefC31_1x_11</vt:lpstr>
      <vt:lpstr>'Trended Detail'!OSRRefC31_1x_3</vt:lpstr>
      <vt:lpstr>'Trended Detail'!OSRRefC31_1x_4</vt:lpstr>
      <vt:lpstr>'Trended Detail'!OSRRefC31_1x_5</vt:lpstr>
      <vt:lpstr>'Trended Detail'!OSRRefC31_1x_6</vt:lpstr>
      <vt:lpstr>'Trended Detail'!OSRRefC31_1x_7</vt:lpstr>
      <vt:lpstr>'Trended Detail'!OSRRefC31_1x_8</vt:lpstr>
      <vt:lpstr>'Trended Detail'!OSRRefC31_1x_9</vt:lpstr>
      <vt:lpstr>'Trended Detail'!OSRRefC31_2x_10</vt:lpstr>
      <vt:lpstr>'Trended Detail'!OSRRefC31_2x_11</vt:lpstr>
      <vt:lpstr>'Trended Detail'!OSRRefC31_2x_3</vt:lpstr>
      <vt:lpstr>'Trended Detail'!OSRRefC31_2x_4</vt:lpstr>
      <vt:lpstr>'Trended Detail'!OSRRefC31_2x_5</vt:lpstr>
      <vt:lpstr>'Trended Detail'!OSRRefC31_2x_6</vt:lpstr>
      <vt:lpstr>'Trended Detail'!OSRRefC31_2x_7</vt:lpstr>
      <vt:lpstr>'Trended Detail'!OSRRefC31_2x_8</vt:lpstr>
      <vt:lpstr>'Trended Detail'!OSRRefC31_2x_9</vt:lpstr>
      <vt:lpstr>'Trended Detail'!OSRRefC32x_10</vt:lpstr>
      <vt:lpstr>'Trended Detail'!OSRRefC32x_11</vt:lpstr>
      <vt:lpstr>'Trended Detail'!OSRRefC32x_3</vt:lpstr>
      <vt:lpstr>'Trended Detail'!OSRRefC32x_4</vt:lpstr>
      <vt:lpstr>'Trended Detail'!OSRRefC32x_5</vt:lpstr>
      <vt:lpstr>'Trended Detail'!OSRRefC32x_6</vt:lpstr>
      <vt:lpstr>'Trended Detail'!OSRRefC32x_7</vt:lpstr>
      <vt:lpstr>'Trended Detail'!OSRRefC32x_8</vt:lpstr>
      <vt:lpstr>'Trended Detail'!OSRRefC32x_9</vt:lpstr>
      <vt:lpstr>'Trended Detail'!OSRRefC34x_10</vt:lpstr>
      <vt:lpstr>'Trended Detail'!OSRRefC34x_11</vt:lpstr>
      <vt:lpstr>'Trended Detail'!OSRRefC34x_3</vt:lpstr>
      <vt:lpstr>'Trended Detail'!OSRRefC34x_4</vt:lpstr>
      <vt:lpstr>'Trended Detail'!OSRRefC34x_5</vt:lpstr>
      <vt:lpstr>'Trended Detail'!OSRRefC34x_6</vt:lpstr>
      <vt:lpstr>'Trended Detail'!OSRRefC34x_7</vt:lpstr>
      <vt:lpstr>'Trended Detail'!OSRRefC34x_8</vt:lpstr>
      <vt:lpstr>'Trended Detail'!OSRRefC34x_9</vt:lpstr>
      <vt:lpstr>'Trended Detail'!OSRRefC41_0x_10</vt:lpstr>
      <vt:lpstr>'Trended Detail'!OSRRefC41_0x_11</vt:lpstr>
      <vt:lpstr>'Trended Detail'!OSRRefC41_0x_3</vt:lpstr>
      <vt:lpstr>'Trended Detail'!OSRRefC41_0x_4</vt:lpstr>
      <vt:lpstr>'Trended Detail'!OSRRefC41_0x_5</vt:lpstr>
      <vt:lpstr>'Trended Detail'!OSRRefC41_0x_6</vt:lpstr>
      <vt:lpstr>'Trended Detail'!OSRRefC41_0x_7</vt:lpstr>
      <vt:lpstr>'Trended Detail'!OSRRefC41_0x_8</vt:lpstr>
      <vt:lpstr>'Trended Detail'!OSRRefC41_0x_9</vt:lpstr>
      <vt:lpstr>'Trended Detail'!OSRRefC42x_10</vt:lpstr>
      <vt:lpstr>'Trended Detail'!OSRRefC42x_11</vt:lpstr>
      <vt:lpstr>'Trended Detail'!OSRRefC42x_3</vt:lpstr>
      <vt:lpstr>'Trended Detail'!OSRRefC42x_4</vt:lpstr>
      <vt:lpstr>'Trended Detail'!OSRRefC42x_5</vt:lpstr>
      <vt:lpstr>'Trended Detail'!OSRRefC42x_6</vt:lpstr>
      <vt:lpstr>'Trended Detail'!OSRRefC42x_7</vt:lpstr>
      <vt:lpstr>'Trended Detail'!OSRRefC42x_8</vt:lpstr>
      <vt:lpstr>'Trended Detail'!OSRRefC42x_9</vt:lpstr>
      <vt:lpstr>'Trended Detail'!OSRRefC9_0x_10</vt:lpstr>
      <vt:lpstr>'Trended Detail'!OSRRefC9_0x_11</vt:lpstr>
      <vt:lpstr>'Trended Detail'!OSRRefC9_0x_3</vt:lpstr>
      <vt:lpstr>'Trended Detail'!OSRRefC9_0x_4</vt:lpstr>
      <vt:lpstr>'Trended Detail'!OSRRefC9_0x_5</vt:lpstr>
      <vt:lpstr>'Trended Detail'!OSRRefC9_0x_6</vt:lpstr>
      <vt:lpstr>'Trended Detail'!OSRRefC9_0x_7</vt:lpstr>
      <vt:lpstr>'Trended Detail'!OSRRefC9_0x_8</vt:lpstr>
      <vt:lpstr>'Trended Detail'!OSRRefC9_0x_9</vt:lpstr>
      <vt:lpstr>'Fort Bend 753 v2'!Print_Area</vt:lpstr>
      <vt:lpstr>'Fort Bend 755'!Print_Area</vt:lpstr>
      <vt:lpstr>'Ft Bend Budget FYE15 v2'!Print_Area</vt:lpstr>
      <vt:lpstr>'Off-Site (2)'!Print_Titles</vt:lpstr>
    </vt:vector>
  </TitlesOfParts>
  <Company>AIM Healthcare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BAnderson</dc:creator>
  <cp:lastModifiedBy>Krejci, Cheryl</cp:lastModifiedBy>
  <cp:lastPrinted>2024-05-03T16:06:17Z</cp:lastPrinted>
  <dcterms:created xsi:type="dcterms:W3CDTF">2003-10-31T15:09:40Z</dcterms:created>
  <dcterms:modified xsi:type="dcterms:W3CDTF">2024-05-03T16:15:21Z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0x010100CC9C0345B9A48A40A4D7427A3F95596E000B1F0DECB3CB504D98846257F96F6682</vt:lpwstr>
  </property>
</Properties>
</file>